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Desktop\Gonza\nutricap\info\"/>
    </mc:Choice>
  </mc:AlternateContent>
  <xr:revisionPtr revIDLastSave="0" documentId="8_{365CFC67-C0A7-43FD-9456-47E3E23BC36E}" xr6:coauthVersionLast="47" xr6:coauthVersionMax="47" xr10:uidLastSave="{00000000-0000-0000-0000-000000000000}"/>
  <bookViews>
    <workbookView xWindow="-98" yWindow="-98" windowWidth="19396" windowHeight="11475" firstSheet="4" activeTab="4" xr2:uid="{3CD393E5-EB8D-476D-9E10-7DCC16FAC72C}"/>
  </bookViews>
  <sheets>
    <sheet name="carne H (nacimiento a 90 días)" sheetId="3" r:id="rId1"/>
    <sheet name="carne M (nacimiento a 90 días)" sheetId="4" r:id="rId2"/>
    <sheet name="carne H (90 días a 18 meses)" sheetId="1" r:id="rId3"/>
    <sheet name="carne M (90 días a 18 meses)" sheetId="5" r:id="rId4"/>
    <sheet name="tambo" sheetId="2" r:id="rId5"/>
  </sheets>
  <definedNames>
    <definedName name="solver_adj" localSheetId="2" hidden="1">'carne H (90 días a 18 meses)'!$B$10:$B$26</definedName>
    <definedName name="solver_adj" localSheetId="3" hidden="1">'carne M (90 días a 18 meses)'!$B$10:$B$26</definedName>
    <definedName name="solver_adj" localSheetId="4" hidden="1">tambo!$B$23:$B$40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3" hidden="1">2</definedName>
    <definedName name="solver_drv" localSheetId="4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100</definedName>
    <definedName name="solver_lhs1" localSheetId="2" hidden="1">'carne H (90 días a 18 meses)'!$B$10:$B$26</definedName>
    <definedName name="solver_lhs1" localSheetId="3" hidden="1">'carne M (90 días a 18 meses)'!$B$10:$B$26</definedName>
    <definedName name="solver_lhs1" localSheetId="4" hidden="1">tambo!$B$23:$B$40</definedName>
    <definedName name="solver_lhs10" localSheetId="4" hidden="1">tambo!#REF!</definedName>
    <definedName name="solver_lhs11" localSheetId="4" hidden="1">tambo!#REF!</definedName>
    <definedName name="solver_lhs12" localSheetId="4" hidden="1">tambo!$L$41</definedName>
    <definedName name="solver_lhs2" localSheetId="2" hidden="1">'carne H (90 días a 18 meses)'!$D$28</definedName>
    <definedName name="solver_lhs2" localSheetId="3" hidden="1">'carne M (90 días a 18 meses)'!$D$27</definedName>
    <definedName name="solver_lhs2" localSheetId="4" hidden="1">tambo!$B$25</definedName>
    <definedName name="solver_lhs3" localSheetId="2" hidden="1">'carne H (90 días a 18 meses)'!$D$6</definedName>
    <definedName name="solver_lhs3" localSheetId="3" hidden="1">'carne M (90 días a 18 meses)'!$D$6</definedName>
    <definedName name="solver_lhs3" localSheetId="4" hidden="1">tambo!$B$27</definedName>
    <definedName name="solver_lhs4" localSheetId="2" hidden="1">'carne H (90 días a 18 meses)'!$E$6</definedName>
    <definedName name="solver_lhs4" localSheetId="3" hidden="1">'carne M (90 días a 18 meses)'!$H$27</definedName>
    <definedName name="solver_lhs4" localSheetId="4" hidden="1">tambo!$D$42</definedName>
    <definedName name="solver_lhs5" localSheetId="2" hidden="1">'carne H (90 días a 18 meses)'!$F$6</definedName>
    <definedName name="solver_lhs5" localSheetId="4" hidden="1">tambo!$F$41</definedName>
    <definedName name="solver_lhs6" localSheetId="2" hidden="1">'carne H (90 días a 18 meses)'!$G$6</definedName>
    <definedName name="solver_lhs6" localSheetId="4" hidden="1">tambo!$H$41</definedName>
    <definedName name="solver_lhs7" localSheetId="4" hidden="1">tambo!$N$41</definedName>
    <definedName name="solver_lhs8" localSheetId="4" hidden="1">tambo!#REF!</definedName>
    <definedName name="solver_lhs9" localSheetId="4" hidden="1">tambo!#REF!</definedName>
    <definedName name="solver_lin" localSheetId="4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4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6</definedName>
    <definedName name="solver_num" localSheetId="3" hidden="1">4</definedName>
    <definedName name="solver_num" localSheetId="4" hidden="1">6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'carne H (90 días a 18 meses)'!$R$27</definedName>
    <definedName name="solver_opt" localSheetId="3" hidden="1">'carne M (90 días a 18 meses)'!$B$10</definedName>
    <definedName name="solver_opt" localSheetId="4" hidden="1">tambo!$B$23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1</definedName>
    <definedName name="solver_rbv" localSheetId="3" hidden="1">2</definedName>
    <definedName name="solver_rbv" localSheetId="4" hidden="1">1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0" localSheetId="4" hidden="1">1</definedName>
    <definedName name="solver_rel11" localSheetId="4" hidden="1">1</definedName>
    <definedName name="solver_rel12" localSheetId="4" hidden="1">2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3" localSheetId="2" hidden="1">2</definedName>
    <definedName name="solver_rel3" localSheetId="3" hidden="1">2</definedName>
    <definedName name="solver_rel3" localSheetId="4" hidden="1">1</definedName>
    <definedName name="solver_rel4" localSheetId="2" hidden="1">2</definedName>
    <definedName name="solver_rel4" localSheetId="3" hidden="1">2</definedName>
    <definedName name="solver_rel4" localSheetId="4" hidden="1">1</definedName>
    <definedName name="solver_rel5" localSheetId="2" hidden="1">2</definedName>
    <definedName name="solver_rel5" localSheetId="4" hidden="1">2</definedName>
    <definedName name="solver_rel6" localSheetId="2" hidden="1">2</definedName>
    <definedName name="solver_rel6" localSheetId="4" hidden="1">2</definedName>
    <definedName name="solver_rel7" localSheetId="4" hidden="1">1</definedName>
    <definedName name="solver_rel8" localSheetId="4" hidden="1">1</definedName>
    <definedName name="solver_rel9" localSheetId="4" hidden="1">1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0" localSheetId="4" hidden="1">0.15</definedName>
    <definedName name="solver_rhs11" localSheetId="4" hidden="1">0.15</definedName>
    <definedName name="solver_rhs12" localSheetId="4" hidden="1">tambo!$P$7</definedName>
    <definedName name="solver_rhs2" localSheetId="2" hidden="1">'carne H (90 días a 18 meses)'!$D$29</definedName>
    <definedName name="solver_rhs2" localSheetId="3" hidden="1">'carne M (90 días a 18 meses)'!$D$29</definedName>
    <definedName name="solver_rhs2" localSheetId="4" hidden="1">0.2</definedName>
    <definedName name="solver_rhs3" localSheetId="2" hidden="1">'carne H (90 días a 18 meses)'!$F$27</definedName>
    <definedName name="solver_rhs3" localSheetId="3" hidden="1">'carne M (90 días a 18 meses)'!$F$27</definedName>
    <definedName name="solver_rhs3" localSheetId="4" hidden="1">3</definedName>
    <definedName name="solver_rhs4" localSheetId="2" hidden="1">'carne H (90 días a 18 meses)'!$H$27</definedName>
    <definedName name="solver_rhs4" localSheetId="3" hidden="1">'carne M (90 días a 18 meses)'!$E$6</definedName>
    <definedName name="solver_rhs4" localSheetId="4" hidden="1">tambo!$D$44</definedName>
    <definedName name="solver_rhs5" localSheetId="2" hidden="1">'carne H (90 días a 18 meses)'!$J$27</definedName>
    <definedName name="solver_rhs5" localSheetId="4" hidden="1">tambo!$G$7</definedName>
    <definedName name="solver_rhs6" localSheetId="2" hidden="1">'carne H (90 días a 18 meses)'!$L$27</definedName>
    <definedName name="solver_rhs6" localSheetId="4" hidden="1">tambo!$K$7</definedName>
    <definedName name="solver_rhs7" localSheetId="4" hidden="1">tambo!$R$7</definedName>
    <definedName name="solver_rhs8" localSheetId="4" hidden="1">0.15</definedName>
    <definedName name="solver_rhs9" localSheetId="4" hidden="1">0.15</definedName>
    <definedName name="solver_rlx" localSheetId="2" hidden="1">2</definedName>
    <definedName name="solver_rlx" localSheetId="3" hidden="1">2</definedName>
    <definedName name="solver_rlx" localSheetId="4" hidden="1">1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3" hidden="1">2</definedName>
    <definedName name="solver_scl" localSheetId="4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100</definedName>
    <definedName name="solver_tol" localSheetId="2" hidden="1">0.01</definedName>
    <definedName name="solver_tol" localSheetId="3" hidden="1">0.01</definedName>
    <definedName name="solver_tol" localSheetId="4" hidden="1">0.05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I7" i="2"/>
  <c r="D45" i="2"/>
  <c r="B19" i="2"/>
  <c r="B6" i="5"/>
  <c r="R32" i="2"/>
  <c r="R17" i="1"/>
  <c r="R16" i="1"/>
  <c r="R15" i="1"/>
  <c r="R31" i="2"/>
  <c r="R30" i="2"/>
  <c r="R29" i="2"/>
  <c r="R28" i="2"/>
  <c r="R17" i="5"/>
  <c r="R16" i="5"/>
  <c r="R15" i="5"/>
  <c r="D21" i="3"/>
  <c r="F21" i="3"/>
  <c r="P21" i="3"/>
  <c r="D16" i="1"/>
  <c r="N16" i="1"/>
  <c r="D17" i="1"/>
  <c r="P17" i="1"/>
  <c r="D15" i="1"/>
  <c r="N15" i="1" s="1"/>
  <c r="L15" i="1"/>
  <c r="D17" i="5"/>
  <c r="P17" i="5"/>
  <c r="D16" i="5"/>
  <c r="L16" i="5"/>
  <c r="D15" i="5"/>
  <c r="L15" i="5"/>
  <c r="D11" i="4"/>
  <c r="J11" i="4"/>
  <c r="D11" i="3"/>
  <c r="N11" i="3"/>
  <c r="D10" i="3"/>
  <c r="L10" i="3"/>
  <c r="D32" i="2"/>
  <c r="H32" i="2"/>
  <c r="D31" i="2"/>
  <c r="P31" i="2"/>
  <c r="D30" i="2"/>
  <c r="J30" i="2"/>
  <c r="D29" i="2"/>
  <c r="P29" i="2"/>
  <c r="D28" i="2"/>
  <c r="N28" i="2"/>
  <c r="D19" i="3"/>
  <c r="F19" i="3"/>
  <c r="P18" i="3"/>
  <c r="D18" i="3"/>
  <c r="J18" i="3"/>
  <c r="D18" i="4"/>
  <c r="N18" i="4"/>
  <c r="P17" i="3"/>
  <c r="D17" i="3"/>
  <c r="J17" i="3"/>
  <c r="P17" i="4"/>
  <c r="D17" i="4"/>
  <c r="N17" i="4"/>
  <c r="D24" i="1"/>
  <c r="F24" i="1"/>
  <c r="B27" i="5"/>
  <c r="R26" i="5"/>
  <c r="D26" i="5"/>
  <c r="L26" i="5"/>
  <c r="R25" i="5"/>
  <c r="D25" i="5"/>
  <c r="P25" i="5"/>
  <c r="R22" i="5"/>
  <c r="D22" i="5"/>
  <c r="N22" i="5"/>
  <c r="R21" i="5"/>
  <c r="D21" i="5"/>
  <c r="N21" i="5"/>
  <c r="R19" i="5"/>
  <c r="D19" i="5"/>
  <c r="N19" i="5"/>
  <c r="R18" i="5"/>
  <c r="D18" i="5"/>
  <c r="N18" i="5"/>
  <c r="R24" i="5"/>
  <c r="D24" i="5"/>
  <c r="N24" i="5"/>
  <c r="R23" i="5"/>
  <c r="D23" i="5"/>
  <c r="N23" i="5"/>
  <c r="R14" i="5"/>
  <c r="D14" i="5"/>
  <c r="N14" i="5"/>
  <c r="R13" i="5"/>
  <c r="D13" i="5"/>
  <c r="N13" i="5"/>
  <c r="R12" i="5"/>
  <c r="D12" i="5"/>
  <c r="N12" i="5"/>
  <c r="R11" i="5"/>
  <c r="D11" i="5"/>
  <c r="N11" i="5"/>
  <c r="D10" i="5"/>
  <c r="P10" i="5"/>
  <c r="D6" i="5"/>
  <c r="B24" i="4"/>
  <c r="P23" i="4"/>
  <c r="D23" i="4"/>
  <c r="J23" i="4"/>
  <c r="P22" i="4"/>
  <c r="D22" i="4"/>
  <c r="H22" i="4"/>
  <c r="P21" i="4"/>
  <c r="D21" i="4"/>
  <c r="J21" i="4"/>
  <c r="P16" i="4"/>
  <c r="D16" i="4"/>
  <c r="J16" i="4"/>
  <c r="P20" i="4"/>
  <c r="D20" i="4"/>
  <c r="H20" i="4"/>
  <c r="P15" i="4"/>
  <c r="D15" i="4"/>
  <c r="J15" i="4"/>
  <c r="P14" i="4"/>
  <c r="D14" i="4"/>
  <c r="N14" i="4"/>
  <c r="P13" i="4"/>
  <c r="D13" i="4"/>
  <c r="J13" i="4"/>
  <c r="D12" i="4"/>
  <c r="L12" i="4"/>
  <c r="D10" i="4"/>
  <c r="J10" i="4"/>
  <c r="B6" i="4"/>
  <c r="E6" i="4"/>
  <c r="N7" i="2"/>
  <c r="M7" i="2"/>
  <c r="J7" i="2"/>
  <c r="L7" i="2"/>
  <c r="K7" i="2"/>
  <c r="H7" i="2"/>
  <c r="B24" i="3"/>
  <c r="P23" i="3"/>
  <c r="D23" i="3"/>
  <c r="J23" i="3"/>
  <c r="P22" i="3"/>
  <c r="D22" i="3"/>
  <c r="H22" i="3"/>
  <c r="P20" i="3"/>
  <c r="D20" i="3"/>
  <c r="J20" i="3"/>
  <c r="P16" i="3"/>
  <c r="D16" i="3"/>
  <c r="J16" i="3"/>
  <c r="P15" i="3"/>
  <c r="D15" i="3"/>
  <c r="L15" i="3"/>
  <c r="P14" i="3"/>
  <c r="D14" i="3"/>
  <c r="J14" i="3"/>
  <c r="P13" i="3"/>
  <c r="D13" i="3"/>
  <c r="H13" i="3"/>
  <c r="D12" i="3"/>
  <c r="N12" i="3"/>
  <c r="B6" i="3"/>
  <c r="E6" i="3"/>
  <c r="D46" i="2"/>
  <c r="B27" i="1"/>
  <c r="R26" i="1"/>
  <c r="D26" i="1"/>
  <c r="N26" i="1"/>
  <c r="R25" i="1"/>
  <c r="D25" i="1"/>
  <c r="P25" i="1"/>
  <c r="R21" i="1"/>
  <c r="D21" i="1"/>
  <c r="P21" i="1"/>
  <c r="R20" i="1"/>
  <c r="D20" i="1"/>
  <c r="F20" i="1"/>
  <c r="R19" i="1"/>
  <c r="D19" i="1"/>
  <c r="N19" i="1"/>
  <c r="R18" i="1"/>
  <c r="D18" i="1"/>
  <c r="N18" i="1"/>
  <c r="R23" i="1"/>
  <c r="D23" i="1"/>
  <c r="N23" i="1"/>
  <c r="R22" i="1"/>
  <c r="D22" i="1"/>
  <c r="N22" i="1"/>
  <c r="R14" i="1"/>
  <c r="D14" i="1"/>
  <c r="J14" i="1"/>
  <c r="R13" i="1"/>
  <c r="D13" i="1"/>
  <c r="N13" i="1"/>
  <c r="R12" i="1"/>
  <c r="D12" i="1"/>
  <c r="P12" i="1"/>
  <c r="R11" i="1"/>
  <c r="D11" i="1"/>
  <c r="F11" i="1"/>
  <c r="D10" i="1"/>
  <c r="N10" i="1"/>
  <c r="D44" i="2"/>
  <c r="D43" i="2"/>
  <c r="F7" i="2"/>
  <c r="D23" i="2"/>
  <c r="H23" i="2"/>
  <c r="D24" i="2"/>
  <c r="J24" i="2"/>
  <c r="D25" i="2"/>
  <c r="N25" i="2"/>
  <c r="D26" i="2"/>
  <c r="J26" i="2"/>
  <c r="D27" i="2"/>
  <c r="J27" i="2"/>
  <c r="D37" i="2"/>
  <c r="P37" i="2"/>
  <c r="D38" i="2"/>
  <c r="J38" i="2"/>
  <c r="D33" i="2"/>
  <c r="F33" i="2"/>
  <c r="D34" i="2"/>
  <c r="H34" i="2"/>
  <c r="D35" i="2"/>
  <c r="P35" i="2"/>
  <c r="D36" i="2"/>
  <c r="F36" i="2"/>
  <c r="D39" i="2"/>
  <c r="P39" i="2"/>
  <c r="D40" i="2"/>
  <c r="P40" i="2"/>
  <c r="B41" i="2"/>
  <c r="B6" i="1"/>
  <c r="F6" i="1"/>
  <c r="R38" i="2"/>
  <c r="R36" i="2"/>
  <c r="D7" i="2"/>
  <c r="B18" i="2" s="1"/>
  <c r="R24" i="2"/>
  <c r="R25" i="2"/>
  <c r="R26" i="2"/>
  <c r="R27" i="2"/>
  <c r="R37" i="2"/>
  <c r="R33" i="2"/>
  <c r="R34" i="2"/>
  <c r="R35" i="2"/>
  <c r="R39" i="2"/>
  <c r="R40" i="2"/>
  <c r="H21" i="1"/>
  <c r="N15" i="4"/>
  <c r="L22" i="4"/>
  <c r="F20" i="3"/>
  <c r="L29" i="2"/>
  <c r="L23" i="5"/>
  <c r="F12" i="3"/>
  <c r="P26" i="5"/>
  <c r="J12" i="4"/>
  <c r="N21" i="4"/>
  <c r="J20" i="4"/>
  <c r="J26" i="5"/>
  <c r="H21" i="4"/>
  <c r="P10" i="3"/>
  <c r="N20" i="4"/>
  <c r="F29" i="2"/>
  <c r="H26" i="5"/>
  <c r="F10" i="3"/>
  <c r="L20" i="4"/>
  <c r="N12" i="4"/>
  <c r="L21" i="4"/>
  <c r="F21" i="4"/>
  <c r="L23" i="4"/>
  <c r="J29" i="2"/>
  <c r="N26" i="5"/>
  <c r="L15" i="4"/>
  <c r="H15" i="4"/>
  <c r="N29" i="2"/>
  <c r="H29" i="2"/>
  <c r="P12" i="5"/>
  <c r="P22" i="5"/>
  <c r="H20" i="3"/>
  <c r="L14" i="4"/>
  <c r="F19" i="1"/>
  <c r="H22" i="5"/>
  <c r="J22" i="5"/>
  <c r="N20" i="3"/>
  <c r="F20" i="4"/>
  <c r="F22" i="5"/>
  <c r="L22" i="5"/>
  <c r="L20" i="3"/>
  <c r="J14" i="4"/>
  <c r="J12" i="5"/>
  <c r="J10" i="3"/>
  <c r="N22" i="4"/>
  <c r="N23" i="4"/>
  <c r="H12" i="5"/>
  <c r="L12" i="5"/>
  <c r="N10" i="3"/>
  <c r="H10" i="3"/>
  <c r="F12" i="5"/>
  <c r="H23" i="4"/>
  <c r="F15" i="4"/>
  <c r="L19" i="5"/>
  <c r="F24" i="5"/>
  <c r="G6" i="5"/>
  <c r="N13" i="4"/>
  <c r="N30" i="2"/>
  <c r="H18" i="1"/>
  <c r="H24" i="2"/>
  <c r="F13" i="4"/>
  <c r="D6" i="1"/>
  <c r="F30" i="2"/>
  <c r="E6" i="5"/>
  <c r="L28" i="2"/>
  <c r="H23" i="3"/>
  <c r="L24" i="2"/>
  <c r="L23" i="3"/>
  <c r="F37" i="2"/>
  <c r="H13" i="4"/>
  <c r="F6" i="5"/>
  <c r="H30" i="2"/>
  <c r="F32" i="2"/>
  <c r="N23" i="3"/>
  <c r="F24" i="2"/>
  <c r="J13" i="3"/>
  <c r="L13" i="4"/>
  <c r="L30" i="2"/>
  <c r="P11" i="3"/>
  <c r="N15" i="3"/>
  <c r="F15" i="3"/>
  <c r="H15" i="3"/>
  <c r="J15" i="3"/>
  <c r="J19" i="1"/>
  <c r="F23" i="1"/>
  <c r="P19" i="1"/>
  <c r="J23" i="1"/>
  <c r="F14" i="1"/>
  <c r="F12" i="1"/>
  <c r="L19" i="1"/>
  <c r="L14" i="1"/>
  <c r="L12" i="1"/>
  <c r="H14" i="1"/>
  <c r="H23" i="1"/>
  <c r="H19" i="1"/>
  <c r="H12" i="1"/>
  <c r="P14" i="1"/>
  <c r="N12" i="1"/>
  <c r="N14" i="1"/>
  <c r="J26" i="1"/>
  <c r="P23" i="1"/>
  <c r="L21" i="1"/>
  <c r="N21" i="1"/>
  <c r="P26" i="1"/>
  <c r="F21" i="1"/>
  <c r="H26" i="1"/>
  <c r="L26" i="1"/>
  <c r="L23" i="1"/>
  <c r="J21" i="1"/>
  <c r="N36" i="2"/>
  <c r="L38" i="2"/>
  <c r="L36" i="2"/>
  <c r="P38" i="2"/>
  <c r="J32" i="2"/>
  <c r="L32" i="2"/>
  <c r="P36" i="2"/>
  <c r="J36" i="2"/>
  <c r="P24" i="2"/>
  <c r="H18" i="5"/>
  <c r="L18" i="5"/>
  <c r="E6" i="1"/>
  <c r="J11" i="1"/>
  <c r="P11" i="1"/>
  <c r="N11" i="1"/>
  <c r="H11" i="1"/>
  <c r="L11" i="1"/>
  <c r="F18" i="1"/>
  <c r="J22" i="1"/>
  <c r="J12" i="1"/>
  <c r="L20" i="1"/>
  <c r="L25" i="1"/>
  <c r="P20" i="1"/>
  <c r="H20" i="1"/>
  <c r="J20" i="1"/>
  <c r="N20" i="1"/>
  <c r="P22" i="1"/>
  <c r="L22" i="1"/>
  <c r="R10" i="1"/>
  <c r="R27" i="1"/>
  <c r="H24" i="1"/>
  <c r="H22" i="1"/>
  <c r="F22" i="1"/>
  <c r="G6" i="1"/>
  <c r="F13" i="5"/>
  <c r="P23" i="5"/>
  <c r="J21" i="5"/>
  <c r="H21" i="5"/>
  <c r="H23" i="5"/>
  <c r="L13" i="5"/>
  <c r="P13" i="5"/>
  <c r="H13" i="5"/>
  <c r="J23" i="5"/>
  <c r="J13" i="5"/>
  <c r="F23" i="5"/>
  <c r="J25" i="5"/>
  <c r="L21" i="5"/>
  <c r="P21" i="5"/>
  <c r="F21" i="5"/>
  <c r="P24" i="5"/>
  <c r="H24" i="5"/>
  <c r="J19" i="5"/>
  <c r="J24" i="5"/>
  <c r="L11" i="5"/>
  <c r="L24" i="5"/>
  <c r="F19" i="5"/>
  <c r="P19" i="5"/>
  <c r="N25" i="5"/>
  <c r="H19" i="5"/>
  <c r="H25" i="5"/>
  <c r="J11" i="5"/>
  <c r="L35" i="2"/>
  <c r="P26" i="2"/>
  <c r="N38" i="2"/>
  <c r="F38" i="2"/>
  <c r="H38" i="2"/>
  <c r="J35" i="2"/>
  <c r="H26" i="2"/>
  <c r="N35" i="2"/>
  <c r="F35" i="2"/>
  <c r="J37" i="2"/>
  <c r="N37" i="2"/>
  <c r="N21" i="3"/>
  <c r="L21" i="3"/>
  <c r="J21" i="3"/>
  <c r="F11" i="3"/>
  <c r="L17" i="3"/>
  <c r="H18" i="3"/>
  <c r="H21" i="3"/>
  <c r="J11" i="3"/>
  <c r="L11" i="3"/>
  <c r="H11" i="3"/>
  <c r="J12" i="3"/>
  <c r="P12" i="3"/>
  <c r="P24" i="3"/>
  <c r="N14" i="3"/>
  <c r="L22" i="3"/>
  <c r="F13" i="3"/>
  <c r="L13" i="3"/>
  <c r="L18" i="3"/>
  <c r="F17" i="3"/>
  <c r="N17" i="3"/>
  <c r="N13" i="3"/>
  <c r="J22" i="3"/>
  <c r="L16" i="3"/>
  <c r="D6" i="3"/>
  <c r="N18" i="3"/>
  <c r="D24" i="3"/>
  <c r="D25" i="3"/>
  <c r="N16" i="3"/>
  <c r="H12" i="3"/>
  <c r="L12" i="3"/>
  <c r="L14" i="3"/>
  <c r="H17" i="3"/>
  <c r="F14" i="3"/>
  <c r="F18" i="3"/>
  <c r="F16" i="3"/>
  <c r="N22" i="3"/>
  <c r="G6" i="3"/>
  <c r="H16" i="3"/>
  <c r="F6" i="3"/>
  <c r="H14" i="3"/>
  <c r="H12" i="4"/>
  <c r="F12" i="4"/>
  <c r="P12" i="4"/>
  <c r="H10" i="4"/>
  <c r="H14" i="4"/>
  <c r="F14" i="4"/>
  <c r="F16" i="4"/>
  <c r="H11" i="4"/>
  <c r="D6" i="4"/>
  <c r="F6" i="4"/>
  <c r="G6" i="4"/>
  <c r="J18" i="4"/>
  <c r="H18" i="4"/>
  <c r="L11" i="4"/>
  <c r="N16" i="4"/>
  <c r="L10" i="4"/>
  <c r="L18" i="4"/>
  <c r="N11" i="4"/>
  <c r="N10" i="4"/>
  <c r="P11" i="4"/>
  <c r="F11" i="4"/>
  <c r="L16" i="4"/>
  <c r="H16" i="4"/>
  <c r="F10" i="4"/>
  <c r="P10" i="4"/>
  <c r="F18" i="4"/>
  <c r="D24" i="4"/>
  <c r="D25" i="4"/>
  <c r="H17" i="4"/>
  <c r="J17" i="4"/>
  <c r="J22" i="4"/>
  <c r="L17" i="4"/>
  <c r="F17" i="4"/>
  <c r="F13" i="1"/>
  <c r="H10" i="1"/>
  <c r="J10" i="1"/>
  <c r="L18" i="1"/>
  <c r="J13" i="1"/>
  <c r="H13" i="1"/>
  <c r="H25" i="1"/>
  <c r="J16" i="1"/>
  <c r="P10" i="1"/>
  <c r="F10" i="1"/>
  <c r="L10" i="1"/>
  <c r="P13" i="1"/>
  <c r="P16" i="1"/>
  <c r="J25" i="1"/>
  <c r="P18" i="1"/>
  <c r="L13" i="1"/>
  <c r="N25" i="1"/>
  <c r="J18" i="1"/>
  <c r="J17" i="1"/>
  <c r="H16" i="1"/>
  <c r="P15" i="1"/>
  <c r="D27" i="1"/>
  <c r="H6" i="1"/>
  <c r="F15" i="1"/>
  <c r="H15" i="1"/>
  <c r="L17" i="1"/>
  <c r="J15" i="1"/>
  <c r="L16" i="1"/>
  <c r="F17" i="1"/>
  <c r="N17" i="1"/>
  <c r="F16" i="1"/>
  <c r="H17" i="1"/>
  <c r="P18" i="5"/>
  <c r="F18" i="5"/>
  <c r="F14" i="5"/>
  <c r="F11" i="5"/>
  <c r="P15" i="5"/>
  <c r="J18" i="5"/>
  <c r="P11" i="5"/>
  <c r="L25" i="5"/>
  <c r="H11" i="5"/>
  <c r="P14" i="5"/>
  <c r="H14" i="5"/>
  <c r="L14" i="5"/>
  <c r="J14" i="5"/>
  <c r="J16" i="5"/>
  <c r="J10" i="5"/>
  <c r="L10" i="5"/>
  <c r="R10" i="5"/>
  <c r="R27" i="5"/>
  <c r="H10" i="5"/>
  <c r="N10" i="5"/>
  <c r="F10" i="5"/>
  <c r="N16" i="5"/>
  <c r="F16" i="5"/>
  <c r="P16" i="5"/>
  <c r="H16" i="5"/>
  <c r="F15" i="5"/>
  <c r="D27" i="5"/>
  <c r="H6" i="5"/>
  <c r="H15" i="5"/>
  <c r="N15" i="5"/>
  <c r="J17" i="5"/>
  <c r="L17" i="5"/>
  <c r="J15" i="5"/>
  <c r="F17" i="5"/>
  <c r="N17" i="5"/>
  <c r="H17" i="5"/>
  <c r="H33" i="2"/>
  <c r="P33" i="2"/>
  <c r="J25" i="2"/>
  <c r="N39" i="2"/>
  <c r="L39" i="2"/>
  <c r="P25" i="2"/>
  <c r="F25" i="2"/>
  <c r="H25" i="2"/>
  <c r="L25" i="2"/>
  <c r="N27" i="1"/>
  <c r="N28" i="1"/>
  <c r="J24" i="3"/>
  <c r="J25" i="3"/>
  <c r="N24" i="3"/>
  <c r="F24" i="3"/>
  <c r="F25" i="3"/>
  <c r="H24" i="3"/>
  <c r="H25" i="3"/>
  <c r="L24" i="3"/>
  <c r="L25" i="3"/>
  <c r="F24" i="4"/>
  <c r="F25" i="4"/>
  <c r="H24" i="4"/>
  <c r="H25" i="4"/>
  <c r="P24" i="4"/>
  <c r="L24" i="4"/>
  <c r="L25" i="4"/>
  <c r="N24" i="4"/>
  <c r="J24" i="4"/>
  <c r="J25" i="4"/>
  <c r="H27" i="1"/>
  <c r="H28" i="1"/>
  <c r="L27" i="1"/>
  <c r="L28" i="1"/>
  <c r="F27" i="1"/>
  <c r="F28" i="1"/>
  <c r="J27" i="1"/>
  <c r="P27" i="1"/>
  <c r="D28" i="1"/>
  <c r="L27" i="5"/>
  <c r="L28" i="5"/>
  <c r="N27" i="5"/>
  <c r="N28" i="5"/>
  <c r="D28" i="5"/>
  <c r="P27" i="5"/>
  <c r="H27" i="5"/>
  <c r="H28" i="5"/>
  <c r="F27" i="5"/>
  <c r="F28" i="5"/>
  <c r="J27" i="5"/>
  <c r="K29" i="1"/>
  <c r="K26" i="3"/>
  <c r="K26" i="4"/>
  <c r="J28" i="1"/>
  <c r="J28" i="5"/>
  <c r="K29" i="5"/>
  <c r="N31" i="2"/>
  <c r="H35" i="2"/>
  <c r="N24" i="2"/>
  <c r="L37" i="2"/>
  <c r="P30" i="2"/>
  <c r="J28" i="2"/>
  <c r="L26" i="2"/>
  <c r="H36" i="2"/>
  <c r="N40" i="2"/>
  <c r="F23" i="2"/>
  <c r="D41" i="2"/>
  <c r="P27" i="2"/>
  <c r="L23" i="2"/>
  <c r="N34" i="2"/>
  <c r="J23" i="2"/>
  <c r="R23" i="2"/>
  <c r="R41" i="2"/>
  <c r="N27" i="2"/>
  <c r="H39" i="2"/>
  <c r="N33" i="2"/>
  <c r="L33" i="2"/>
  <c r="J40" i="2"/>
  <c r="N23" i="2"/>
  <c r="F26" i="2"/>
  <c r="L40" i="2"/>
  <c r="F28" i="2"/>
  <c r="F31" i="2"/>
  <c r="L27" i="2"/>
  <c r="H27" i="2"/>
  <c r="F34" i="2"/>
  <c r="L34" i="2"/>
  <c r="P34" i="2"/>
  <c r="F27" i="2"/>
  <c r="J39" i="2"/>
  <c r="J33" i="2"/>
  <c r="H40" i="2"/>
  <c r="P23" i="2"/>
  <c r="J34" i="2"/>
  <c r="P32" i="2"/>
  <c r="N26" i="2"/>
  <c r="N32" i="2"/>
  <c r="H28" i="2"/>
  <c r="J31" i="2"/>
  <c r="H31" i="2"/>
  <c r="L31" i="2"/>
  <c r="P28" i="2"/>
  <c r="H37" i="2"/>
  <c r="F41" i="2"/>
  <c r="P7" i="2"/>
  <c r="N41" i="2"/>
  <c r="H41" i="2"/>
  <c r="H42" i="2"/>
  <c r="J41" i="2"/>
  <c r="J42" i="2"/>
  <c r="L41" i="2"/>
  <c r="P41" i="2"/>
  <c r="N42" i="2"/>
  <c r="D42" i="2"/>
  <c r="L42" i="2"/>
  <c r="H43" i="2"/>
  <c r="K43" i="2"/>
  <c r="E7" i="2" l="1"/>
  <c r="G7" i="2" s="1"/>
  <c r="F42" i="2" s="1"/>
</calcChain>
</file>

<file path=xl/sharedStrings.xml><?xml version="1.0" encoding="utf-8"?>
<sst xmlns="http://schemas.openxmlformats.org/spreadsheetml/2006/main" count="365" uniqueCount="162">
  <si>
    <t xml:space="preserve">                                                                                                Formulación de raciones  </t>
  </si>
  <si>
    <t>Peso cabrito</t>
  </si>
  <si>
    <t>Peso Metab</t>
  </si>
  <si>
    <t>GDPV (Kg)</t>
  </si>
  <si>
    <t>Requerimientos PB (g/d)</t>
  </si>
  <si>
    <t>Requerimientos EM (Mcal/d)</t>
  </si>
  <si>
    <t>Requerimientos Ca (g/d)</t>
  </si>
  <si>
    <t>Requerimientos P (g/d)</t>
  </si>
  <si>
    <t>Req. EE % (0-4 semanas)</t>
  </si>
  <si>
    <t>Req. EE % (4-8 semanas)</t>
  </si>
  <si>
    <t>Req. EE % (8-12 semanas)</t>
  </si>
  <si>
    <t>MTC</t>
  </si>
  <si>
    <t>Aportes  PB</t>
  </si>
  <si>
    <t>Aportes EM</t>
  </si>
  <si>
    <t>Aporte Ca</t>
  </si>
  <si>
    <t>Aporte P</t>
  </si>
  <si>
    <t>Aporte EE</t>
  </si>
  <si>
    <t>Costo/día</t>
  </si>
  <si>
    <t>MTC Kg</t>
  </si>
  <si>
    <t>% MS</t>
  </si>
  <si>
    <t xml:space="preserve"> MS Kg</t>
  </si>
  <si>
    <t>PB</t>
  </si>
  <si>
    <t>PB Total</t>
  </si>
  <si>
    <t>Mcal EM/Kg MS</t>
  </si>
  <si>
    <t xml:space="preserve"> Mcal EM Total</t>
  </si>
  <si>
    <t>Ca (g/kg)</t>
  </si>
  <si>
    <t>Ca. total</t>
  </si>
  <si>
    <t>P (g/kg)</t>
  </si>
  <si>
    <t>P. total</t>
  </si>
  <si>
    <t>% EE</t>
  </si>
  <si>
    <t>% EE total</t>
  </si>
  <si>
    <t>Precio/Kg</t>
  </si>
  <si>
    <t>Precio total</t>
  </si>
  <si>
    <t>Sustituto lácteo cabrito</t>
  </si>
  <si>
    <t>Sustituto lácteo ternero</t>
  </si>
  <si>
    <t>Maiz</t>
  </si>
  <si>
    <t>Afrechillo</t>
  </si>
  <si>
    <t>Heno de alfa</t>
  </si>
  <si>
    <t>Campo natural</t>
  </si>
  <si>
    <t xml:space="preserve">Balanceado iniciador </t>
  </si>
  <si>
    <t>Balanceado DP</t>
  </si>
  <si>
    <t>Balanceado 16 %</t>
  </si>
  <si>
    <t>Exp. Soja</t>
  </si>
  <si>
    <t xml:space="preserve">Bagazo de cebasda seca </t>
  </si>
  <si>
    <t>Orujo uva seco</t>
  </si>
  <si>
    <t>Conchilla</t>
  </si>
  <si>
    <t>Fosfato dicálcico</t>
  </si>
  <si>
    <t>TOTAL</t>
  </si>
  <si>
    <t>CTMS/PV (%)</t>
  </si>
  <si>
    <t xml:space="preserve">Balance </t>
  </si>
  <si>
    <t>CTMS/PV (%Referencia)</t>
  </si>
  <si>
    <t>Ca/P</t>
  </si>
  <si>
    <t xml:space="preserve">Citas: </t>
  </si>
  <si>
    <t xml:space="preserve">AFRC (1998), NRC (2007) </t>
  </si>
  <si>
    <t>INRA (2007 y 2018)</t>
  </si>
  <si>
    <t xml:space="preserve">Sustituto lácteo </t>
  </si>
  <si>
    <t xml:space="preserve">Balanceado DP </t>
  </si>
  <si>
    <t>Balanceado 16%</t>
  </si>
  <si>
    <t>Requerimientos FDN</t>
  </si>
  <si>
    <t>Requerimientos EE %</t>
  </si>
  <si>
    <t>Aporte FDN</t>
  </si>
  <si>
    <t>% FDN</t>
  </si>
  <si>
    <t>% FDN total</t>
  </si>
  <si>
    <t>CN (heno)</t>
  </si>
  <si>
    <t>Pastura base alfalfa</t>
  </si>
  <si>
    <t>Pastura base trébol</t>
  </si>
  <si>
    <t>Verdeo avena</t>
  </si>
  <si>
    <t>Balanceado comercial</t>
  </si>
  <si>
    <t>Balanceado BANT</t>
  </si>
  <si>
    <t>Malta húmeda</t>
  </si>
  <si>
    <t xml:space="preserve">Malta seca </t>
  </si>
  <si>
    <t>Orujo uva</t>
  </si>
  <si>
    <t>Req. Proteícos</t>
  </si>
  <si>
    <t>Req. Energéticos</t>
  </si>
  <si>
    <t>PV</t>
  </si>
  <si>
    <t>GB</t>
  </si>
  <si>
    <t>Lt x día</t>
  </si>
  <si>
    <t xml:space="preserve"> PB mant.</t>
  </si>
  <si>
    <t>PB mant (ajustado)</t>
  </si>
  <si>
    <t>PB producción</t>
  </si>
  <si>
    <t>Req. total PB(gr)</t>
  </si>
  <si>
    <t>EM. Mant</t>
  </si>
  <si>
    <t>EM. Mant. (ajustado)</t>
  </si>
  <si>
    <t>EM. Produc.</t>
  </si>
  <si>
    <t>EM total (ajustado)</t>
  </si>
  <si>
    <t>EM total</t>
  </si>
  <si>
    <t>EM x Moviliz.</t>
  </si>
  <si>
    <t>EM x Recup</t>
  </si>
  <si>
    <t>Ca (g/d)</t>
  </si>
  <si>
    <t>P (g/d)</t>
  </si>
  <si>
    <t>% lipidos</t>
  </si>
  <si>
    <t>FDN total %</t>
  </si>
  <si>
    <t>FDN efectiva  %</t>
  </si>
  <si>
    <t>Actividad volunt. (10 a 40%)</t>
  </si>
  <si>
    <t>Actividad reproductiva 10%</t>
  </si>
  <si>
    <t>Movilización</t>
  </si>
  <si>
    <t>PDPV</t>
  </si>
  <si>
    <t>GDPV</t>
  </si>
  <si>
    <t>Gestación</t>
  </si>
  <si>
    <t>PENC</t>
  </si>
  <si>
    <t>NC</t>
  </si>
  <si>
    <t>Dias de gestación</t>
  </si>
  <si>
    <t>UTG PB</t>
  </si>
  <si>
    <t>UTG EM</t>
  </si>
  <si>
    <t>Costo</t>
  </si>
  <si>
    <t>Alimentos</t>
  </si>
  <si>
    <t>Heno campo natural</t>
  </si>
  <si>
    <t>Silo maíz</t>
  </si>
  <si>
    <t xml:space="preserve">Expeller soja </t>
  </si>
  <si>
    <t>Bagazo cebada húmedo</t>
  </si>
  <si>
    <t>Bagazo cebada seco</t>
  </si>
  <si>
    <t>CTMS/PV</t>
  </si>
  <si>
    <t>CTMS (est. inicio lact.) (1)</t>
  </si>
  <si>
    <t>CTMS/PV%</t>
  </si>
  <si>
    <t xml:space="preserve">                         %</t>
  </si>
  <si>
    <t>FDNe</t>
  </si>
  <si>
    <t>CTMS (est. mitad lact.) (2)</t>
  </si>
  <si>
    <t>CTMS 2008 (3)</t>
  </si>
  <si>
    <t>CTMS 2003 (4)</t>
  </si>
  <si>
    <t>Semanas de lactanción</t>
  </si>
  <si>
    <t>FEDNA 2009</t>
  </si>
  <si>
    <t>Elizondo, 2002</t>
  </si>
  <si>
    <t>NRC, 1981</t>
  </si>
  <si>
    <t>Referencias:</t>
  </si>
  <si>
    <t>Celda A7: colocar peso vivo</t>
  </si>
  <si>
    <t>Celda B7: colocar % de grasa butirosa de la leche</t>
  </si>
  <si>
    <t>Celda C7: colocar litros promedio/cabra/día</t>
  </si>
  <si>
    <t>Celda B9: colocar actividad voluntaria del 10% al 40% según sistema de producción</t>
  </si>
  <si>
    <t>Celda B10: colocar actividad reproductiva 10% si corresponde</t>
  </si>
  <si>
    <t>Celda B12: colar pérdida de peso en Kg por movilización de reservas en las primeras 8 semanas post-parto (balance energético negativo)</t>
  </si>
  <si>
    <t>Celda B13: colar gancia de peso en Kg pora recuperación de reservas en período de balance energético positivo</t>
  </si>
  <si>
    <t>Celda B15: en último tercio de gestación (UTG), colocar el peso estimado al nacimiento de los cabritos</t>
  </si>
  <si>
    <t>Celda B16: en último tercio de gestación (UTG), colocar el número de crías (1,2,3)</t>
  </si>
  <si>
    <t>Celda B17: colocar los días de gestación</t>
  </si>
  <si>
    <t>Celda B18: requerimiento de PB en último tercio de gestación (UTG) por fórmula</t>
  </si>
  <si>
    <t>Celda B19: requerimiento de EM en último tercio de gestación (UTG) por fórmula</t>
  </si>
  <si>
    <t>Celda D7: requerimiento de PB para mantenimiento (fórmula)</t>
  </si>
  <si>
    <t>Celda E7: requerimiento de PB para mantenimiento ajustado (incluye los ajustes correspondientes según situación: UTG, actividad reproductiva)</t>
  </si>
  <si>
    <t>Celda F7: requerimiento de PB para producción de leche (fórmula)</t>
  </si>
  <si>
    <t>Celda G7: requerimiento de PB total (fórmula)</t>
  </si>
  <si>
    <t>Celda H7: requerimiento de EM para mantenimiento (fórmula)</t>
  </si>
  <si>
    <t>Celda I7: requerimiento de EM para mantenimiento ajustado (incluye los ajustes correspondientes según situación: UTG, actividad reproductiva, actividad voluntaria)</t>
  </si>
  <si>
    <t>Celda J7: requerimiento de EM para producción de leche (fórmula)</t>
  </si>
  <si>
    <t>Celda K7: requerimiento de EM total ajustado por movilización o recuperación de peso vivo (fórmula)</t>
  </si>
  <si>
    <t>Celda L7: requerimiento de EM total (fórmula)</t>
  </si>
  <si>
    <t>Celda M7: EM producto de la movilización por reservas (fórmula)</t>
  </si>
  <si>
    <t xml:space="preserve">Celda N7: EM producto de la ganacia de peso en momentos de recuperación (fórmula) </t>
  </si>
  <si>
    <t>Celda O7: requerimiento de Ca total (fórmula)</t>
  </si>
  <si>
    <t>Celda P7: requerimiento de P total (fórmula)</t>
  </si>
  <si>
    <t>Celda Q7: requerimiento máximo de lípidos (valor de referencia)</t>
  </si>
  <si>
    <t>Celda R7: requerimiento máximo de FDN (valor de refencia)</t>
  </si>
  <si>
    <t>Celdas B23 a B40 colocar las cantidades de alimentos elegidos para la ración más adecuada en Kg y en materia tal cual (MTC)</t>
  </si>
  <si>
    <t>Celda B41: consumo total de materia tal cual (MTC) en Kg/día</t>
  </si>
  <si>
    <t xml:space="preserve">Celda D41: consumo total de materia seca en Kg /día </t>
  </si>
  <si>
    <t>Celda D42: consumo total de materia seca / PV (%)</t>
  </si>
  <si>
    <t>Celda D43 a D46: consumo total de MS / PV (%) según diferentes fórmulas de predicción del consumo</t>
  </si>
  <si>
    <t>Celda D47: colocar semama de lactación, dato necesario para la predicción del consumo de la fórmula de la celda D45</t>
  </si>
  <si>
    <t>Celda Q23 a Q40: precio de los alimentos</t>
  </si>
  <si>
    <t xml:space="preserve">Celda R41: precio final de la dieta </t>
  </si>
  <si>
    <t>Si la dieta quedó balanceada debe coincidir: F41 con G7; H41 con L7 o K7 si moviliza o gana PV; J41 con O7; L41 con P7; P41 no debe superar a Q7 y N41 no superar a R7 o N42 al menos = a S7</t>
  </si>
  <si>
    <r>
      <t>H43: balance energético expesado en %, no debe superar el 25 al 30% en balance energético negativo para evitar riesgos de cetosis en animales con condición corporal elevada (</t>
    </r>
    <r>
      <rPr>
        <u/>
        <sz val="9"/>
        <color indexed="8"/>
        <rFont val="Times New Roman"/>
        <family val="1"/>
      </rPr>
      <t xml:space="preserve">&lt; </t>
    </r>
    <r>
      <rPr>
        <sz val="9"/>
        <color indexed="8"/>
        <rFont val="Times New Roman"/>
        <family val="1"/>
      </rPr>
      <t>4)</t>
    </r>
  </si>
  <si>
    <t>K43: relación calcio/fósforo (2/1 la relación mínima)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</si>
</sst>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8"/>
      <color indexed="8"/>
      <name val="Calibri"/>
      <family val="2"/>
    </font>
    <font>
      <b/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u/>
      <sz val="9"/>
      <color indexed="8"/>
      <name val="Times New Roman"/>
      <family val="1"/>
    </font>
    <font>
      <b/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2" fontId="0" fillId="0" borderId="0" xfId="0" applyNumberFormat="1"/>
    <xf numFmtId="0" fontId="2" fillId="2" borderId="1" xfId="0" applyFont="1" applyFill="1" applyBorder="1"/>
    <xf numFmtId="0" fontId="0" fillId="0" borderId="0" xfId="0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/>
    <xf numFmtId="2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7" fillId="0" borderId="3" xfId="0" applyFont="1" applyBorder="1"/>
    <xf numFmtId="0" fontId="18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6" fillId="0" borderId="3" xfId="0" applyFont="1" applyBorder="1"/>
    <xf numFmtId="0" fontId="16" fillId="0" borderId="3" xfId="0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2" fontId="17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2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2" fontId="8" fillId="7" borderId="3" xfId="0" applyNumberFormat="1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2" fontId="8" fillId="8" borderId="3" xfId="0" applyNumberFormat="1" applyFont="1" applyFill="1" applyBorder="1" applyAlignment="1">
      <alignment horizontal="center"/>
    </xf>
    <xf numFmtId="2" fontId="8" fillId="9" borderId="3" xfId="0" applyNumberFormat="1" applyFont="1" applyFill="1" applyBorder="1" applyAlignment="1">
      <alignment horizontal="center"/>
    </xf>
    <xf numFmtId="2" fontId="8" fillId="10" borderId="3" xfId="0" applyNumberFormat="1" applyFont="1" applyFill="1" applyBorder="1" applyAlignment="1">
      <alignment horizontal="center"/>
    </xf>
    <xf numFmtId="2" fontId="10" fillId="11" borderId="3" xfId="0" applyNumberFormat="1" applyFont="1" applyFill="1" applyBorder="1" applyAlignment="1">
      <alignment horizontal="center"/>
    </xf>
    <xf numFmtId="2" fontId="8" fillId="12" borderId="3" xfId="0" applyNumberFormat="1" applyFont="1" applyFill="1" applyBorder="1" applyAlignment="1">
      <alignment horizontal="center"/>
    </xf>
    <xf numFmtId="2" fontId="18" fillId="7" borderId="3" xfId="0" applyNumberFormat="1" applyFont="1" applyFill="1" applyBorder="1" applyAlignment="1">
      <alignment horizontal="center"/>
    </xf>
    <xf numFmtId="0" fontId="18" fillId="0" borderId="3" xfId="0" applyFont="1" applyBorder="1"/>
    <xf numFmtId="2" fontId="18" fillId="13" borderId="3" xfId="0" applyNumberFormat="1" applyFont="1" applyFill="1" applyBorder="1" applyAlignment="1">
      <alignment horizontal="center"/>
    </xf>
    <xf numFmtId="2" fontId="10" fillId="8" borderId="3" xfId="0" applyNumberFormat="1" applyFont="1" applyFill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2" fontId="18" fillId="9" borderId="3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2" fontId="10" fillId="14" borderId="3" xfId="0" applyNumberFormat="1" applyFont="1" applyFill="1" applyBorder="1" applyAlignment="1">
      <alignment horizontal="center"/>
    </xf>
    <xf numFmtId="2" fontId="18" fillId="0" borderId="3" xfId="0" applyNumberFormat="1" applyFont="1" applyBorder="1" applyAlignment="1">
      <alignment horizontal="center"/>
    </xf>
    <xf numFmtId="2" fontId="8" fillId="4" borderId="3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7" fillId="0" borderId="4" xfId="0" applyFont="1" applyBorder="1"/>
    <xf numFmtId="0" fontId="18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6" fillId="0" borderId="5" xfId="0" applyFont="1" applyBorder="1"/>
    <xf numFmtId="0" fontId="8" fillId="7" borderId="5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8" fillId="8" borderId="5" xfId="0" applyFont="1" applyFill="1" applyBorder="1" applyAlignment="1">
      <alignment horizontal="center"/>
    </xf>
    <xf numFmtId="0" fontId="17" fillId="0" borderId="5" xfId="0" applyFont="1" applyBorder="1"/>
    <xf numFmtId="0" fontId="18" fillId="15" borderId="5" xfId="0" applyFont="1" applyFill="1" applyBorder="1" applyAlignment="1">
      <alignment horizontal="center"/>
    </xf>
    <xf numFmtId="0" fontId="18" fillId="10" borderId="5" xfId="0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/>
    </xf>
    <xf numFmtId="0" fontId="18" fillId="16" borderId="6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7" xfId="0" applyFont="1" applyBorder="1"/>
    <xf numFmtId="0" fontId="8" fillId="0" borderId="7" xfId="0" applyFont="1" applyBorder="1"/>
    <xf numFmtId="2" fontId="8" fillId="5" borderId="8" xfId="0" applyNumberFormat="1" applyFont="1" applyFill="1" applyBorder="1" applyAlignment="1">
      <alignment horizontal="center"/>
    </xf>
    <xf numFmtId="0" fontId="8" fillId="12" borderId="7" xfId="0" applyFont="1" applyFill="1" applyBorder="1"/>
    <xf numFmtId="0" fontId="17" fillId="0" borderId="8" xfId="0" applyFont="1" applyBorder="1"/>
    <xf numFmtId="0" fontId="8" fillId="17" borderId="7" xfId="0" applyFont="1" applyFill="1" applyBorder="1"/>
    <xf numFmtId="0" fontId="8" fillId="0" borderId="9" xfId="0" applyFont="1" applyBorder="1"/>
    <xf numFmtId="0" fontId="18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2" fontId="8" fillId="4" borderId="10" xfId="0" applyNumberFormat="1" applyFont="1" applyFill="1" applyBorder="1" applyAlignment="1">
      <alignment horizontal="center"/>
    </xf>
    <xf numFmtId="0" fontId="8" fillId="0" borderId="11" xfId="0" applyFont="1" applyBorder="1"/>
    <xf numFmtId="0" fontId="16" fillId="0" borderId="9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6" fillId="0" borderId="0" xfId="0" applyFont="1"/>
    <xf numFmtId="2" fontId="16" fillId="0" borderId="0" xfId="0" applyNumberFormat="1" applyFont="1"/>
    <xf numFmtId="2" fontId="6" fillId="0" borderId="0" xfId="0" applyNumberFormat="1" applyFont="1"/>
    <xf numFmtId="0" fontId="13" fillId="0" borderId="0" xfId="0" applyFont="1"/>
    <xf numFmtId="0" fontId="17" fillId="0" borderId="0" xfId="0" applyFont="1" applyAlignment="1">
      <alignment vertical="center"/>
    </xf>
    <xf numFmtId="0" fontId="16" fillId="0" borderId="8" xfId="0" applyFont="1" applyBorder="1"/>
    <xf numFmtId="0" fontId="17" fillId="0" borderId="9" xfId="0" applyFont="1" applyBorder="1" applyAlignment="1">
      <alignment horizontal="center"/>
    </xf>
    <xf numFmtId="0" fontId="16" fillId="0" borderId="11" xfId="0" applyFont="1" applyBorder="1"/>
    <xf numFmtId="2" fontId="8" fillId="6" borderId="3" xfId="0" applyNumberFormat="1" applyFont="1" applyFill="1" applyBorder="1" applyAlignment="1">
      <alignment horizontal="center"/>
    </xf>
    <xf numFmtId="2" fontId="10" fillId="18" borderId="3" xfId="0" applyNumberFormat="1" applyFont="1" applyFill="1" applyBorder="1" applyAlignment="1">
      <alignment horizontal="center"/>
    </xf>
    <xf numFmtId="0" fontId="12" fillId="19" borderId="3" xfId="0" applyFont="1" applyFill="1" applyBorder="1" applyAlignment="1">
      <alignment horizontal="center"/>
    </xf>
    <xf numFmtId="2" fontId="18" fillId="19" borderId="3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3" borderId="7" xfId="0" applyFont="1" applyFill="1" applyBorder="1"/>
    <xf numFmtId="0" fontId="16" fillId="0" borderId="10" xfId="0" applyFont="1" applyBorder="1"/>
    <xf numFmtId="0" fontId="18" fillId="0" borderId="9" xfId="0" applyFont="1" applyBorder="1"/>
    <xf numFmtId="2" fontId="16" fillId="0" borderId="10" xfId="0" applyNumberFormat="1" applyFont="1" applyBorder="1"/>
    <xf numFmtId="2" fontId="6" fillId="0" borderId="10" xfId="0" applyNumberFormat="1" applyFont="1" applyBorder="1"/>
    <xf numFmtId="0" fontId="20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19" fillId="13" borderId="12" xfId="0" applyFont="1" applyFill="1" applyBorder="1"/>
    <xf numFmtId="0" fontId="19" fillId="8" borderId="12" xfId="0" applyFont="1" applyFill="1" applyBorder="1"/>
    <xf numFmtId="0" fontId="19" fillId="9" borderId="12" xfId="0" applyFont="1" applyFill="1" applyBorder="1"/>
    <xf numFmtId="0" fontId="19" fillId="10" borderId="12" xfId="0" applyFont="1" applyFill="1" applyBorder="1" applyAlignment="1">
      <alignment horizontal="center"/>
    </xf>
    <xf numFmtId="0" fontId="19" fillId="11" borderId="13" xfId="0" applyFont="1" applyFill="1" applyBorder="1" applyAlignment="1">
      <alignment horizontal="center"/>
    </xf>
    <xf numFmtId="2" fontId="17" fillId="0" borderId="0" xfId="0" applyNumberFormat="1" applyFont="1" applyAlignment="1">
      <alignment horizontal="center"/>
    </xf>
    <xf numFmtId="0" fontId="18" fillId="0" borderId="6" xfId="0" applyFont="1" applyBorder="1" applyAlignment="1">
      <alignment horizontal="center"/>
    </xf>
    <xf numFmtId="0" fontId="8" fillId="0" borderId="8" xfId="0" applyFont="1" applyBorder="1"/>
    <xf numFmtId="0" fontId="17" fillId="0" borderId="4" xfId="0" applyFont="1" applyBorder="1" applyAlignment="1">
      <alignment horizontal="center"/>
    </xf>
    <xf numFmtId="0" fontId="0" fillId="0" borderId="12" xfId="0" applyBorder="1"/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23" fillId="12" borderId="0" xfId="0" applyFont="1" applyFill="1" applyAlignment="1">
      <alignment horizontal="center"/>
    </xf>
    <xf numFmtId="0" fontId="23" fillId="12" borderId="0" xfId="0" applyFont="1" applyFill="1"/>
    <xf numFmtId="0" fontId="0" fillId="12" borderId="0" xfId="0" applyFill="1"/>
    <xf numFmtId="0" fontId="0" fillId="12" borderId="18" xfId="0" applyFill="1" applyBorder="1"/>
    <xf numFmtId="0" fontId="0" fillId="12" borderId="19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20" xfId="0" applyFill="1" applyBorder="1"/>
    <xf numFmtId="0" fontId="0" fillId="12" borderId="21" xfId="0" applyFill="1" applyBorder="1"/>
    <xf numFmtId="0" fontId="17" fillId="0" borderId="7" xfId="0" applyFont="1" applyBorder="1" applyAlignment="1">
      <alignment horizontal="left"/>
    </xf>
    <xf numFmtId="0" fontId="24" fillId="0" borderId="0" xfId="0" applyFont="1"/>
    <xf numFmtId="0" fontId="18" fillId="0" borderId="0" xfId="0" applyFont="1"/>
    <xf numFmtId="0" fontId="17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2" fontId="17" fillId="0" borderId="10" xfId="0" applyNumberFormat="1" applyFont="1" applyBorder="1" applyAlignment="1">
      <alignment horizontal="center"/>
    </xf>
    <xf numFmtId="9" fontId="8" fillId="11" borderId="10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2" fontId="8" fillId="2" borderId="25" xfId="0" applyNumberFormat="1" applyFont="1" applyFill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24" fillId="0" borderId="2" xfId="0" applyFont="1" applyBorder="1" applyAlignment="1">
      <alignment horizontal="left"/>
    </xf>
    <xf numFmtId="0" fontId="24" fillId="0" borderId="14" xfId="0" applyFont="1" applyBorder="1" applyAlignment="1">
      <alignment horizontal="left"/>
    </xf>
    <xf numFmtId="0" fontId="17" fillId="0" borderId="27" xfId="0" applyFont="1" applyBorder="1"/>
    <xf numFmtId="0" fontId="17" fillId="0" borderId="12" xfId="0" applyFont="1" applyBorder="1" applyAlignment="1">
      <alignment horizontal="center"/>
    </xf>
    <xf numFmtId="0" fontId="17" fillId="0" borderId="12" xfId="0" applyFont="1" applyBorder="1"/>
    <xf numFmtId="0" fontId="8" fillId="0" borderId="12" xfId="0" applyFont="1" applyBorder="1"/>
    <xf numFmtId="0" fontId="8" fillId="2" borderId="28" xfId="0" applyFont="1" applyFill="1" applyBorder="1" applyAlignment="1">
      <alignment horizontal="center"/>
    </xf>
    <xf numFmtId="0" fontId="17" fillId="0" borderId="29" xfId="0" applyFont="1" applyBorder="1"/>
    <xf numFmtId="0" fontId="17" fillId="0" borderId="30" xfId="0" applyFont="1" applyBorder="1"/>
    <xf numFmtId="0" fontId="17" fillId="0" borderId="31" xfId="0" applyFont="1" applyBorder="1" applyAlignment="1">
      <alignment horizontal="center"/>
    </xf>
    <xf numFmtId="0" fontId="18" fillId="20" borderId="10" xfId="0" applyFont="1" applyFill="1" applyBorder="1" applyAlignment="1">
      <alignment horizontal="center"/>
    </xf>
    <xf numFmtId="2" fontId="8" fillId="21" borderId="3" xfId="0" applyNumberFormat="1" applyFont="1" applyFill="1" applyBorder="1" applyAlignment="1">
      <alignment horizontal="center"/>
    </xf>
    <xf numFmtId="0" fontId="18" fillId="21" borderId="32" xfId="0" applyFont="1" applyFill="1" applyBorder="1" applyAlignment="1">
      <alignment horizontal="center"/>
    </xf>
    <xf numFmtId="2" fontId="8" fillId="22" borderId="3" xfId="0" applyNumberFormat="1" applyFont="1" applyFill="1" applyBorder="1" applyAlignment="1">
      <alignment horizontal="center"/>
    </xf>
    <xf numFmtId="0" fontId="18" fillId="10" borderId="12" xfId="0" applyFont="1" applyFill="1" applyBorder="1" applyAlignment="1">
      <alignment horizontal="center"/>
    </xf>
    <xf numFmtId="2" fontId="8" fillId="10" borderId="10" xfId="0" applyNumberFormat="1" applyFont="1" applyFill="1" applyBorder="1" applyAlignment="1">
      <alignment horizontal="center"/>
    </xf>
    <xf numFmtId="2" fontId="18" fillId="10" borderId="3" xfId="0" applyNumberFormat="1" applyFont="1" applyFill="1" applyBorder="1" applyAlignment="1">
      <alignment horizontal="center"/>
    </xf>
    <xf numFmtId="2" fontId="8" fillId="23" borderId="3" xfId="0" applyNumberFormat="1" applyFont="1" applyFill="1" applyBorder="1" applyAlignment="1">
      <alignment horizontal="center"/>
    </xf>
    <xf numFmtId="2" fontId="10" fillId="24" borderId="3" xfId="0" applyNumberFormat="1" applyFont="1" applyFill="1" applyBorder="1" applyAlignment="1">
      <alignment horizontal="center"/>
    </xf>
    <xf numFmtId="164" fontId="18" fillId="25" borderId="3" xfId="0" applyNumberFormat="1" applyFont="1" applyFill="1" applyBorder="1" applyAlignment="1">
      <alignment horizontal="center"/>
    </xf>
    <xf numFmtId="0" fontId="18" fillId="25" borderId="10" xfId="0" applyFont="1" applyFill="1" applyBorder="1" applyAlignment="1">
      <alignment horizontal="center"/>
    </xf>
    <xf numFmtId="0" fontId="11" fillId="24" borderId="3" xfId="0" applyFont="1" applyFill="1" applyBorder="1" applyAlignment="1">
      <alignment horizontal="center"/>
    </xf>
    <xf numFmtId="0" fontId="12" fillId="25" borderId="3" xfId="0" applyFont="1" applyFill="1" applyBorder="1" applyAlignment="1">
      <alignment horizontal="center"/>
    </xf>
    <xf numFmtId="2" fontId="18" fillId="22" borderId="3" xfId="0" applyNumberFormat="1" applyFont="1" applyFill="1" applyBorder="1" applyAlignment="1">
      <alignment horizontal="center"/>
    </xf>
    <xf numFmtId="2" fontId="8" fillId="22" borderId="10" xfId="0" applyNumberFormat="1" applyFont="1" applyFill="1" applyBorder="1" applyAlignment="1">
      <alignment horizontal="center"/>
    </xf>
    <xf numFmtId="2" fontId="8" fillId="26" borderId="3" xfId="0" applyNumberFormat="1" applyFont="1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17" fillId="12" borderId="0" xfId="0" applyFont="1" applyFill="1" applyAlignment="1">
      <alignment vertical="center"/>
    </xf>
    <xf numFmtId="0" fontId="25" fillId="12" borderId="14" xfId="0" applyFont="1" applyFill="1" applyBorder="1" applyAlignment="1">
      <alignment vertical="center"/>
    </xf>
    <xf numFmtId="0" fontId="17" fillId="12" borderId="15" xfId="0" applyFont="1" applyFill="1" applyBorder="1" applyAlignment="1">
      <alignment vertical="center"/>
    </xf>
    <xf numFmtId="0" fontId="17" fillId="12" borderId="16" xfId="0" applyFont="1" applyFill="1" applyBorder="1" applyAlignment="1">
      <alignment vertical="center"/>
    </xf>
    <xf numFmtId="0" fontId="17" fillId="12" borderId="17" xfId="0" applyFont="1" applyFill="1" applyBorder="1" applyAlignment="1">
      <alignment vertical="center"/>
    </xf>
    <xf numFmtId="0" fontId="17" fillId="12" borderId="0" xfId="0" applyFont="1" applyFill="1" applyAlignment="1">
      <alignment horizontal="center"/>
    </xf>
    <xf numFmtId="0" fontId="17" fillId="12" borderId="0" xfId="0" applyFont="1" applyFill="1"/>
    <xf numFmtId="0" fontId="17" fillId="12" borderId="18" xfId="0" applyFont="1" applyFill="1" applyBorder="1"/>
    <xf numFmtId="0" fontId="26" fillId="12" borderId="0" xfId="0" applyFont="1" applyFill="1"/>
    <xf numFmtId="0" fontId="26" fillId="12" borderId="0" xfId="0" applyFont="1" applyFill="1" applyAlignment="1">
      <alignment horizontal="center"/>
    </xf>
    <xf numFmtId="2" fontId="17" fillId="12" borderId="0" xfId="0" applyNumberFormat="1" applyFont="1" applyFill="1"/>
    <xf numFmtId="0" fontId="8" fillId="12" borderId="0" xfId="0" applyFont="1" applyFill="1" applyAlignment="1">
      <alignment horizontal="center"/>
    </xf>
    <xf numFmtId="2" fontId="8" fillId="12" borderId="0" xfId="0" applyNumberFormat="1" applyFont="1" applyFill="1"/>
    <xf numFmtId="2" fontId="17" fillId="12" borderId="18" xfId="0" applyNumberFormat="1" applyFont="1" applyFill="1" applyBorder="1"/>
    <xf numFmtId="2" fontId="8" fillId="12" borderId="18" xfId="0" applyNumberFormat="1" applyFont="1" applyFill="1" applyBorder="1"/>
    <xf numFmtId="0" fontId="26" fillId="12" borderId="18" xfId="0" applyFont="1" applyFill="1" applyBorder="1"/>
    <xf numFmtId="0" fontId="26" fillId="12" borderId="19" xfId="0" applyFont="1" applyFill="1" applyBorder="1"/>
    <xf numFmtId="0" fontId="26" fillId="12" borderId="20" xfId="0" applyFont="1" applyFill="1" applyBorder="1" applyAlignment="1">
      <alignment horizontal="center"/>
    </xf>
    <xf numFmtId="0" fontId="17" fillId="12" borderId="20" xfId="0" applyFont="1" applyFill="1" applyBorder="1" applyAlignment="1">
      <alignment horizontal="center"/>
    </xf>
    <xf numFmtId="0" fontId="17" fillId="12" borderId="20" xfId="0" applyFont="1" applyFill="1" applyBorder="1"/>
    <xf numFmtId="0" fontId="17" fillId="12" borderId="21" xfId="0" applyFont="1" applyFill="1" applyBorder="1"/>
    <xf numFmtId="0" fontId="17" fillId="0" borderId="0" xfId="0" applyFont="1" applyAlignment="1">
      <alignment horizontal="left"/>
    </xf>
    <xf numFmtId="2" fontId="8" fillId="13" borderId="25" xfId="0" applyNumberFormat="1" applyFont="1" applyFill="1" applyBorder="1" applyAlignment="1">
      <alignment horizontal="center"/>
    </xf>
    <xf numFmtId="2" fontId="17" fillId="0" borderId="0" xfId="0" applyNumberFormat="1" applyFont="1"/>
    <xf numFmtId="0" fontId="17" fillId="0" borderId="33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2" fontId="8" fillId="13" borderId="1" xfId="0" applyNumberFormat="1" applyFont="1" applyFill="1" applyBorder="1" applyAlignment="1">
      <alignment horizontal="center"/>
    </xf>
    <xf numFmtId="0" fontId="17" fillId="0" borderId="35" xfId="0" applyFont="1" applyBorder="1" applyAlignment="1">
      <alignment horizontal="center"/>
    </xf>
    <xf numFmtId="2" fontId="8" fillId="1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57150</xdr:rowOff>
    </xdr:from>
    <xdr:to>
      <xdr:col>0</xdr:col>
      <xdr:colOff>1038225</xdr:colOff>
      <xdr:row>3</xdr:row>
      <xdr:rowOff>142875</xdr:rowOff>
    </xdr:to>
    <xdr:pic>
      <xdr:nvPicPr>
        <xdr:cNvPr id="3298" name="Imagen 2">
          <a:extLst>
            <a:ext uri="{FF2B5EF4-FFF2-40B4-BE49-F238E27FC236}">
              <a16:creationId xmlns:a16="http://schemas.microsoft.com/office/drawing/2014/main" id="{FDB306C5-9F36-0390-32DF-7D2D1B13D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0"/>
          <a:ext cx="828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19050</xdr:rowOff>
    </xdr:from>
    <xdr:to>
      <xdr:col>0</xdr:col>
      <xdr:colOff>1000125</xdr:colOff>
      <xdr:row>3</xdr:row>
      <xdr:rowOff>171450</xdr:rowOff>
    </xdr:to>
    <xdr:pic>
      <xdr:nvPicPr>
        <xdr:cNvPr id="4258" name="Imagen 3">
          <a:extLst>
            <a:ext uri="{FF2B5EF4-FFF2-40B4-BE49-F238E27FC236}">
              <a16:creationId xmlns:a16="http://schemas.microsoft.com/office/drawing/2014/main" id="{1E1AB896-311F-D859-0202-CEA514854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9048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0</xdr:col>
      <xdr:colOff>1085850</xdr:colOff>
      <xdr:row>3</xdr:row>
      <xdr:rowOff>161925</xdr:rowOff>
    </xdr:to>
    <xdr:pic>
      <xdr:nvPicPr>
        <xdr:cNvPr id="1303" name="Imagen 3">
          <a:extLst>
            <a:ext uri="{FF2B5EF4-FFF2-40B4-BE49-F238E27FC236}">
              <a16:creationId xmlns:a16="http://schemas.microsoft.com/office/drawing/2014/main" id="{9F73B26A-8E7D-6998-04A7-B98A8DEC7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9144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0</xdr:col>
      <xdr:colOff>1095375</xdr:colOff>
      <xdr:row>3</xdr:row>
      <xdr:rowOff>171450</xdr:rowOff>
    </xdr:to>
    <xdr:pic>
      <xdr:nvPicPr>
        <xdr:cNvPr id="5277" name="Imagen 2">
          <a:extLst>
            <a:ext uri="{FF2B5EF4-FFF2-40B4-BE49-F238E27FC236}">
              <a16:creationId xmlns:a16="http://schemas.microsoft.com/office/drawing/2014/main" id="{8B6472AF-D960-12AB-3F1F-A281C15E9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9239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0</xdr:col>
      <xdr:colOff>1076325</xdr:colOff>
      <xdr:row>3</xdr:row>
      <xdr:rowOff>152400</xdr:rowOff>
    </xdr:to>
    <xdr:pic>
      <xdr:nvPicPr>
        <xdr:cNvPr id="2327" name="Imagen 3">
          <a:extLst>
            <a:ext uri="{FF2B5EF4-FFF2-40B4-BE49-F238E27FC236}">
              <a16:creationId xmlns:a16="http://schemas.microsoft.com/office/drawing/2014/main" id="{9FC1955A-4FAD-E3AB-506A-54236D201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9048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1D0-B076-4D75-9D20-B541E522B928}">
  <dimension ref="A1:P32"/>
  <sheetViews>
    <sheetView topLeftCell="A5" zoomScaleNormal="100" workbookViewId="0">
      <selection activeCell="B10" sqref="B10:B23"/>
    </sheetView>
  </sheetViews>
  <sheetFormatPr defaultRowHeight="14.25" x14ac:dyDescent="0.45"/>
  <cols>
    <col min="1" max="1" width="22.3984375" bestFit="1" customWidth="1"/>
    <col min="2" max="3" width="11.86328125" bestFit="1" customWidth="1"/>
    <col min="4" max="4" width="24" customWidth="1"/>
    <col min="5" max="5" width="28.1328125" bestFit="1" customWidth="1"/>
    <col min="6" max="6" width="23.86328125" bestFit="1" customWidth="1"/>
    <col min="7" max="7" width="22.59765625" bestFit="1" customWidth="1"/>
    <col min="8" max="9" width="24.73046875" customWidth="1"/>
    <col min="10" max="10" width="26.265625" bestFit="1" customWidth="1"/>
    <col min="11" max="256" width="11.3984375" customWidth="1"/>
  </cols>
  <sheetData>
    <row r="1" spans="1:16" x14ac:dyDescent="0.45">
      <c r="A1" s="124"/>
      <c r="B1" s="125"/>
      <c r="C1" s="125"/>
      <c r="D1" s="125"/>
      <c r="E1" s="126"/>
      <c r="F1" s="126"/>
      <c r="G1" s="126"/>
      <c r="H1" s="125"/>
      <c r="I1" s="125"/>
      <c r="J1" s="181"/>
    </row>
    <row r="2" spans="1:16" ht="15.4" x14ac:dyDescent="0.45">
      <c r="A2" s="128"/>
      <c r="B2" s="129"/>
      <c r="C2" s="129"/>
      <c r="D2" s="130" t="s">
        <v>0</v>
      </c>
      <c r="E2" s="131"/>
      <c r="F2" s="132"/>
      <c r="G2" s="132"/>
      <c r="H2" s="129"/>
      <c r="I2" s="129"/>
      <c r="J2" s="182"/>
    </row>
    <row r="3" spans="1:16" x14ac:dyDescent="0.45">
      <c r="A3" s="128"/>
      <c r="B3" s="129"/>
      <c r="C3" s="129"/>
      <c r="D3" s="129"/>
      <c r="E3" s="132"/>
      <c r="F3" s="132"/>
      <c r="G3" s="132"/>
      <c r="H3" s="129"/>
      <c r="I3" s="129"/>
      <c r="J3" s="182"/>
    </row>
    <row r="4" spans="1:16" ht="14.65" thickBot="1" x14ac:dyDescent="0.5">
      <c r="A4" s="134"/>
      <c r="B4" s="135"/>
      <c r="C4" s="135"/>
      <c r="D4" s="135"/>
      <c r="E4" s="136"/>
      <c r="F4" s="136"/>
      <c r="G4" s="136"/>
      <c r="H4" s="135"/>
      <c r="I4" s="135"/>
      <c r="J4" s="183"/>
    </row>
    <row r="5" spans="1:16" x14ac:dyDescent="0.45">
      <c r="A5" s="111" t="s">
        <v>1</v>
      </c>
      <c r="B5" s="112" t="s">
        <v>2</v>
      </c>
      <c r="C5" s="112" t="s">
        <v>3</v>
      </c>
      <c r="D5" s="113" t="s">
        <v>4</v>
      </c>
      <c r="E5" s="114" t="s">
        <v>5</v>
      </c>
      <c r="F5" s="115" t="s">
        <v>6</v>
      </c>
      <c r="G5" s="116" t="s">
        <v>7</v>
      </c>
      <c r="H5" s="118" t="s">
        <v>8</v>
      </c>
      <c r="I5" s="118" t="s">
        <v>9</v>
      </c>
      <c r="J5" s="118" t="s">
        <v>10</v>
      </c>
      <c r="K5" s="108"/>
      <c r="L5" s="108"/>
      <c r="M5" s="108"/>
      <c r="N5" s="108"/>
      <c r="O5" s="108"/>
      <c r="P5" s="108"/>
    </row>
    <row r="6" spans="1:16" ht="14.65" thickBot="1" x14ac:dyDescent="0.5">
      <c r="A6" s="83">
        <v>10</v>
      </c>
      <c r="B6" s="84">
        <f>(A6^0.75)</f>
        <v>5.6234132519034921</v>
      </c>
      <c r="C6" s="85">
        <v>0.1</v>
      </c>
      <c r="D6" s="86">
        <f>(4.75*B6) + (420*C6)</f>
        <v>68.711212946541593</v>
      </c>
      <c r="E6" s="86">
        <f>0.107 *B6+ 3.6*C6</f>
        <v>0.96170521795367359</v>
      </c>
      <c r="F6" s="86">
        <f>0.13*B6 + 3.5*C6</f>
        <v>1.0810437227474541</v>
      </c>
      <c r="G6" s="86">
        <f>+ 0.09*B6 + 2.8*C6</f>
        <v>0.78610719267131435</v>
      </c>
      <c r="H6" s="88">
        <v>25</v>
      </c>
      <c r="I6" s="88">
        <v>8</v>
      </c>
      <c r="J6" s="88">
        <v>6</v>
      </c>
      <c r="K6" s="18"/>
      <c r="L6" s="18"/>
      <c r="M6" s="18"/>
      <c r="N6" s="18"/>
      <c r="O6" s="18"/>
      <c r="P6" s="18"/>
    </row>
    <row r="7" spans="1:16" ht="14.65" thickBot="1" x14ac:dyDescent="0.5">
      <c r="A7" s="17"/>
      <c r="B7" s="17"/>
      <c r="C7" s="17"/>
      <c r="D7" s="17"/>
      <c r="E7" s="18"/>
      <c r="F7" s="18"/>
      <c r="G7" s="18"/>
      <c r="H7" s="17"/>
      <c r="I7" s="17"/>
      <c r="J7" s="18"/>
      <c r="K7" s="18"/>
      <c r="L7" s="18"/>
      <c r="M7" s="18"/>
      <c r="N7" s="18"/>
      <c r="O7" s="18"/>
      <c r="P7" s="18"/>
    </row>
    <row r="8" spans="1:16" x14ac:dyDescent="0.45">
      <c r="A8" s="53"/>
      <c r="B8" s="54" t="s">
        <v>11</v>
      </c>
      <c r="C8" s="55"/>
      <c r="D8" s="55"/>
      <c r="E8" s="56"/>
      <c r="F8" s="57" t="s">
        <v>12</v>
      </c>
      <c r="G8" s="56"/>
      <c r="H8" s="58" t="s">
        <v>13</v>
      </c>
      <c r="I8" s="59"/>
      <c r="J8" s="60" t="s">
        <v>14</v>
      </c>
      <c r="K8" s="61"/>
      <c r="L8" s="62" t="s">
        <v>15</v>
      </c>
      <c r="M8" s="61"/>
      <c r="N8" s="64" t="s">
        <v>16</v>
      </c>
      <c r="O8" s="61"/>
      <c r="P8" s="65" t="s">
        <v>17</v>
      </c>
    </row>
    <row r="9" spans="1:16" x14ac:dyDescent="0.45">
      <c r="A9" s="66"/>
      <c r="B9" s="27" t="s">
        <v>18</v>
      </c>
      <c r="C9" s="27" t="s">
        <v>19</v>
      </c>
      <c r="D9" s="27" t="s">
        <v>20</v>
      </c>
      <c r="E9" s="27" t="s">
        <v>21</v>
      </c>
      <c r="F9" s="27" t="s">
        <v>22</v>
      </c>
      <c r="G9" s="27" t="s">
        <v>23</v>
      </c>
      <c r="H9" s="27" t="s">
        <v>24</v>
      </c>
      <c r="I9" s="27" t="s">
        <v>25</v>
      </c>
      <c r="J9" s="27" t="s">
        <v>26</v>
      </c>
      <c r="K9" s="27" t="s">
        <v>27</v>
      </c>
      <c r="L9" s="27" t="s">
        <v>28</v>
      </c>
      <c r="M9" s="27" t="s">
        <v>29</v>
      </c>
      <c r="N9" s="27" t="s">
        <v>30</v>
      </c>
      <c r="O9" s="27" t="s">
        <v>31</v>
      </c>
      <c r="P9" s="67" t="s">
        <v>32</v>
      </c>
    </row>
    <row r="10" spans="1:16" x14ac:dyDescent="0.45">
      <c r="A10" s="138" t="s">
        <v>33</v>
      </c>
      <c r="B10" s="27"/>
      <c r="C10" s="27">
        <v>0.95</v>
      </c>
      <c r="D10" s="31">
        <f>+((B10*C10))</f>
        <v>0</v>
      </c>
      <c r="E10" s="27">
        <v>0.25</v>
      </c>
      <c r="F10" s="31">
        <f>+(D10*E10)*1000</f>
        <v>0</v>
      </c>
      <c r="G10" s="27">
        <v>4.5</v>
      </c>
      <c r="H10" s="31">
        <f t="shared" ref="H10:H15" si="0">(D10*G10)</f>
        <v>0</v>
      </c>
      <c r="I10" s="27">
        <v>8</v>
      </c>
      <c r="J10" s="31">
        <f t="shared" ref="J10:J20" si="1">(D10*I10)</f>
        <v>0</v>
      </c>
      <c r="K10" s="27">
        <v>6.5</v>
      </c>
      <c r="L10" s="31">
        <f t="shared" ref="L10:L20" si="2">(D10*K10)</f>
        <v>0</v>
      </c>
      <c r="M10" s="27">
        <v>25</v>
      </c>
      <c r="N10" s="27">
        <f t="shared" ref="N10:N20" si="3">(M10*D10)/100</f>
        <v>0</v>
      </c>
      <c r="O10" s="27"/>
      <c r="P10" s="67">
        <f>(O10*D10)</f>
        <v>0</v>
      </c>
    </row>
    <row r="11" spans="1:16" x14ac:dyDescent="0.45">
      <c r="A11" s="138" t="s">
        <v>34</v>
      </c>
      <c r="B11" s="27"/>
      <c r="C11" s="27">
        <v>0.95</v>
      </c>
      <c r="D11" s="31">
        <f>+((B11*C11)*1.05)</f>
        <v>0</v>
      </c>
      <c r="E11" s="27">
        <v>0.22</v>
      </c>
      <c r="F11" s="31">
        <f>+(D11*E11)*1000</f>
        <v>0</v>
      </c>
      <c r="G11" s="27">
        <v>3.9</v>
      </c>
      <c r="H11" s="31">
        <f t="shared" si="0"/>
        <v>0</v>
      </c>
      <c r="I11" s="27">
        <v>9</v>
      </c>
      <c r="J11" s="31">
        <f t="shared" si="1"/>
        <v>0</v>
      </c>
      <c r="K11" s="27">
        <v>8</v>
      </c>
      <c r="L11" s="31">
        <f t="shared" si="2"/>
        <v>0</v>
      </c>
      <c r="M11" s="27">
        <v>15</v>
      </c>
      <c r="N11" s="27">
        <f t="shared" si="3"/>
        <v>0</v>
      </c>
      <c r="O11" s="27"/>
      <c r="P11" s="67">
        <f>(O11*D11)</f>
        <v>0</v>
      </c>
    </row>
    <row r="12" spans="1:16" x14ac:dyDescent="0.45">
      <c r="A12" s="68" t="s">
        <v>35</v>
      </c>
      <c r="B12" s="30"/>
      <c r="C12" s="27">
        <v>0.87</v>
      </c>
      <c r="D12" s="31">
        <f>(B12*C12)</f>
        <v>0</v>
      </c>
      <c r="E12" s="27">
        <v>0.09</v>
      </c>
      <c r="F12" s="31">
        <f>+(D12*E12)*1000</f>
        <v>0</v>
      </c>
      <c r="G12" s="27">
        <v>3.39</v>
      </c>
      <c r="H12" s="31">
        <f t="shared" si="0"/>
        <v>0</v>
      </c>
      <c r="I12" s="27">
        <v>0.2</v>
      </c>
      <c r="J12" s="31">
        <f t="shared" si="1"/>
        <v>0</v>
      </c>
      <c r="K12" s="27">
        <v>2</v>
      </c>
      <c r="L12" s="31">
        <f t="shared" si="2"/>
        <v>0</v>
      </c>
      <c r="M12" s="27">
        <v>4.3</v>
      </c>
      <c r="N12" s="27">
        <f t="shared" si="3"/>
        <v>0</v>
      </c>
      <c r="O12" s="27">
        <v>375</v>
      </c>
      <c r="P12" s="67">
        <f>(O12*D12)</f>
        <v>0</v>
      </c>
    </row>
    <row r="13" spans="1:16" x14ac:dyDescent="0.45">
      <c r="A13" s="68" t="s">
        <v>36</v>
      </c>
      <c r="B13" s="30"/>
      <c r="C13" s="27">
        <v>0.87</v>
      </c>
      <c r="D13" s="31">
        <f>(B13*C13)</f>
        <v>0</v>
      </c>
      <c r="E13" s="27">
        <v>0.17</v>
      </c>
      <c r="F13" s="30">
        <f t="shared" ref="F13:F20" si="4">+(D13*E13)*1000</f>
        <v>0</v>
      </c>
      <c r="G13" s="27">
        <v>2.54</v>
      </c>
      <c r="H13" s="31">
        <f>(D13*G13)</f>
        <v>0</v>
      </c>
      <c r="I13" s="27">
        <v>2.5</v>
      </c>
      <c r="J13" s="31">
        <f t="shared" si="1"/>
        <v>0</v>
      </c>
      <c r="K13" s="27">
        <v>10</v>
      </c>
      <c r="L13" s="31">
        <f t="shared" si="2"/>
        <v>0</v>
      </c>
      <c r="M13" s="27">
        <v>4.2</v>
      </c>
      <c r="N13" s="27">
        <f t="shared" si="3"/>
        <v>0</v>
      </c>
      <c r="O13" s="27">
        <v>350</v>
      </c>
      <c r="P13" s="67">
        <f t="shared" ref="P13:P20" si="5">(O13*B13)</f>
        <v>0</v>
      </c>
    </row>
    <row r="14" spans="1:16" x14ac:dyDescent="0.45">
      <c r="A14" s="68" t="s">
        <v>37</v>
      </c>
      <c r="B14" s="30"/>
      <c r="C14" s="27">
        <v>0.85</v>
      </c>
      <c r="D14" s="31">
        <f t="shared" ref="D14:D19" si="6">(B14*C14)</f>
        <v>0</v>
      </c>
      <c r="E14" s="27">
        <v>0.13800000000000001</v>
      </c>
      <c r="F14" s="30">
        <f t="shared" si="4"/>
        <v>0</v>
      </c>
      <c r="G14" s="27">
        <v>2</v>
      </c>
      <c r="H14" s="31">
        <f t="shared" si="0"/>
        <v>0</v>
      </c>
      <c r="I14" s="27">
        <v>13</v>
      </c>
      <c r="J14" s="31">
        <f t="shared" si="1"/>
        <v>0</v>
      </c>
      <c r="K14" s="27">
        <v>2.4</v>
      </c>
      <c r="L14" s="31">
        <f t="shared" si="2"/>
        <v>0</v>
      </c>
      <c r="M14" s="32">
        <v>2</v>
      </c>
      <c r="N14" s="27">
        <f t="shared" si="3"/>
        <v>0</v>
      </c>
      <c r="O14" s="27">
        <v>275</v>
      </c>
      <c r="P14" s="67">
        <f t="shared" si="5"/>
        <v>0</v>
      </c>
    </row>
    <row r="15" spans="1:16" x14ac:dyDescent="0.45">
      <c r="A15" s="68" t="s">
        <v>38</v>
      </c>
      <c r="B15" s="30"/>
      <c r="C15" s="27">
        <v>0.3</v>
      </c>
      <c r="D15" s="31">
        <f t="shared" si="6"/>
        <v>0</v>
      </c>
      <c r="E15" s="27">
        <v>9.9000000000000005E-2</v>
      </c>
      <c r="F15" s="30">
        <f t="shared" si="4"/>
        <v>0</v>
      </c>
      <c r="G15" s="27">
        <v>2.1</v>
      </c>
      <c r="H15" s="31">
        <f t="shared" si="0"/>
        <v>0</v>
      </c>
      <c r="I15" s="27">
        <v>8</v>
      </c>
      <c r="J15" s="31">
        <f t="shared" si="1"/>
        <v>0</v>
      </c>
      <c r="K15" s="27">
        <v>3</v>
      </c>
      <c r="L15" s="31">
        <f t="shared" si="2"/>
        <v>0</v>
      </c>
      <c r="M15" s="27">
        <v>2.5</v>
      </c>
      <c r="N15" s="27">
        <f t="shared" si="3"/>
        <v>0</v>
      </c>
      <c r="O15" s="27">
        <v>10</v>
      </c>
      <c r="P15" s="67">
        <f t="shared" si="5"/>
        <v>0</v>
      </c>
    </row>
    <row r="16" spans="1:16" x14ac:dyDescent="0.45">
      <c r="A16" s="68" t="s">
        <v>39</v>
      </c>
      <c r="B16" s="30"/>
      <c r="C16" s="27">
        <v>0.9</v>
      </c>
      <c r="D16" s="31">
        <f t="shared" si="6"/>
        <v>0</v>
      </c>
      <c r="E16" s="27">
        <v>0.21</v>
      </c>
      <c r="F16" s="30">
        <f>+(D16*E16)*1000</f>
        <v>0</v>
      </c>
      <c r="G16" s="27">
        <v>2.8</v>
      </c>
      <c r="H16" s="31">
        <f>(D16*G16)</f>
        <v>0</v>
      </c>
      <c r="I16" s="27">
        <v>7</v>
      </c>
      <c r="J16" s="31">
        <f>(D16*I16)</f>
        <v>0</v>
      </c>
      <c r="K16" s="27">
        <v>6</v>
      </c>
      <c r="L16" s="31">
        <f>(D16*K16)</f>
        <v>0</v>
      </c>
      <c r="M16" s="27">
        <v>2.5</v>
      </c>
      <c r="N16" s="27">
        <f>(M16*D16)/100</f>
        <v>0</v>
      </c>
      <c r="O16" s="27">
        <v>500</v>
      </c>
      <c r="P16" s="67">
        <f>(O16*B16)</f>
        <v>0</v>
      </c>
    </row>
    <row r="17" spans="1:16" x14ac:dyDescent="0.45">
      <c r="A17" s="68" t="s">
        <v>40</v>
      </c>
      <c r="B17" s="30"/>
      <c r="C17" s="27">
        <v>0.9</v>
      </c>
      <c r="D17" s="31">
        <f t="shared" si="6"/>
        <v>0</v>
      </c>
      <c r="E17" s="27">
        <v>0.18</v>
      </c>
      <c r="F17" s="30">
        <f>+(D17*E17)*1000</f>
        <v>0</v>
      </c>
      <c r="G17" s="27">
        <v>2.7</v>
      </c>
      <c r="H17" s="31">
        <f>(D17*G17)</f>
        <v>0</v>
      </c>
      <c r="I17" s="27">
        <v>7</v>
      </c>
      <c r="J17" s="31">
        <f>(D17*I17)</f>
        <v>0</v>
      </c>
      <c r="K17" s="27">
        <v>6</v>
      </c>
      <c r="L17" s="31">
        <f>(D17*K17)</f>
        <v>0</v>
      </c>
      <c r="M17" s="27">
        <v>2.5</v>
      </c>
      <c r="N17" s="27">
        <f>(M17*D17)/100</f>
        <v>0</v>
      </c>
      <c r="O17" s="27">
        <v>450</v>
      </c>
      <c r="P17" s="67">
        <f>(O17*B17)</f>
        <v>0</v>
      </c>
    </row>
    <row r="18" spans="1:16" x14ac:dyDescent="0.45">
      <c r="A18" s="68" t="s">
        <v>41</v>
      </c>
      <c r="B18" s="30"/>
      <c r="C18" s="27">
        <v>0.9</v>
      </c>
      <c r="D18" s="31">
        <f t="shared" si="6"/>
        <v>0</v>
      </c>
      <c r="E18" s="27">
        <v>0.16</v>
      </c>
      <c r="F18" s="30">
        <f>+(D18*E18)*1000</f>
        <v>0</v>
      </c>
      <c r="G18" s="27">
        <v>2.6</v>
      </c>
      <c r="H18" s="31">
        <f>(D18*G18)</f>
        <v>0</v>
      </c>
      <c r="I18" s="27">
        <v>6</v>
      </c>
      <c r="J18" s="31">
        <f>(D18*I18)</f>
        <v>0</v>
      </c>
      <c r="K18" s="27">
        <v>5</v>
      </c>
      <c r="L18" s="31">
        <f>(D18*K18)</f>
        <v>0</v>
      </c>
      <c r="M18" s="27">
        <v>2.5</v>
      </c>
      <c r="N18" s="27">
        <f>(M18*D18)/100</f>
        <v>0</v>
      </c>
      <c r="O18" s="27">
        <v>380</v>
      </c>
      <c r="P18" s="67">
        <f>(O18*B18)</f>
        <v>0</v>
      </c>
    </row>
    <row r="19" spans="1:16" x14ac:dyDescent="0.45">
      <c r="A19" s="68" t="s">
        <v>42</v>
      </c>
      <c r="B19" s="30"/>
      <c r="C19" s="27">
        <v>0.88</v>
      </c>
      <c r="D19" s="31">
        <f t="shared" si="6"/>
        <v>0</v>
      </c>
      <c r="E19" s="27">
        <v>0.45200000000000001</v>
      </c>
      <c r="F19" s="30">
        <f>+(D19*E19)*1000</f>
        <v>0</v>
      </c>
      <c r="G19" s="27">
        <v>2.88</v>
      </c>
      <c r="H19" s="31">
        <v>0</v>
      </c>
      <c r="I19" s="27">
        <v>3.2</v>
      </c>
      <c r="J19" s="31">
        <v>0</v>
      </c>
      <c r="K19" s="27">
        <v>6.7</v>
      </c>
      <c r="L19" s="31">
        <v>0</v>
      </c>
      <c r="M19" s="27"/>
      <c r="N19" s="27">
        <v>0</v>
      </c>
      <c r="O19" s="27">
        <v>880</v>
      </c>
      <c r="P19" s="67">
        <v>0</v>
      </c>
    </row>
    <row r="20" spans="1:16" x14ac:dyDescent="0.45">
      <c r="A20" s="68" t="s">
        <v>43</v>
      </c>
      <c r="B20" s="30"/>
      <c r="C20" s="27">
        <v>0.95</v>
      </c>
      <c r="D20" s="31">
        <f>(B20*C20)</f>
        <v>0</v>
      </c>
      <c r="E20" s="27">
        <v>0.19</v>
      </c>
      <c r="F20" s="30">
        <f t="shared" si="4"/>
        <v>0</v>
      </c>
      <c r="G20" s="27">
        <v>2.72</v>
      </c>
      <c r="H20" s="31">
        <f>(D20*G20)</f>
        <v>0</v>
      </c>
      <c r="I20" s="27">
        <v>3</v>
      </c>
      <c r="J20" s="31">
        <f t="shared" si="1"/>
        <v>0</v>
      </c>
      <c r="K20" s="27">
        <v>6</v>
      </c>
      <c r="L20" s="31">
        <f t="shared" si="2"/>
        <v>0</v>
      </c>
      <c r="M20" s="27">
        <v>6.25</v>
      </c>
      <c r="N20" s="27">
        <f t="shared" si="3"/>
        <v>0</v>
      </c>
      <c r="O20" s="27">
        <v>120</v>
      </c>
      <c r="P20" s="67">
        <f t="shared" si="5"/>
        <v>0</v>
      </c>
    </row>
    <row r="21" spans="1:16" x14ac:dyDescent="0.45">
      <c r="A21" s="68" t="s">
        <v>44</v>
      </c>
      <c r="B21" s="30"/>
      <c r="C21" s="27">
        <v>0.95</v>
      </c>
      <c r="D21" s="31">
        <f>(B21*C21)</f>
        <v>0</v>
      </c>
      <c r="E21" s="27">
        <v>0.11</v>
      </c>
      <c r="F21" s="30">
        <f>+(D21*E21)*1000</f>
        <v>0</v>
      </c>
      <c r="G21" s="27">
        <v>2</v>
      </c>
      <c r="H21" s="31">
        <f>(D21*G21)</f>
        <v>0</v>
      </c>
      <c r="I21" s="27">
        <v>4.5</v>
      </c>
      <c r="J21" s="31">
        <f>(D21*I21)</f>
        <v>0</v>
      </c>
      <c r="K21" s="27">
        <v>2</v>
      </c>
      <c r="L21" s="31">
        <f>(D21*K21)</f>
        <v>0</v>
      </c>
      <c r="M21" s="27">
        <v>1.4</v>
      </c>
      <c r="N21" s="27">
        <f>(M21*D21)/100</f>
        <v>0</v>
      </c>
      <c r="O21" s="27">
        <v>120</v>
      </c>
      <c r="P21" s="67">
        <f>(O21*B21)</f>
        <v>0</v>
      </c>
    </row>
    <row r="22" spans="1:16" x14ac:dyDescent="0.45">
      <c r="A22" s="68" t="s">
        <v>45</v>
      </c>
      <c r="B22" s="30"/>
      <c r="C22" s="27">
        <v>1</v>
      </c>
      <c r="D22" s="31">
        <f>(B22*C22)</f>
        <v>0</v>
      </c>
      <c r="E22" s="27"/>
      <c r="F22" s="30"/>
      <c r="G22" s="27"/>
      <c r="H22" s="31">
        <f>(D22*G22)</f>
        <v>0</v>
      </c>
      <c r="I22" s="27">
        <v>380</v>
      </c>
      <c r="J22" s="31">
        <f>(D22*I22)</f>
        <v>0</v>
      </c>
      <c r="K22" s="27"/>
      <c r="L22" s="31">
        <f>(D22*K22)</f>
        <v>0</v>
      </c>
      <c r="M22" s="27"/>
      <c r="N22" s="27">
        <f>(M22*D22)/100</f>
        <v>0</v>
      </c>
      <c r="O22" s="27"/>
      <c r="P22" s="67">
        <f>(O22*B22)</f>
        <v>0</v>
      </c>
    </row>
    <row r="23" spans="1:16" x14ac:dyDescent="0.45">
      <c r="A23" s="68" t="s">
        <v>46</v>
      </c>
      <c r="B23" s="30"/>
      <c r="C23" s="27">
        <v>1</v>
      </c>
      <c r="D23" s="31">
        <f>(B23*C23)</f>
        <v>0</v>
      </c>
      <c r="E23" s="27"/>
      <c r="F23" s="30"/>
      <c r="G23" s="27"/>
      <c r="H23" s="31">
        <f>(D23*G23)</f>
        <v>0</v>
      </c>
      <c r="I23" s="27">
        <v>220</v>
      </c>
      <c r="J23" s="31">
        <f>(D23*I23)</f>
        <v>0</v>
      </c>
      <c r="K23" s="27">
        <v>180</v>
      </c>
      <c r="L23" s="31">
        <f>(D23*K23)</f>
        <v>0</v>
      </c>
      <c r="M23" s="27"/>
      <c r="N23" s="27">
        <f>(M23*D23)/100</f>
        <v>0</v>
      </c>
      <c r="O23" s="27"/>
      <c r="P23" s="67">
        <f>(O23*B23)</f>
        <v>0</v>
      </c>
    </row>
    <row r="24" spans="1:16" x14ac:dyDescent="0.45">
      <c r="A24" s="69" t="s">
        <v>47</v>
      </c>
      <c r="B24" s="33">
        <f>SUM(B12:B23)</f>
        <v>0</v>
      </c>
      <c r="C24" s="34"/>
      <c r="D24" s="33">
        <f>SUM(D10:D23)</f>
        <v>0</v>
      </c>
      <c r="E24" s="26"/>
      <c r="F24" s="35">
        <f>SUM(F10:F23)</f>
        <v>0</v>
      </c>
      <c r="G24" s="27"/>
      <c r="H24" s="36">
        <f>SUM(H10:H23)</f>
        <v>0</v>
      </c>
      <c r="I24" s="27"/>
      <c r="J24" s="37">
        <f>SUM(J10:J23)</f>
        <v>0</v>
      </c>
      <c r="K24" s="27"/>
      <c r="L24" s="38">
        <f>SUM(L10:L23)</f>
        <v>0</v>
      </c>
      <c r="M24" s="27"/>
      <c r="N24" s="40" t="e">
        <f>+(N10+N11+N12+N13+N14+N15+#REF!+N21+N16+N17+N18+N20+N19+N22+N23)/D24*100</f>
        <v>#REF!</v>
      </c>
      <c r="O24" s="25"/>
      <c r="P24" s="70">
        <f>+SUM(P10:P23)</f>
        <v>0</v>
      </c>
    </row>
    <row r="25" spans="1:16" x14ac:dyDescent="0.45">
      <c r="A25" s="71" t="s">
        <v>48</v>
      </c>
      <c r="B25" s="34"/>
      <c r="C25" s="29"/>
      <c r="D25" s="41">
        <f>(D24/A6)*100</f>
        <v>0</v>
      </c>
      <c r="E25" s="26" t="s">
        <v>49</v>
      </c>
      <c r="F25" s="42">
        <f>+F24-D6</f>
        <v>-68.711212946541593</v>
      </c>
      <c r="G25" s="43"/>
      <c r="H25" s="44">
        <f>+H24-E6</f>
        <v>-0.96170521795367359</v>
      </c>
      <c r="I25" s="29"/>
      <c r="J25" s="45">
        <f>+J24-F6</f>
        <v>-1.0810437227474541</v>
      </c>
      <c r="K25" s="46"/>
      <c r="L25" s="47">
        <f>+L24-G6</f>
        <v>-0.78610719267131435</v>
      </c>
      <c r="M25" s="25"/>
      <c r="N25" s="25"/>
      <c r="O25" s="25"/>
      <c r="P25" s="72"/>
    </row>
    <row r="26" spans="1:16" x14ac:dyDescent="0.45">
      <c r="A26" s="73" t="s">
        <v>50</v>
      </c>
      <c r="B26" s="26"/>
      <c r="C26" s="48"/>
      <c r="D26" s="49">
        <v>4</v>
      </c>
      <c r="E26" s="46"/>
      <c r="F26" s="28"/>
      <c r="G26" s="26"/>
      <c r="H26" s="50"/>
      <c r="I26" s="29"/>
      <c r="J26" s="28"/>
      <c r="K26" s="51" t="e">
        <f>+J24/L24</f>
        <v>#DIV/0!</v>
      </c>
      <c r="L26" s="28"/>
      <c r="M26" s="25"/>
      <c r="N26" s="25"/>
      <c r="O26" s="25"/>
      <c r="P26" s="72"/>
    </row>
    <row r="27" spans="1:16" ht="14.65" thickBot="1" x14ac:dyDescent="0.5">
      <c r="A27" s="74"/>
      <c r="B27" s="75"/>
      <c r="C27" s="76"/>
      <c r="D27" s="77"/>
      <c r="E27" s="77"/>
      <c r="F27" s="78"/>
      <c r="G27" s="79"/>
      <c r="H27" s="80"/>
      <c r="I27" s="80"/>
      <c r="J27" s="79"/>
      <c r="K27" s="81" t="s">
        <v>51</v>
      </c>
      <c r="L27" s="79"/>
      <c r="M27" s="79"/>
      <c r="N27" s="79"/>
      <c r="O27" s="79"/>
      <c r="P27" s="82"/>
    </row>
    <row r="28" spans="1:16" x14ac:dyDescent="0.45">
      <c r="A28" s="8"/>
      <c r="B28" s="11"/>
      <c r="C28" s="16"/>
      <c r="D28" s="10"/>
      <c r="E28" s="10"/>
      <c r="F28" s="9"/>
      <c r="H28" s="3"/>
      <c r="I28" s="3"/>
    </row>
    <row r="29" spans="1:16" x14ac:dyDescent="0.45">
      <c r="A29" s="139" t="s">
        <v>52</v>
      </c>
      <c r="B29" s="109"/>
      <c r="C29" s="16"/>
      <c r="D29" s="10"/>
      <c r="E29" s="10"/>
      <c r="F29" s="9"/>
      <c r="H29" s="3"/>
      <c r="I29" s="3"/>
    </row>
    <row r="30" spans="1:16" x14ac:dyDescent="0.45">
      <c r="A30" s="139" t="s">
        <v>53</v>
      </c>
      <c r="B30" s="110"/>
      <c r="C30" s="3"/>
      <c r="D30" s="11"/>
      <c r="H30" s="14"/>
      <c r="I30" s="3"/>
      <c r="J30" s="4"/>
      <c r="K30" s="4"/>
      <c r="L30" s="4"/>
    </row>
    <row r="31" spans="1:16" x14ac:dyDescent="0.45">
      <c r="A31" s="139" t="s">
        <v>54</v>
      </c>
      <c r="B31" s="3"/>
      <c r="C31" s="3"/>
      <c r="H31" s="3"/>
      <c r="I31" s="3"/>
    </row>
    <row r="32" spans="1:16" x14ac:dyDescent="0.45">
      <c r="A32" s="3"/>
      <c r="B32" s="3"/>
      <c r="C32" s="3"/>
      <c r="H32" s="3"/>
      <c r="I3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892D-A7C2-4DFE-B308-1B90A4712E2E}">
  <dimension ref="A1:IV32"/>
  <sheetViews>
    <sheetView topLeftCell="A7" workbookViewId="0">
      <selection activeCell="E27" sqref="E27"/>
    </sheetView>
  </sheetViews>
  <sheetFormatPr defaultRowHeight="14.25" x14ac:dyDescent="0.45"/>
  <cols>
    <col min="1" max="1" width="20.3984375" bestFit="1" customWidth="1"/>
    <col min="2" max="2" width="11.3984375" customWidth="1"/>
    <col min="3" max="3" width="11.86328125" bestFit="1" customWidth="1"/>
    <col min="4" max="4" width="26" customWidth="1"/>
    <col min="5" max="5" width="28.1328125" bestFit="1" customWidth="1"/>
    <col min="6" max="6" width="23.86328125" bestFit="1" customWidth="1"/>
    <col min="7" max="7" width="22.59765625" bestFit="1" customWidth="1"/>
    <col min="8" max="9" width="25" bestFit="1" customWidth="1"/>
    <col min="10" max="10" width="26.1328125" bestFit="1" customWidth="1"/>
    <col min="11" max="256" width="11.3984375" customWidth="1"/>
  </cols>
  <sheetData>
    <row r="1" spans="1:256" x14ac:dyDescent="0.45">
      <c r="A1" s="124"/>
      <c r="B1" s="125"/>
      <c r="C1" s="125"/>
      <c r="D1" s="125"/>
      <c r="E1" s="126"/>
      <c r="F1" s="126"/>
      <c r="G1" s="126"/>
      <c r="H1" s="125"/>
      <c r="I1" s="125"/>
      <c r="J1" s="181"/>
    </row>
    <row r="2" spans="1:256" ht="15.4" x14ac:dyDescent="0.45">
      <c r="A2" s="128"/>
      <c r="B2" s="129"/>
      <c r="C2" s="129"/>
      <c r="D2" s="130" t="s">
        <v>0</v>
      </c>
      <c r="E2" s="131"/>
      <c r="F2" s="132"/>
      <c r="G2" s="132"/>
      <c r="H2" s="129"/>
      <c r="I2" s="129"/>
      <c r="J2" s="182"/>
    </row>
    <row r="3" spans="1:256" x14ac:dyDescent="0.45">
      <c r="A3" s="128"/>
      <c r="B3" s="129"/>
      <c r="C3" s="129"/>
      <c r="D3" s="129"/>
      <c r="E3" s="132"/>
      <c r="F3" s="132"/>
      <c r="G3" s="132"/>
      <c r="H3" s="129"/>
      <c r="I3" s="129"/>
      <c r="J3" s="182"/>
    </row>
    <row r="4" spans="1:256" ht="14.65" thickBot="1" x14ac:dyDescent="0.5">
      <c r="A4" s="134"/>
      <c r="B4" s="135"/>
      <c r="C4" s="135"/>
      <c r="D4" s="135"/>
      <c r="E4" s="136"/>
      <c r="F4" s="136"/>
      <c r="G4" s="136"/>
      <c r="H4" s="135"/>
      <c r="I4" s="135"/>
      <c r="J4" s="183"/>
    </row>
    <row r="5" spans="1:256" x14ac:dyDescent="0.45">
      <c r="A5" s="111" t="s">
        <v>1</v>
      </c>
      <c r="B5" s="112" t="s">
        <v>2</v>
      </c>
      <c r="C5" s="112" t="s">
        <v>3</v>
      </c>
      <c r="D5" s="113" t="s">
        <v>4</v>
      </c>
      <c r="E5" s="114" t="s">
        <v>5</v>
      </c>
      <c r="F5" s="115" t="s">
        <v>6</v>
      </c>
      <c r="G5" s="116" t="s">
        <v>7</v>
      </c>
      <c r="H5" s="118" t="s">
        <v>8</v>
      </c>
      <c r="I5" s="118" t="s">
        <v>9</v>
      </c>
      <c r="J5" s="118" t="s">
        <v>10</v>
      </c>
      <c r="K5" s="108"/>
      <c r="L5" s="108"/>
      <c r="M5" s="108"/>
      <c r="N5" s="108"/>
      <c r="O5" s="108"/>
      <c r="P5" s="108"/>
    </row>
    <row r="6" spans="1:256" ht="14.65" thickBot="1" x14ac:dyDescent="0.5">
      <c r="A6" s="83">
        <v>9</v>
      </c>
      <c r="B6" s="84">
        <f>(A6^0.75)</f>
        <v>5.196152422706632</v>
      </c>
      <c r="C6" s="85">
        <v>0.1</v>
      </c>
      <c r="D6" s="86">
        <f>(4.5*B6) + (460*C6)</f>
        <v>69.382685902179844</v>
      </c>
      <c r="E6" s="86">
        <f xml:space="preserve"> 0.125 *B6 + 3.5*C6</f>
        <v>0.99951905283832909</v>
      </c>
      <c r="F6" s="86">
        <f>0.13*B6 + 3.5*C6</f>
        <v>1.0254998149518622</v>
      </c>
      <c r="G6" s="86">
        <f>+ 0.09*B6 + 2.8*C6</f>
        <v>0.74765371804359682</v>
      </c>
      <c r="H6" s="88">
        <v>25</v>
      </c>
      <c r="I6" s="88">
        <v>8</v>
      </c>
      <c r="J6" s="88">
        <v>6</v>
      </c>
      <c r="K6" s="18"/>
      <c r="L6" s="18"/>
      <c r="M6" s="18"/>
      <c r="N6" s="18"/>
      <c r="O6" s="18"/>
      <c r="P6" s="18"/>
    </row>
    <row r="7" spans="1:256" ht="14.65" thickBot="1" x14ac:dyDescent="0.5">
      <c r="A7" s="17"/>
      <c r="B7" s="17"/>
      <c r="C7" s="17"/>
      <c r="D7" s="17"/>
      <c r="E7" s="18"/>
      <c r="F7" s="18"/>
      <c r="G7" s="18"/>
      <c r="H7" s="17"/>
      <c r="I7" s="17"/>
      <c r="J7" s="18"/>
      <c r="K7" s="18"/>
      <c r="L7" s="18"/>
      <c r="M7" s="18"/>
      <c r="N7" s="18"/>
      <c r="O7" s="18"/>
      <c r="P7" s="18"/>
    </row>
    <row r="8" spans="1:256" x14ac:dyDescent="0.45">
      <c r="A8" s="53"/>
      <c r="B8" s="54" t="s">
        <v>11</v>
      </c>
      <c r="C8" s="55"/>
      <c r="D8" s="55"/>
      <c r="E8" s="56"/>
      <c r="F8" s="57" t="s">
        <v>12</v>
      </c>
      <c r="G8" s="56"/>
      <c r="H8" s="58" t="s">
        <v>13</v>
      </c>
      <c r="I8" s="59"/>
      <c r="J8" s="60" t="s">
        <v>14</v>
      </c>
      <c r="K8" s="61"/>
      <c r="L8" s="62" t="s">
        <v>15</v>
      </c>
      <c r="M8" s="61"/>
      <c r="N8" s="64" t="s">
        <v>16</v>
      </c>
      <c r="O8" s="61"/>
      <c r="P8" s="65" t="s">
        <v>17</v>
      </c>
    </row>
    <row r="9" spans="1:256" x14ac:dyDescent="0.45">
      <c r="A9" s="66"/>
      <c r="B9" s="27" t="s">
        <v>18</v>
      </c>
      <c r="C9" s="27" t="s">
        <v>19</v>
      </c>
      <c r="D9" s="27" t="s">
        <v>20</v>
      </c>
      <c r="E9" s="27" t="s">
        <v>21</v>
      </c>
      <c r="F9" s="27" t="s">
        <v>22</v>
      </c>
      <c r="G9" s="27" t="s">
        <v>23</v>
      </c>
      <c r="H9" s="27" t="s">
        <v>24</v>
      </c>
      <c r="I9" s="27" t="s">
        <v>25</v>
      </c>
      <c r="J9" s="27" t="s">
        <v>26</v>
      </c>
      <c r="K9" s="27" t="s">
        <v>27</v>
      </c>
      <c r="L9" s="27" t="s">
        <v>28</v>
      </c>
      <c r="M9" s="27" t="s">
        <v>29</v>
      </c>
      <c r="N9" s="27" t="s">
        <v>30</v>
      </c>
      <c r="O9" s="27" t="s">
        <v>31</v>
      </c>
      <c r="P9" s="67" t="s">
        <v>32</v>
      </c>
    </row>
    <row r="10" spans="1:256" x14ac:dyDescent="0.45">
      <c r="A10" s="138" t="s">
        <v>55</v>
      </c>
      <c r="B10" s="27"/>
      <c r="C10" s="27">
        <v>0.95</v>
      </c>
      <c r="D10" s="31">
        <f>+((B10*C10)*1.05)</f>
        <v>0</v>
      </c>
      <c r="E10" s="27">
        <v>0.25</v>
      </c>
      <c r="F10" s="31">
        <f>+(D10*E10)*1000</f>
        <v>0</v>
      </c>
      <c r="G10" s="27">
        <v>3</v>
      </c>
      <c r="H10" s="31">
        <f t="shared" ref="H10:H21" si="0">(D10*G10)</f>
        <v>0</v>
      </c>
      <c r="I10" s="27">
        <v>8</v>
      </c>
      <c r="J10" s="31">
        <f t="shared" ref="J10:J21" si="1">(D10*I10)</f>
        <v>0</v>
      </c>
      <c r="K10" s="27">
        <v>6.5</v>
      </c>
      <c r="L10" s="31">
        <f t="shared" ref="L10:L21" si="2">(D10*K10)</f>
        <v>0</v>
      </c>
      <c r="M10" s="27">
        <v>25</v>
      </c>
      <c r="N10" s="27">
        <f t="shared" ref="N10:N21" si="3">(M10*D10)/100</f>
        <v>0</v>
      </c>
      <c r="O10" s="27"/>
      <c r="P10" s="67">
        <f>(O10*D10)</f>
        <v>0</v>
      </c>
    </row>
    <row r="11" spans="1:256" x14ac:dyDescent="0.45">
      <c r="A11" s="138" t="s">
        <v>34</v>
      </c>
      <c r="B11" s="27"/>
      <c r="C11" s="27">
        <v>0.95</v>
      </c>
      <c r="D11" s="31">
        <f>+((B11*C11)*1.05)</f>
        <v>0</v>
      </c>
      <c r="E11" s="27">
        <v>0.22</v>
      </c>
      <c r="F11" s="31">
        <f>+(D11*E11)*1000</f>
        <v>0</v>
      </c>
      <c r="G11" s="27">
        <v>3.9</v>
      </c>
      <c r="H11" s="31">
        <f t="shared" si="0"/>
        <v>0</v>
      </c>
      <c r="I11" s="27">
        <v>9</v>
      </c>
      <c r="J11" s="31">
        <f t="shared" si="1"/>
        <v>0</v>
      </c>
      <c r="K11" s="27">
        <v>8</v>
      </c>
      <c r="L11" s="31">
        <f t="shared" si="2"/>
        <v>0</v>
      </c>
      <c r="M11" s="27">
        <v>15</v>
      </c>
      <c r="N11" s="27">
        <f t="shared" si="3"/>
        <v>0</v>
      </c>
      <c r="O11" s="27"/>
      <c r="P11" s="67">
        <f>(O11*D11)</f>
        <v>0</v>
      </c>
      <c r="Q11" s="205"/>
      <c r="R11" s="20"/>
      <c r="S11" s="20"/>
      <c r="T11" s="119"/>
      <c r="U11" s="20"/>
      <c r="V11" s="119"/>
      <c r="W11" s="20"/>
      <c r="X11" s="119"/>
      <c r="Y11" s="20"/>
      <c r="Z11" s="119"/>
      <c r="AA11" s="20"/>
      <c r="AB11" s="119"/>
      <c r="AC11" s="20"/>
      <c r="AD11" s="20"/>
      <c r="AE11" s="20"/>
      <c r="AF11" s="20"/>
      <c r="AG11" s="205"/>
      <c r="AH11" s="20"/>
      <c r="AI11" s="20"/>
      <c r="AJ11" s="119"/>
      <c r="AK11" s="20"/>
      <c r="AL11" s="119"/>
      <c r="AM11" s="20"/>
      <c r="AN11" s="119"/>
      <c r="AO11" s="20"/>
      <c r="AP11" s="119"/>
      <c r="AQ11" s="20"/>
      <c r="AR11" s="119"/>
      <c r="AS11" s="20"/>
      <c r="AT11" s="20"/>
      <c r="AU11" s="20"/>
      <c r="AV11" s="20"/>
      <c r="AW11" s="205"/>
      <c r="AX11" s="20"/>
      <c r="AY11" s="20"/>
      <c r="AZ11" s="119"/>
      <c r="BA11" s="20"/>
      <c r="BB11" s="119"/>
      <c r="BC11" s="20"/>
      <c r="BD11" s="119"/>
      <c r="BE11" s="20"/>
      <c r="BF11" s="119"/>
      <c r="BG11" s="20"/>
      <c r="BH11" s="119"/>
      <c r="BI11" s="20"/>
      <c r="BJ11" s="20"/>
      <c r="BK11" s="20"/>
      <c r="BL11" s="20"/>
      <c r="BM11" s="205"/>
      <c r="BN11" s="20"/>
      <c r="BO11" s="20"/>
      <c r="BP11" s="119"/>
      <c r="BQ11" s="20"/>
      <c r="BR11" s="119"/>
      <c r="BS11" s="20"/>
      <c r="BT11" s="119"/>
      <c r="BU11" s="20"/>
      <c r="BV11" s="119"/>
      <c r="BW11" s="20"/>
      <c r="BX11" s="119"/>
      <c r="BY11" s="20"/>
      <c r="BZ11" s="20"/>
      <c r="CA11" s="20"/>
      <c r="CB11" s="20"/>
      <c r="CC11" s="205"/>
      <c r="CD11" s="20"/>
      <c r="CE11" s="20"/>
      <c r="CF11" s="119"/>
      <c r="CG11" s="20"/>
      <c r="CH11" s="119"/>
      <c r="CI11" s="20"/>
      <c r="CJ11" s="119"/>
      <c r="CK11" s="20"/>
      <c r="CL11" s="119"/>
      <c r="CM11" s="20"/>
      <c r="CN11" s="119"/>
      <c r="CO11" s="20"/>
      <c r="CP11" s="20"/>
      <c r="CQ11" s="20"/>
      <c r="CR11" s="20"/>
      <c r="CS11" s="205"/>
      <c r="CT11" s="20"/>
      <c r="CU11" s="20"/>
      <c r="CV11" s="119"/>
      <c r="CW11" s="20"/>
      <c r="CX11" s="119"/>
      <c r="CY11" s="20"/>
      <c r="CZ11" s="119"/>
      <c r="DA11" s="20"/>
      <c r="DB11" s="119"/>
      <c r="DC11" s="20"/>
      <c r="DD11" s="119"/>
      <c r="DE11" s="20"/>
      <c r="DF11" s="20"/>
      <c r="DG11" s="20"/>
      <c r="DH11" s="20"/>
      <c r="DI11" s="205"/>
      <c r="DJ11" s="20"/>
      <c r="DK11" s="20"/>
      <c r="DL11" s="119"/>
      <c r="DM11" s="20"/>
      <c r="DN11" s="119"/>
      <c r="DO11" s="20"/>
      <c r="DP11" s="119"/>
      <c r="DQ11" s="20"/>
      <c r="DR11" s="119"/>
      <c r="DS11" s="20"/>
      <c r="DT11" s="119"/>
      <c r="DU11" s="20"/>
      <c r="DV11" s="20"/>
      <c r="DW11" s="20"/>
      <c r="DX11" s="20"/>
      <c r="DY11" s="205"/>
      <c r="DZ11" s="20"/>
      <c r="EA11" s="20"/>
      <c r="EB11" s="119"/>
      <c r="EC11" s="20"/>
      <c r="ED11" s="119"/>
      <c r="EE11" s="20"/>
      <c r="EF11" s="119"/>
      <c r="EG11" s="20"/>
      <c r="EH11" s="119"/>
      <c r="EI11" s="20"/>
      <c r="EJ11" s="119"/>
      <c r="EK11" s="20"/>
      <c r="EL11" s="20"/>
      <c r="EM11" s="20"/>
      <c r="EN11" s="20"/>
      <c r="EO11" s="205"/>
      <c r="EP11" s="20"/>
      <c r="EQ11" s="20"/>
      <c r="ER11" s="119"/>
      <c r="ES11" s="20"/>
      <c r="ET11" s="119"/>
      <c r="EU11" s="20"/>
      <c r="EV11" s="119"/>
      <c r="EW11" s="20"/>
      <c r="EX11" s="119"/>
      <c r="EY11" s="20"/>
      <c r="EZ11" s="119"/>
      <c r="FA11" s="20"/>
      <c r="FB11" s="20"/>
      <c r="FC11" s="20"/>
      <c r="FD11" s="20"/>
      <c r="FE11" s="205"/>
      <c r="FF11" s="20"/>
      <c r="FG11" s="20"/>
      <c r="FH11" s="119"/>
      <c r="FI11" s="20"/>
      <c r="FJ11" s="119"/>
      <c r="FK11" s="20"/>
      <c r="FL11" s="119"/>
      <c r="FM11" s="20"/>
      <c r="FN11" s="119"/>
      <c r="FO11" s="20"/>
      <c r="FP11" s="119"/>
      <c r="FQ11" s="20"/>
      <c r="FR11" s="20"/>
      <c r="FS11" s="20"/>
      <c r="FT11" s="20"/>
      <c r="FU11" s="205"/>
      <c r="FV11" s="20"/>
      <c r="FW11" s="20"/>
      <c r="FX11" s="119"/>
      <c r="FY11" s="20"/>
      <c r="FZ11" s="119"/>
      <c r="GA11" s="20"/>
      <c r="GB11" s="119"/>
      <c r="GC11" s="20"/>
      <c r="GD11" s="119"/>
      <c r="GE11" s="20"/>
      <c r="GF11" s="119"/>
      <c r="GG11" s="20"/>
      <c r="GH11" s="20"/>
      <c r="GI11" s="20"/>
      <c r="GJ11" s="20"/>
      <c r="GK11" s="205"/>
      <c r="GL11" s="20"/>
      <c r="GM11" s="20"/>
      <c r="GN11" s="119"/>
      <c r="GO11" s="20"/>
      <c r="GP11" s="119"/>
      <c r="GQ11" s="20"/>
      <c r="GR11" s="119"/>
      <c r="GS11" s="20"/>
      <c r="GT11" s="119"/>
      <c r="GU11" s="20"/>
      <c r="GV11" s="119"/>
      <c r="GW11" s="20"/>
      <c r="GX11" s="20"/>
      <c r="GY11" s="20"/>
      <c r="GZ11" s="20"/>
      <c r="HA11" s="205"/>
      <c r="HB11" s="20"/>
      <c r="HC11" s="20"/>
      <c r="HD11" s="119"/>
      <c r="HE11" s="20"/>
      <c r="HF11" s="119"/>
      <c r="HG11" s="20"/>
      <c r="HH11" s="119"/>
      <c r="HI11" s="20"/>
      <c r="HJ11" s="119"/>
      <c r="HK11" s="20"/>
      <c r="HL11" s="119"/>
      <c r="HM11" s="20"/>
      <c r="HN11" s="20"/>
      <c r="HO11" s="20"/>
      <c r="HP11" s="20"/>
      <c r="HQ11" s="205"/>
      <c r="HR11" s="20"/>
      <c r="HS11" s="20"/>
      <c r="HT11" s="119"/>
      <c r="HU11" s="20"/>
      <c r="HV11" s="119"/>
      <c r="HW11" s="20"/>
      <c r="HX11" s="119"/>
      <c r="HY11" s="20"/>
      <c r="HZ11" s="119"/>
      <c r="IA11" s="20"/>
      <c r="IB11" s="119"/>
      <c r="IC11" s="20"/>
      <c r="ID11" s="20"/>
      <c r="IE11" s="20"/>
      <c r="IF11" s="20"/>
      <c r="IG11" s="205"/>
      <c r="IH11" s="20"/>
      <c r="II11" s="20"/>
      <c r="IJ11" s="119"/>
      <c r="IK11" s="20"/>
      <c r="IL11" s="119"/>
      <c r="IM11" s="20"/>
      <c r="IN11" s="119"/>
      <c r="IO11" s="20"/>
      <c r="IP11" s="119"/>
      <c r="IQ11" s="20"/>
      <c r="IR11" s="119"/>
      <c r="IS11" s="20"/>
      <c r="IT11" s="20"/>
      <c r="IU11" s="20"/>
      <c r="IV11" s="20"/>
    </row>
    <row r="12" spans="1:256" x14ac:dyDescent="0.45">
      <c r="A12" s="68" t="s">
        <v>35</v>
      </c>
      <c r="B12" s="30"/>
      <c r="C12" s="27">
        <v>0.87</v>
      </c>
      <c r="D12" s="31">
        <f t="shared" ref="D12:D18" si="4">(B12*C12)</f>
        <v>0</v>
      </c>
      <c r="E12" s="27">
        <v>0.09</v>
      </c>
      <c r="F12" s="31">
        <f>+(D12*E12)*1000</f>
        <v>0</v>
      </c>
      <c r="G12" s="27">
        <v>3.39</v>
      </c>
      <c r="H12" s="31">
        <f t="shared" si="0"/>
        <v>0</v>
      </c>
      <c r="I12" s="27">
        <v>0.2</v>
      </c>
      <c r="J12" s="31">
        <f t="shared" si="1"/>
        <v>0</v>
      </c>
      <c r="K12" s="27">
        <v>2</v>
      </c>
      <c r="L12" s="31">
        <f t="shared" si="2"/>
        <v>0</v>
      </c>
      <c r="M12" s="27">
        <v>4.3</v>
      </c>
      <c r="N12" s="27">
        <f t="shared" si="3"/>
        <v>0</v>
      </c>
      <c r="O12" s="27">
        <v>375</v>
      </c>
      <c r="P12" s="67">
        <f>(O12*D12)</f>
        <v>0</v>
      </c>
    </row>
    <row r="13" spans="1:256" x14ac:dyDescent="0.45">
      <c r="A13" s="68" t="s">
        <v>36</v>
      </c>
      <c r="B13" s="30"/>
      <c r="C13" s="27">
        <v>0.87</v>
      </c>
      <c r="D13" s="31">
        <f t="shared" si="4"/>
        <v>0</v>
      </c>
      <c r="E13" s="27">
        <v>0.17</v>
      </c>
      <c r="F13" s="30">
        <f t="shared" ref="F13:F21" si="5">+(D13*E13)*1000</f>
        <v>0</v>
      </c>
      <c r="G13" s="27">
        <v>2.54</v>
      </c>
      <c r="H13" s="31">
        <f t="shared" si="0"/>
        <v>0</v>
      </c>
      <c r="I13" s="27">
        <v>2.5</v>
      </c>
      <c r="J13" s="31">
        <f t="shared" si="1"/>
        <v>0</v>
      </c>
      <c r="K13" s="27">
        <v>10</v>
      </c>
      <c r="L13" s="31">
        <f t="shared" si="2"/>
        <v>0</v>
      </c>
      <c r="M13" s="27">
        <v>4.2</v>
      </c>
      <c r="N13" s="27">
        <f t="shared" si="3"/>
        <v>0</v>
      </c>
      <c r="O13" s="27">
        <v>350</v>
      </c>
      <c r="P13" s="67">
        <f t="shared" ref="P13:P21" si="6">(O13*B13)</f>
        <v>0</v>
      </c>
    </row>
    <row r="14" spans="1:256" x14ac:dyDescent="0.45">
      <c r="A14" s="68" t="s">
        <v>37</v>
      </c>
      <c r="B14" s="30"/>
      <c r="C14" s="27">
        <v>0.85</v>
      </c>
      <c r="D14" s="31">
        <f t="shared" si="4"/>
        <v>0</v>
      </c>
      <c r="E14" s="27">
        <v>0.13800000000000001</v>
      </c>
      <c r="F14" s="30">
        <f t="shared" si="5"/>
        <v>0</v>
      </c>
      <c r="G14" s="27">
        <v>2</v>
      </c>
      <c r="H14" s="31">
        <f t="shared" si="0"/>
        <v>0</v>
      </c>
      <c r="I14" s="27">
        <v>13</v>
      </c>
      <c r="J14" s="31">
        <f t="shared" si="1"/>
        <v>0</v>
      </c>
      <c r="K14" s="27">
        <v>2.4</v>
      </c>
      <c r="L14" s="31">
        <f t="shared" si="2"/>
        <v>0</v>
      </c>
      <c r="M14" s="32"/>
      <c r="N14" s="27">
        <f t="shared" si="3"/>
        <v>0</v>
      </c>
      <c r="O14" s="27">
        <v>275</v>
      </c>
      <c r="P14" s="67">
        <f t="shared" si="6"/>
        <v>0</v>
      </c>
    </row>
    <row r="15" spans="1:256" x14ac:dyDescent="0.45">
      <c r="A15" s="68" t="s">
        <v>38</v>
      </c>
      <c r="B15" s="30"/>
      <c r="C15" s="27">
        <v>0.3</v>
      </c>
      <c r="D15" s="31">
        <f t="shared" si="4"/>
        <v>0</v>
      </c>
      <c r="E15" s="27">
        <v>9.9000000000000005E-2</v>
      </c>
      <c r="F15" s="30">
        <f t="shared" si="5"/>
        <v>0</v>
      </c>
      <c r="G15" s="27">
        <v>2.1</v>
      </c>
      <c r="H15" s="31">
        <f t="shared" si="0"/>
        <v>0</v>
      </c>
      <c r="I15" s="27">
        <v>8</v>
      </c>
      <c r="J15" s="31">
        <f t="shared" si="1"/>
        <v>0</v>
      </c>
      <c r="K15" s="27">
        <v>3</v>
      </c>
      <c r="L15" s="31">
        <f t="shared" si="2"/>
        <v>0</v>
      </c>
      <c r="M15" s="27">
        <v>2.5</v>
      </c>
      <c r="N15" s="27">
        <f t="shared" si="3"/>
        <v>0</v>
      </c>
      <c r="O15" s="27">
        <v>10</v>
      </c>
      <c r="P15" s="67">
        <f t="shared" si="6"/>
        <v>0</v>
      </c>
    </row>
    <row r="16" spans="1:256" x14ac:dyDescent="0.45">
      <c r="A16" s="68" t="s">
        <v>39</v>
      </c>
      <c r="B16" s="30"/>
      <c r="C16" s="27">
        <v>0.9</v>
      </c>
      <c r="D16" s="31">
        <f t="shared" si="4"/>
        <v>0</v>
      </c>
      <c r="E16" s="27">
        <v>0.21</v>
      </c>
      <c r="F16" s="30">
        <f>+(D16*E16)*1000</f>
        <v>0</v>
      </c>
      <c r="G16" s="27">
        <v>2.8</v>
      </c>
      <c r="H16" s="31">
        <f>(D16*G16)</f>
        <v>0</v>
      </c>
      <c r="I16" s="27">
        <v>7</v>
      </c>
      <c r="J16" s="31">
        <f>(D16*I16)</f>
        <v>0</v>
      </c>
      <c r="K16" s="27">
        <v>6</v>
      </c>
      <c r="L16" s="31">
        <f>(D16*K16)</f>
        <v>0</v>
      </c>
      <c r="M16" s="27">
        <v>2.5</v>
      </c>
      <c r="N16" s="27">
        <f>(M16*D16)/100</f>
        <v>0</v>
      </c>
      <c r="O16" s="27">
        <v>500</v>
      </c>
      <c r="P16" s="67">
        <f>(O16*B16)</f>
        <v>0</v>
      </c>
    </row>
    <row r="17" spans="1:16" x14ac:dyDescent="0.45">
      <c r="A17" s="68" t="s">
        <v>56</v>
      </c>
      <c r="B17" s="30"/>
      <c r="C17" s="27">
        <v>0.9</v>
      </c>
      <c r="D17" s="31">
        <f t="shared" si="4"/>
        <v>0</v>
      </c>
      <c r="E17" s="27">
        <v>0.18</v>
      </c>
      <c r="F17" s="30">
        <f>+(D17*E17)*1000</f>
        <v>0</v>
      </c>
      <c r="G17" s="27">
        <v>2.7</v>
      </c>
      <c r="H17" s="31">
        <f>(D17*G17)</f>
        <v>0</v>
      </c>
      <c r="I17" s="27">
        <v>7</v>
      </c>
      <c r="J17" s="31">
        <f>(D17*I17)</f>
        <v>0</v>
      </c>
      <c r="K17" s="27">
        <v>6</v>
      </c>
      <c r="L17" s="31">
        <f>(D17*K17)</f>
        <v>0</v>
      </c>
      <c r="M17" s="27">
        <v>2.5</v>
      </c>
      <c r="N17" s="27">
        <f>(M17*D17)/100</f>
        <v>0</v>
      </c>
      <c r="O17" s="27">
        <v>450</v>
      </c>
      <c r="P17" s="67">
        <f>(O17*B17)</f>
        <v>0</v>
      </c>
    </row>
    <row r="18" spans="1:16" x14ac:dyDescent="0.45">
      <c r="A18" s="68" t="s">
        <v>57</v>
      </c>
      <c r="B18" s="30"/>
      <c r="C18" s="27">
        <v>0.9</v>
      </c>
      <c r="D18" s="31">
        <f t="shared" si="4"/>
        <v>0</v>
      </c>
      <c r="E18" s="27">
        <v>0.16</v>
      </c>
      <c r="F18" s="30">
        <f>+(D18*E18)*1000</f>
        <v>0</v>
      </c>
      <c r="G18" s="27">
        <v>2.6</v>
      </c>
      <c r="H18" s="31">
        <f>(D18*G18)</f>
        <v>0</v>
      </c>
      <c r="I18" s="27">
        <v>6</v>
      </c>
      <c r="J18" s="31">
        <f>(D18*I18)</f>
        <v>0</v>
      </c>
      <c r="K18" s="27">
        <v>5</v>
      </c>
      <c r="L18" s="31">
        <f>(D18*K18)</f>
        <v>0</v>
      </c>
      <c r="M18" s="27">
        <v>2.5</v>
      </c>
      <c r="N18" s="27">
        <f>(M18*D18)/100</f>
        <v>0</v>
      </c>
      <c r="O18" s="27">
        <v>380</v>
      </c>
      <c r="P18" s="67"/>
    </row>
    <row r="19" spans="1:16" x14ac:dyDescent="0.45">
      <c r="A19" s="68" t="s">
        <v>42</v>
      </c>
      <c r="B19" s="30"/>
      <c r="C19" s="27">
        <v>0.88</v>
      </c>
      <c r="D19" s="31">
        <v>0</v>
      </c>
      <c r="E19" s="27">
        <v>0.45200000000000001</v>
      </c>
      <c r="F19" s="30">
        <v>0</v>
      </c>
      <c r="G19" s="27">
        <v>2.88</v>
      </c>
      <c r="H19" s="31">
        <v>0</v>
      </c>
      <c r="I19" s="27">
        <v>3.2</v>
      </c>
      <c r="J19" s="31">
        <v>0</v>
      </c>
      <c r="K19" s="27">
        <v>6.7</v>
      </c>
      <c r="L19" s="31">
        <v>0</v>
      </c>
      <c r="M19" s="27"/>
      <c r="N19" s="27">
        <v>0</v>
      </c>
      <c r="O19" s="27">
        <v>880</v>
      </c>
      <c r="P19" s="67">
        <v>0</v>
      </c>
    </row>
    <row r="20" spans="1:16" x14ac:dyDescent="0.45">
      <c r="A20" s="68" t="s">
        <v>44</v>
      </c>
      <c r="B20" s="30"/>
      <c r="C20" s="27">
        <v>0.95</v>
      </c>
      <c r="D20" s="31">
        <f>(B20*C20)</f>
        <v>0</v>
      </c>
      <c r="E20" s="27">
        <v>0.11</v>
      </c>
      <c r="F20" s="30">
        <f>+(D20*E20)*1000</f>
        <v>0</v>
      </c>
      <c r="G20" s="27">
        <v>2</v>
      </c>
      <c r="H20" s="31">
        <f>(D20*G20)</f>
        <v>0</v>
      </c>
      <c r="I20" s="27">
        <v>4.5</v>
      </c>
      <c r="J20" s="31">
        <f>(D20*I20)</f>
        <v>0</v>
      </c>
      <c r="K20" s="27">
        <v>2</v>
      </c>
      <c r="L20" s="31">
        <f>(D20*K20)</f>
        <v>0</v>
      </c>
      <c r="M20" s="27">
        <v>1.4</v>
      </c>
      <c r="N20" s="27">
        <f>(M20*D20)/100</f>
        <v>0</v>
      </c>
      <c r="O20" s="27">
        <v>120</v>
      </c>
      <c r="P20" s="67">
        <f>(O20*B20)</f>
        <v>0</v>
      </c>
    </row>
    <row r="21" spans="1:16" x14ac:dyDescent="0.45">
      <c r="A21" s="68" t="s">
        <v>43</v>
      </c>
      <c r="B21" s="30"/>
      <c r="C21" s="27">
        <v>0.95</v>
      </c>
      <c r="D21" s="31">
        <f>(B21*C21)</f>
        <v>0</v>
      </c>
      <c r="E21" s="27">
        <v>0.19</v>
      </c>
      <c r="F21" s="30">
        <f t="shared" si="5"/>
        <v>0</v>
      </c>
      <c r="G21" s="27">
        <v>2.72</v>
      </c>
      <c r="H21" s="31">
        <f t="shared" si="0"/>
        <v>0</v>
      </c>
      <c r="I21" s="27">
        <v>3</v>
      </c>
      <c r="J21" s="31">
        <f t="shared" si="1"/>
        <v>0</v>
      </c>
      <c r="K21" s="27">
        <v>6</v>
      </c>
      <c r="L21" s="31">
        <f t="shared" si="2"/>
        <v>0</v>
      </c>
      <c r="M21" s="27">
        <v>6.25</v>
      </c>
      <c r="N21" s="27">
        <f t="shared" si="3"/>
        <v>0</v>
      </c>
      <c r="O21" s="27">
        <v>120</v>
      </c>
      <c r="P21" s="67">
        <f t="shared" si="6"/>
        <v>0</v>
      </c>
    </row>
    <row r="22" spans="1:16" x14ac:dyDescent="0.45">
      <c r="A22" s="68" t="s">
        <v>45</v>
      </c>
      <c r="B22" s="30"/>
      <c r="C22" s="27">
        <v>1</v>
      </c>
      <c r="D22" s="31">
        <f>(B22*C22)</f>
        <v>0</v>
      </c>
      <c r="E22" s="27"/>
      <c r="F22" s="30"/>
      <c r="G22" s="27"/>
      <c r="H22" s="31">
        <f>(D22*G22)</f>
        <v>0</v>
      </c>
      <c r="I22" s="27">
        <v>380</v>
      </c>
      <c r="J22" s="31">
        <f>(D22*I22)</f>
        <v>0</v>
      </c>
      <c r="K22" s="27"/>
      <c r="L22" s="31">
        <f>(D22*K22)</f>
        <v>0</v>
      </c>
      <c r="M22" s="27"/>
      <c r="N22" s="27">
        <f>(M22*D22)/100</f>
        <v>0</v>
      </c>
      <c r="O22" s="27"/>
      <c r="P22" s="67">
        <f>(O22*B22)</f>
        <v>0</v>
      </c>
    </row>
    <row r="23" spans="1:16" x14ac:dyDescent="0.45">
      <c r="A23" s="68" t="s">
        <v>46</v>
      </c>
      <c r="B23" s="30"/>
      <c r="C23" s="27">
        <v>1</v>
      </c>
      <c r="D23" s="31">
        <f>(B23*C23)</f>
        <v>0</v>
      </c>
      <c r="E23" s="27"/>
      <c r="F23" s="30"/>
      <c r="G23" s="27"/>
      <c r="H23" s="31">
        <f>(D23*G23)</f>
        <v>0</v>
      </c>
      <c r="I23" s="27">
        <v>220</v>
      </c>
      <c r="J23" s="31">
        <f>(D23*I23)</f>
        <v>0</v>
      </c>
      <c r="K23" s="27">
        <v>180</v>
      </c>
      <c r="L23" s="31">
        <f>(D23*K23)</f>
        <v>0</v>
      </c>
      <c r="M23" s="27"/>
      <c r="N23" s="27">
        <f>(M23*D23)/100</f>
        <v>0</v>
      </c>
      <c r="O23" s="27"/>
      <c r="P23" s="67">
        <f>(O23*B23)</f>
        <v>0</v>
      </c>
    </row>
    <row r="24" spans="1:16" x14ac:dyDescent="0.45">
      <c r="A24" s="69" t="s">
        <v>47</v>
      </c>
      <c r="B24" s="33">
        <f>SUM(B12:B23)</f>
        <v>0</v>
      </c>
      <c r="C24" s="34"/>
      <c r="D24" s="33">
        <f>SUM(D10:D23)</f>
        <v>0</v>
      </c>
      <c r="E24" s="26"/>
      <c r="F24" s="35">
        <f>SUM(F10:F23)</f>
        <v>0</v>
      </c>
      <c r="G24" s="27"/>
      <c r="H24" s="36">
        <f>SUM(H10:H23)</f>
        <v>0</v>
      </c>
      <c r="I24" s="27"/>
      <c r="J24" s="37">
        <f>SUM(J10:J23)</f>
        <v>0</v>
      </c>
      <c r="K24" s="27"/>
      <c r="L24" s="38">
        <f>SUM(L10:L23)</f>
        <v>0</v>
      </c>
      <c r="M24" s="27"/>
      <c r="N24" s="40" t="e">
        <f>+(SUM(N10:N23)/D24)*100</f>
        <v>#DIV/0!</v>
      </c>
      <c r="O24" s="25"/>
      <c r="P24" s="70">
        <f>+SUM(P10:P23)</f>
        <v>0</v>
      </c>
    </row>
    <row r="25" spans="1:16" x14ac:dyDescent="0.45">
      <c r="A25" s="71" t="s">
        <v>48</v>
      </c>
      <c r="B25" s="34"/>
      <c r="C25" s="29"/>
      <c r="D25" s="41">
        <f>(D24/A6)*100</f>
        <v>0</v>
      </c>
      <c r="E25" s="26" t="s">
        <v>49</v>
      </c>
      <c r="F25" s="42">
        <f>+F24-D6</f>
        <v>-69.382685902179844</v>
      </c>
      <c r="G25" s="43"/>
      <c r="H25" s="44">
        <f>+H24-E6</f>
        <v>-0.99951905283832909</v>
      </c>
      <c r="I25" s="29"/>
      <c r="J25" s="45">
        <f>+J24-F6</f>
        <v>-1.0254998149518622</v>
      </c>
      <c r="K25" s="46"/>
      <c r="L25" s="47">
        <f>+L24-G6</f>
        <v>-0.74765371804359682</v>
      </c>
      <c r="M25" s="25"/>
      <c r="N25" s="25"/>
      <c r="O25" s="25"/>
      <c r="P25" s="72"/>
    </row>
    <row r="26" spans="1:16" x14ac:dyDescent="0.45">
      <c r="A26" s="73" t="s">
        <v>50</v>
      </c>
      <c r="B26" s="26"/>
      <c r="C26" s="48"/>
      <c r="D26" s="49">
        <v>4</v>
      </c>
      <c r="E26" s="46"/>
      <c r="F26" s="28"/>
      <c r="G26" s="26"/>
      <c r="H26" s="50"/>
      <c r="I26" s="29"/>
      <c r="J26" s="28"/>
      <c r="K26" s="51" t="e">
        <f>+J24/L24</f>
        <v>#DIV/0!</v>
      </c>
      <c r="L26" s="28"/>
      <c r="M26" s="25"/>
      <c r="N26" s="25"/>
      <c r="O26" s="25"/>
      <c r="P26" s="72"/>
    </row>
    <row r="27" spans="1:16" ht="14.65" thickBot="1" x14ac:dyDescent="0.5">
      <c r="A27" s="74"/>
      <c r="B27" s="75"/>
      <c r="C27" s="76"/>
      <c r="D27" s="77"/>
      <c r="E27" s="77"/>
      <c r="F27" s="78"/>
      <c r="G27" s="79"/>
      <c r="H27" s="80"/>
      <c r="I27" s="80"/>
      <c r="J27" s="79"/>
      <c r="K27" s="81" t="s">
        <v>51</v>
      </c>
      <c r="L27" s="79"/>
      <c r="M27" s="79"/>
      <c r="N27" s="79"/>
      <c r="O27" s="79"/>
      <c r="P27" s="82"/>
    </row>
    <row r="28" spans="1:16" x14ac:dyDescent="0.45">
      <c r="A28" s="8"/>
      <c r="B28" s="11"/>
      <c r="C28" s="16"/>
      <c r="D28" s="10"/>
      <c r="E28" s="10"/>
      <c r="F28" s="9"/>
      <c r="H28" s="3"/>
      <c r="I28" s="3"/>
    </row>
    <row r="29" spans="1:16" x14ac:dyDescent="0.45">
      <c r="A29" s="139" t="s">
        <v>52</v>
      </c>
      <c r="B29" s="109"/>
      <c r="C29" s="16"/>
      <c r="D29" s="10"/>
      <c r="E29" s="10"/>
      <c r="F29" s="9"/>
      <c r="H29" s="3"/>
      <c r="I29" s="3"/>
    </row>
    <row r="30" spans="1:16" x14ac:dyDescent="0.45">
      <c r="A30" s="139" t="s">
        <v>53</v>
      </c>
      <c r="B30" s="110"/>
      <c r="C30" s="3"/>
      <c r="D30" s="11"/>
      <c r="H30" s="14"/>
      <c r="I30" s="3"/>
      <c r="J30" s="4"/>
      <c r="K30" s="4"/>
      <c r="L30" s="4"/>
    </row>
    <row r="31" spans="1:16" x14ac:dyDescent="0.45">
      <c r="A31" s="139" t="s">
        <v>54</v>
      </c>
      <c r="B31" s="3"/>
      <c r="C31" s="3"/>
      <c r="H31" s="3"/>
      <c r="I31" s="3"/>
    </row>
    <row r="32" spans="1:16" x14ac:dyDescent="0.45">
      <c r="A32" s="3"/>
      <c r="B32" s="3"/>
      <c r="C32" s="3"/>
      <c r="H32" s="3"/>
      <c r="I3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212A-47B5-49F8-A01E-EAA362C6447E}">
  <dimension ref="A1:R66"/>
  <sheetViews>
    <sheetView zoomScale="110" zoomScaleNormal="110" workbookViewId="0">
      <selection activeCell="D31" sqref="D31"/>
    </sheetView>
  </sheetViews>
  <sheetFormatPr defaultRowHeight="14.25" x14ac:dyDescent="0.45"/>
  <cols>
    <col min="1" max="1" width="20.3984375" style="3" bestFit="1" customWidth="1"/>
    <col min="2" max="2" width="11.86328125" style="3" bestFit="1" customWidth="1"/>
    <col min="3" max="3" width="11.3984375" style="3" bestFit="1" customWidth="1"/>
    <col min="4" max="4" width="25.73046875" style="3" bestFit="1" customWidth="1"/>
    <col min="5" max="5" width="28.1328125" bestFit="1" customWidth="1"/>
    <col min="6" max="6" width="22.73046875" customWidth="1"/>
    <col min="7" max="7" width="21.265625" customWidth="1"/>
    <col min="8" max="8" width="20.86328125" style="3" bestFit="1" customWidth="1"/>
    <col min="9" max="9" width="21.265625" style="3" bestFit="1" customWidth="1"/>
    <col min="10" max="10" width="8.59765625" bestFit="1" customWidth="1"/>
    <col min="11" max="11" width="7.265625" bestFit="1" customWidth="1"/>
    <col min="12" max="12" width="7.3984375" bestFit="1" customWidth="1"/>
    <col min="13" max="13" width="6.3984375" bestFit="1" customWidth="1"/>
    <col min="14" max="14" width="10.3984375" bestFit="1" customWidth="1"/>
    <col min="15" max="15" width="4.86328125" bestFit="1" customWidth="1"/>
    <col min="16" max="16" width="10.3984375" bestFit="1" customWidth="1"/>
    <col min="17" max="256" width="11.3984375" customWidth="1"/>
  </cols>
  <sheetData>
    <row r="1" spans="1:18" x14ac:dyDescent="0.45">
      <c r="A1" s="124"/>
      <c r="B1" s="125"/>
      <c r="C1" s="125"/>
      <c r="D1" s="125"/>
      <c r="E1" s="126"/>
      <c r="F1" s="126"/>
      <c r="G1" s="126"/>
      <c r="H1" s="125"/>
      <c r="I1" s="181"/>
    </row>
    <row r="2" spans="1:18" ht="15.4" x14ac:dyDescent="0.45">
      <c r="A2" s="128"/>
      <c r="B2" s="129"/>
      <c r="C2" s="129"/>
      <c r="D2" s="130" t="s">
        <v>0</v>
      </c>
      <c r="E2" s="131"/>
      <c r="F2" s="132"/>
      <c r="G2" s="132"/>
      <c r="H2" s="129"/>
      <c r="I2" s="182"/>
    </row>
    <row r="3" spans="1:18" x14ac:dyDescent="0.45">
      <c r="A3" s="128"/>
      <c r="B3" s="129"/>
      <c r="C3" s="129"/>
      <c r="D3" s="129"/>
      <c r="E3" s="132"/>
      <c r="F3" s="132"/>
      <c r="G3" s="132"/>
      <c r="H3" s="129"/>
      <c r="I3" s="182"/>
    </row>
    <row r="4" spans="1:18" ht="14.65" thickBot="1" x14ac:dyDescent="0.5">
      <c r="A4" s="134"/>
      <c r="B4" s="135"/>
      <c r="C4" s="135"/>
      <c r="D4" s="135"/>
      <c r="E4" s="136"/>
      <c r="F4" s="136"/>
      <c r="G4" s="136"/>
      <c r="H4" s="135"/>
      <c r="I4" s="183"/>
    </row>
    <row r="5" spans="1:18" s="107" customFormat="1" x14ac:dyDescent="0.45">
      <c r="A5" s="111" t="s">
        <v>1</v>
      </c>
      <c r="B5" s="112" t="s">
        <v>2</v>
      </c>
      <c r="C5" s="112" t="s">
        <v>3</v>
      </c>
      <c r="D5" s="113" t="s">
        <v>4</v>
      </c>
      <c r="E5" s="114" t="s">
        <v>5</v>
      </c>
      <c r="F5" s="115" t="s">
        <v>6</v>
      </c>
      <c r="G5" s="116" t="s">
        <v>7</v>
      </c>
      <c r="H5" s="117" t="s">
        <v>58</v>
      </c>
      <c r="I5" s="118" t="s">
        <v>59</v>
      </c>
      <c r="J5" s="108"/>
      <c r="K5" s="108"/>
      <c r="L5" s="108"/>
      <c r="M5" s="108"/>
      <c r="N5" s="108"/>
      <c r="O5" s="108"/>
      <c r="P5" s="108"/>
      <c r="Q5" s="108"/>
      <c r="R5" s="108"/>
    </row>
    <row r="6" spans="1:18" ht="14.65" thickBot="1" x14ac:dyDescent="0.5">
      <c r="A6" s="83">
        <v>30</v>
      </c>
      <c r="B6" s="84">
        <f>(A6^0.75)</f>
        <v>12.818610191887021</v>
      </c>
      <c r="C6" s="85">
        <v>0.1</v>
      </c>
      <c r="D6" s="86">
        <f>(3.925*B6) + (300*C6)</f>
        <v>80.31304500315656</v>
      </c>
      <c r="E6" s="86">
        <f>+ 0.128 *B6 + 6*C6</f>
        <v>2.2407821045615388</v>
      </c>
      <c r="F6" s="86">
        <f>0.13*B6 + 3.5*C6</f>
        <v>2.0164193249453128</v>
      </c>
      <c r="G6" s="86">
        <f>+ 0.09*B6 + 2.8*C6</f>
        <v>1.433674917269832</v>
      </c>
      <c r="H6" s="87">
        <f>+D27 *0.35</f>
        <v>0</v>
      </c>
      <c r="I6" s="88">
        <v>6</v>
      </c>
      <c r="J6" s="18"/>
      <c r="K6" s="18"/>
      <c r="L6" s="18"/>
      <c r="M6" s="18"/>
      <c r="N6" s="18"/>
      <c r="O6" s="18"/>
      <c r="P6" s="18"/>
      <c r="Q6" s="18"/>
      <c r="R6" s="18"/>
    </row>
    <row r="7" spans="1:18" ht="14.65" thickBot="1" x14ac:dyDescent="0.5">
      <c r="A7" s="17"/>
      <c r="B7" s="17"/>
      <c r="C7" s="17"/>
      <c r="D7" s="17"/>
      <c r="E7" s="18"/>
      <c r="F7" s="18"/>
      <c r="G7" s="18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45">
      <c r="A8" s="53"/>
      <c r="B8" s="54" t="s">
        <v>11</v>
      </c>
      <c r="C8" s="55"/>
      <c r="D8" s="55"/>
      <c r="E8" s="56"/>
      <c r="F8" s="57" t="s">
        <v>12</v>
      </c>
      <c r="G8" s="56"/>
      <c r="H8" s="58" t="s">
        <v>13</v>
      </c>
      <c r="I8" s="59"/>
      <c r="J8" s="60" t="s">
        <v>14</v>
      </c>
      <c r="K8" s="61"/>
      <c r="L8" s="62" t="s">
        <v>15</v>
      </c>
      <c r="M8" s="61"/>
      <c r="N8" s="63" t="s">
        <v>60</v>
      </c>
      <c r="O8" s="61"/>
      <c r="P8" s="64" t="s">
        <v>16</v>
      </c>
      <c r="Q8" s="61"/>
      <c r="R8" s="65" t="s">
        <v>17</v>
      </c>
    </row>
    <row r="9" spans="1:18" x14ac:dyDescent="0.45">
      <c r="A9" s="66"/>
      <c r="B9" s="27" t="s">
        <v>18</v>
      </c>
      <c r="C9" s="27" t="s">
        <v>19</v>
      </c>
      <c r="D9" s="27" t="s">
        <v>20</v>
      </c>
      <c r="E9" s="27" t="s">
        <v>21</v>
      </c>
      <c r="F9" s="27" t="s">
        <v>22</v>
      </c>
      <c r="G9" s="27" t="s">
        <v>23</v>
      </c>
      <c r="H9" s="27" t="s">
        <v>24</v>
      </c>
      <c r="I9" s="27" t="s">
        <v>25</v>
      </c>
      <c r="J9" s="27" t="s">
        <v>26</v>
      </c>
      <c r="K9" s="27" t="s">
        <v>27</v>
      </c>
      <c r="L9" s="27" t="s">
        <v>28</v>
      </c>
      <c r="M9" s="27" t="s">
        <v>61</v>
      </c>
      <c r="N9" s="27" t="s">
        <v>62</v>
      </c>
      <c r="O9" s="27" t="s">
        <v>29</v>
      </c>
      <c r="P9" s="27" t="s">
        <v>30</v>
      </c>
      <c r="Q9" s="27" t="s">
        <v>31</v>
      </c>
      <c r="R9" s="67" t="s">
        <v>32</v>
      </c>
    </row>
    <row r="10" spans="1:18" x14ac:dyDescent="0.45">
      <c r="A10" s="68" t="s">
        <v>35</v>
      </c>
      <c r="B10" s="30"/>
      <c r="C10" s="27">
        <v>0.87</v>
      </c>
      <c r="D10" s="31">
        <f t="shared" ref="D10:D26" si="0">(B10*C10)</f>
        <v>0</v>
      </c>
      <c r="E10" s="27">
        <v>0.09</v>
      </c>
      <c r="F10" s="31">
        <f>+(D10*E10)*1000</f>
        <v>0</v>
      </c>
      <c r="G10" s="27">
        <v>3.39</v>
      </c>
      <c r="H10" s="31">
        <f t="shared" ref="H10:H17" si="1">(D10*G10)</f>
        <v>0</v>
      </c>
      <c r="I10" s="27">
        <v>0.2</v>
      </c>
      <c r="J10" s="31">
        <f t="shared" ref="J10:J26" si="2">(D10*I10)</f>
        <v>0</v>
      </c>
      <c r="K10" s="27">
        <v>2</v>
      </c>
      <c r="L10" s="31">
        <f t="shared" ref="L10:L17" si="3">(D10*K10)</f>
        <v>0</v>
      </c>
      <c r="M10" s="27">
        <v>15.7</v>
      </c>
      <c r="N10" s="27">
        <f t="shared" ref="N10:N26" si="4">(M10*D10)/100</f>
        <v>0</v>
      </c>
      <c r="O10" s="27">
        <v>4.3</v>
      </c>
      <c r="P10" s="27">
        <f t="shared" ref="P10:P26" si="5">(O10*D10)/100</f>
        <v>0</v>
      </c>
      <c r="Q10" s="27">
        <v>375</v>
      </c>
      <c r="R10" s="67">
        <f>(Q10*D10)</f>
        <v>0</v>
      </c>
    </row>
    <row r="11" spans="1:18" x14ac:dyDescent="0.45">
      <c r="A11" s="68" t="s">
        <v>36</v>
      </c>
      <c r="B11" s="30"/>
      <c r="C11" s="27">
        <v>0.87</v>
      </c>
      <c r="D11" s="31">
        <f t="shared" si="0"/>
        <v>0</v>
      </c>
      <c r="E11" s="27">
        <v>0.17</v>
      </c>
      <c r="F11" s="30">
        <f t="shared" ref="F11:F24" si="6">+(D11*E11)*1000</f>
        <v>0</v>
      </c>
      <c r="G11" s="27">
        <v>2.54</v>
      </c>
      <c r="H11" s="31">
        <f t="shared" si="1"/>
        <v>0</v>
      </c>
      <c r="I11" s="27">
        <v>2.5</v>
      </c>
      <c r="J11" s="31">
        <f t="shared" si="2"/>
        <v>0</v>
      </c>
      <c r="K11" s="27">
        <v>10</v>
      </c>
      <c r="L11" s="31">
        <f t="shared" si="3"/>
        <v>0</v>
      </c>
      <c r="M11" s="27">
        <v>48</v>
      </c>
      <c r="N11" s="27">
        <f t="shared" si="4"/>
        <v>0</v>
      </c>
      <c r="O11" s="27">
        <v>4.2</v>
      </c>
      <c r="P11" s="27">
        <f t="shared" si="5"/>
        <v>0</v>
      </c>
      <c r="Q11" s="27">
        <v>350</v>
      </c>
      <c r="R11" s="67">
        <f t="shared" ref="R11:R17" si="7">(Q11*B11)</f>
        <v>0</v>
      </c>
    </row>
    <row r="12" spans="1:18" x14ac:dyDescent="0.45">
      <c r="A12" s="68" t="s">
        <v>63</v>
      </c>
      <c r="B12" s="30"/>
      <c r="C12" s="27">
        <v>0.9</v>
      </c>
      <c r="D12" s="31">
        <f t="shared" si="0"/>
        <v>0</v>
      </c>
      <c r="E12" s="27">
        <v>6.8000000000000005E-2</v>
      </c>
      <c r="F12" s="31">
        <f t="shared" si="6"/>
        <v>0</v>
      </c>
      <c r="G12" s="27">
        <v>1.5</v>
      </c>
      <c r="H12" s="31">
        <f t="shared" si="1"/>
        <v>0</v>
      </c>
      <c r="I12" s="27">
        <v>3</v>
      </c>
      <c r="J12" s="31">
        <f t="shared" si="2"/>
        <v>0</v>
      </c>
      <c r="K12" s="27">
        <v>3</v>
      </c>
      <c r="L12" s="31">
        <f t="shared" si="3"/>
        <v>0</v>
      </c>
      <c r="M12" s="27">
        <v>70</v>
      </c>
      <c r="N12" s="27">
        <f t="shared" si="4"/>
        <v>0</v>
      </c>
      <c r="O12" s="27">
        <v>1.2</v>
      </c>
      <c r="P12" s="27">
        <f t="shared" si="5"/>
        <v>0</v>
      </c>
      <c r="Q12" s="27">
        <v>100</v>
      </c>
      <c r="R12" s="67">
        <f t="shared" si="7"/>
        <v>0</v>
      </c>
    </row>
    <row r="13" spans="1:18" x14ac:dyDescent="0.45">
      <c r="A13" s="68" t="s">
        <v>37</v>
      </c>
      <c r="B13" s="30"/>
      <c r="C13" s="27">
        <v>0.85</v>
      </c>
      <c r="D13" s="31">
        <f t="shared" si="0"/>
        <v>0</v>
      </c>
      <c r="E13" s="27">
        <v>0.13800000000000001</v>
      </c>
      <c r="F13" s="30">
        <f t="shared" si="6"/>
        <v>0</v>
      </c>
      <c r="G13" s="27">
        <v>2</v>
      </c>
      <c r="H13" s="31">
        <f t="shared" si="1"/>
        <v>0</v>
      </c>
      <c r="I13" s="27">
        <v>13</v>
      </c>
      <c r="J13" s="31">
        <f t="shared" si="2"/>
        <v>0</v>
      </c>
      <c r="K13" s="27">
        <v>2.4</v>
      </c>
      <c r="L13" s="31">
        <f t="shared" si="3"/>
        <v>0</v>
      </c>
      <c r="M13" s="27">
        <v>47</v>
      </c>
      <c r="N13" s="27">
        <f t="shared" si="4"/>
        <v>0</v>
      </c>
      <c r="O13" s="32"/>
      <c r="P13" s="27">
        <f t="shared" si="5"/>
        <v>0</v>
      </c>
      <c r="Q13" s="27">
        <v>275</v>
      </c>
      <c r="R13" s="67">
        <f t="shared" si="7"/>
        <v>0</v>
      </c>
    </row>
    <row r="14" spans="1:18" x14ac:dyDescent="0.45">
      <c r="A14" s="68" t="s">
        <v>38</v>
      </c>
      <c r="B14" s="30"/>
      <c r="C14" s="27">
        <v>0.3</v>
      </c>
      <c r="D14" s="31">
        <f t="shared" si="0"/>
        <v>0</v>
      </c>
      <c r="E14" s="27">
        <v>9.9000000000000005E-2</v>
      </c>
      <c r="F14" s="30">
        <f t="shared" si="6"/>
        <v>0</v>
      </c>
      <c r="G14" s="27">
        <v>2.1</v>
      </c>
      <c r="H14" s="31">
        <f t="shared" si="1"/>
        <v>0</v>
      </c>
      <c r="I14" s="27">
        <v>8</v>
      </c>
      <c r="J14" s="31">
        <f t="shared" si="2"/>
        <v>0</v>
      </c>
      <c r="K14" s="27">
        <v>3</v>
      </c>
      <c r="L14" s="31">
        <f t="shared" si="3"/>
        <v>0</v>
      </c>
      <c r="M14" s="27">
        <v>40</v>
      </c>
      <c r="N14" s="27">
        <f t="shared" si="4"/>
        <v>0</v>
      </c>
      <c r="O14" s="27">
        <v>2.5</v>
      </c>
      <c r="P14" s="27">
        <f t="shared" si="5"/>
        <v>0</v>
      </c>
      <c r="Q14" s="27">
        <v>10</v>
      </c>
      <c r="R14" s="67">
        <f t="shared" si="7"/>
        <v>0</v>
      </c>
    </row>
    <row r="15" spans="1:18" x14ac:dyDescent="0.45">
      <c r="A15" s="68" t="s">
        <v>64</v>
      </c>
      <c r="B15" s="30"/>
      <c r="C15" s="27">
        <v>0.25</v>
      </c>
      <c r="D15" s="27">
        <f t="shared" si="0"/>
        <v>0</v>
      </c>
      <c r="E15" s="27">
        <v>0.13500000000000001</v>
      </c>
      <c r="F15" s="30">
        <f t="shared" si="6"/>
        <v>0</v>
      </c>
      <c r="G15" s="27">
        <v>2.5</v>
      </c>
      <c r="H15" s="31">
        <f t="shared" si="1"/>
        <v>0</v>
      </c>
      <c r="I15" s="27">
        <v>12</v>
      </c>
      <c r="J15" s="31">
        <f t="shared" si="2"/>
        <v>0</v>
      </c>
      <c r="K15" s="27">
        <v>6</v>
      </c>
      <c r="L15" s="31">
        <f t="shared" si="3"/>
        <v>0</v>
      </c>
      <c r="M15" s="27">
        <v>42</v>
      </c>
      <c r="N15" s="27">
        <f t="shared" si="4"/>
        <v>0</v>
      </c>
      <c r="O15" s="27">
        <v>2.5</v>
      </c>
      <c r="P15" s="27">
        <f t="shared" si="5"/>
        <v>0</v>
      </c>
      <c r="Q15" s="27"/>
      <c r="R15" s="67">
        <f t="shared" si="7"/>
        <v>0</v>
      </c>
    </row>
    <row r="16" spans="1:18" x14ac:dyDescent="0.45">
      <c r="A16" s="68" t="s">
        <v>65</v>
      </c>
      <c r="B16" s="30"/>
      <c r="C16" s="27">
        <v>0.25</v>
      </c>
      <c r="D16" s="27">
        <f t="shared" si="0"/>
        <v>0</v>
      </c>
      <c r="E16" s="27">
        <v>0.12</v>
      </c>
      <c r="F16" s="30">
        <f t="shared" si="6"/>
        <v>0</v>
      </c>
      <c r="G16" s="27">
        <v>2.4</v>
      </c>
      <c r="H16" s="31">
        <f t="shared" si="1"/>
        <v>0</v>
      </c>
      <c r="I16" s="27">
        <v>9</v>
      </c>
      <c r="J16" s="31">
        <f t="shared" si="2"/>
        <v>0</v>
      </c>
      <c r="K16" s="27">
        <v>2.2000000000000002</v>
      </c>
      <c r="L16" s="31">
        <f t="shared" si="3"/>
        <v>0</v>
      </c>
      <c r="M16" s="27">
        <v>45</v>
      </c>
      <c r="N16" s="27">
        <f t="shared" si="4"/>
        <v>0</v>
      </c>
      <c r="O16" s="27">
        <v>2.5</v>
      </c>
      <c r="P16" s="27">
        <f t="shared" si="5"/>
        <v>0</v>
      </c>
      <c r="Q16" s="27"/>
      <c r="R16" s="67">
        <f t="shared" si="7"/>
        <v>0</v>
      </c>
    </row>
    <row r="17" spans="1:18" x14ac:dyDescent="0.45">
      <c r="A17" s="68" t="s">
        <v>66</v>
      </c>
      <c r="B17" s="30"/>
      <c r="C17" s="27">
        <v>0.2</v>
      </c>
      <c r="D17" s="27">
        <f t="shared" si="0"/>
        <v>0</v>
      </c>
      <c r="E17" s="27">
        <v>0.2</v>
      </c>
      <c r="F17" s="30">
        <f t="shared" si="6"/>
        <v>0</v>
      </c>
      <c r="G17" s="27">
        <v>2.2999999999999998</v>
      </c>
      <c r="H17" s="31">
        <f t="shared" si="1"/>
        <v>0</v>
      </c>
      <c r="I17" s="27">
        <v>3</v>
      </c>
      <c r="J17" s="31">
        <f t="shared" si="2"/>
        <v>0</v>
      </c>
      <c r="K17" s="27">
        <v>4</v>
      </c>
      <c r="L17" s="31">
        <f t="shared" si="3"/>
        <v>0</v>
      </c>
      <c r="M17" s="27">
        <v>48</v>
      </c>
      <c r="N17" s="27">
        <f t="shared" si="4"/>
        <v>0</v>
      </c>
      <c r="O17" s="27">
        <v>2.5</v>
      </c>
      <c r="P17" s="27">
        <f t="shared" si="5"/>
        <v>0</v>
      </c>
      <c r="Q17" s="27"/>
      <c r="R17" s="67">
        <f t="shared" si="7"/>
        <v>0</v>
      </c>
    </row>
    <row r="18" spans="1:18" x14ac:dyDescent="0.45">
      <c r="A18" s="68" t="s">
        <v>67</v>
      </c>
      <c r="B18" s="30"/>
      <c r="C18" s="27">
        <v>0.9</v>
      </c>
      <c r="D18" s="31">
        <f t="shared" si="0"/>
        <v>0</v>
      </c>
      <c r="E18" s="27">
        <v>0.16</v>
      </c>
      <c r="F18" s="30">
        <f t="shared" ref="F18:F23" si="8">+(D18*E18)*1000</f>
        <v>0</v>
      </c>
      <c r="G18" s="27">
        <v>2.7</v>
      </c>
      <c r="H18" s="31">
        <f t="shared" ref="H18:H26" si="9">(D18*G18)</f>
        <v>0</v>
      </c>
      <c r="I18" s="27">
        <v>7</v>
      </c>
      <c r="J18" s="31">
        <f t="shared" ref="J18:J23" si="10">(D18*I18)</f>
        <v>0</v>
      </c>
      <c r="K18" s="27">
        <v>6</v>
      </c>
      <c r="L18" s="31">
        <f t="shared" ref="L18:L23" si="11">(D18*K18)</f>
        <v>0</v>
      </c>
      <c r="M18" s="27">
        <v>30</v>
      </c>
      <c r="N18" s="27">
        <f t="shared" ref="N18:N23" si="12">(M18*D18)/100</f>
        <v>0</v>
      </c>
      <c r="O18" s="27">
        <v>2.5</v>
      </c>
      <c r="P18" s="27">
        <f t="shared" ref="P18:P23" si="13">(O18*D18)/100</f>
        <v>0</v>
      </c>
      <c r="Q18" s="27">
        <v>500</v>
      </c>
      <c r="R18" s="67">
        <f t="shared" ref="R18:R23" si="14">(Q18*B18)</f>
        <v>0</v>
      </c>
    </row>
    <row r="19" spans="1:18" x14ac:dyDescent="0.45">
      <c r="A19" s="68" t="s">
        <v>68</v>
      </c>
      <c r="B19" s="30"/>
      <c r="C19" s="27">
        <v>0.95</v>
      </c>
      <c r="D19" s="31">
        <f t="shared" si="0"/>
        <v>0</v>
      </c>
      <c r="E19" s="27">
        <v>0.16</v>
      </c>
      <c r="F19" s="30">
        <f t="shared" si="8"/>
        <v>0</v>
      </c>
      <c r="G19" s="27">
        <v>2.7</v>
      </c>
      <c r="H19" s="31">
        <f t="shared" si="9"/>
        <v>0</v>
      </c>
      <c r="I19" s="27">
        <v>2.7</v>
      </c>
      <c r="J19" s="31">
        <f t="shared" si="10"/>
        <v>0</v>
      </c>
      <c r="K19" s="27">
        <v>2.67</v>
      </c>
      <c r="L19" s="31">
        <f t="shared" si="11"/>
        <v>0</v>
      </c>
      <c r="M19" s="27">
        <v>48</v>
      </c>
      <c r="N19" s="27">
        <f t="shared" si="12"/>
        <v>0</v>
      </c>
      <c r="O19" s="27">
        <v>1</v>
      </c>
      <c r="P19" s="27">
        <f t="shared" si="13"/>
        <v>0</v>
      </c>
      <c r="Q19" s="27">
        <v>220</v>
      </c>
      <c r="R19" s="67">
        <f t="shared" si="14"/>
        <v>0</v>
      </c>
    </row>
    <row r="20" spans="1:18" x14ac:dyDescent="0.45">
      <c r="A20" s="68" t="s">
        <v>69</v>
      </c>
      <c r="B20" s="30"/>
      <c r="C20" s="27">
        <v>0.3</v>
      </c>
      <c r="D20" s="31">
        <f t="shared" si="0"/>
        <v>0</v>
      </c>
      <c r="E20" s="27">
        <v>0.19</v>
      </c>
      <c r="F20" s="30">
        <f t="shared" si="8"/>
        <v>0</v>
      </c>
      <c r="G20" s="27">
        <v>2.7</v>
      </c>
      <c r="H20" s="31">
        <f t="shared" si="9"/>
        <v>0</v>
      </c>
      <c r="I20" s="27">
        <v>3</v>
      </c>
      <c r="J20" s="31">
        <f t="shared" si="10"/>
        <v>0</v>
      </c>
      <c r="K20" s="27">
        <v>6</v>
      </c>
      <c r="L20" s="31">
        <f t="shared" si="11"/>
        <v>0</v>
      </c>
      <c r="M20" s="27">
        <v>53</v>
      </c>
      <c r="N20" s="27">
        <f t="shared" si="12"/>
        <v>0</v>
      </c>
      <c r="O20" s="27">
        <v>6.25</v>
      </c>
      <c r="P20" s="27">
        <f t="shared" si="13"/>
        <v>0</v>
      </c>
      <c r="Q20" s="27">
        <v>10</v>
      </c>
      <c r="R20" s="67">
        <f t="shared" si="14"/>
        <v>0</v>
      </c>
    </row>
    <row r="21" spans="1:18" x14ac:dyDescent="0.45">
      <c r="A21" s="68" t="s">
        <v>70</v>
      </c>
      <c r="B21" s="30"/>
      <c r="C21" s="27">
        <v>0.95</v>
      </c>
      <c r="D21" s="31">
        <f t="shared" si="0"/>
        <v>0</v>
      </c>
      <c r="E21" s="27">
        <v>0.19</v>
      </c>
      <c r="F21" s="30">
        <f t="shared" si="8"/>
        <v>0</v>
      </c>
      <c r="G21" s="27">
        <v>2.72</v>
      </c>
      <c r="H21" s="31">
        <f t="shared" si="9"/>
        <v>0</v>
      </c>
      <c r="I21" s="27">
        <v>3</v>
      </c>
      <c r="J21" s="31">
        <f t="shared" si="10"/>
        <v>0</v>
      </c>
      <c r="K21" s="27">
        <v>6</v>
      </c>
      <c r="L21" s="31">
        <f t="shared" si="11"/>
        <v>0</v>
      </c>
      <c r="M21" s="27">
        <v>53</v>
      </c>
      <c r="N21" s="27">
        <f t="shared" si="12"/>
        <v>0</v>
      </c>
      <c r="O21" s="27">
        <v>6.25</v>
      </c>
      <c r="P21" s="27">
        <f t="shared" si="13"/>
        <v>0</v>
      </c>
      <c r="Q21" s="27">
        <v>120</v>
      </c>
      <c r="R21" s="67">
        <f t="shared" si="14"/>
        <v>0</v>
      </c>
    </row>
    <row r="22" spans="1:18" x14ac:dyDescent="0.45">
      <c r="A22" s="68" t="s">
        <v>71</v>
      </c>
      <c r="B22" s="30"/>
      <c r="C22" s="27">
        <v>0.28000000000000003</v>
      </c>
      <c r="D22" s="31">
        <f t="shared" si="0"/>
        <v>0</v>
      </c>
      <c r="E22" s="27">
        <v>0.11</v>
      </c>
      <c r="F22" s="30">
        <f t="shared" si="8"/>
        <v>0</v>
      </c>
      <c r="G22" s="27">
        <v>2</v>
      </c>
      <c r="H22" s="31">
        <f t="shared" si="9"/>
        <v>0</v>
      </c>
      <c r="I22" s="27">
        <v>4.5</v>
      </c>
      <c r="J22" s="31">
        <f t="shared" si="10"/>
        <v>0</v>
      </c>
      <c r="K22" s="27">
        <v>2</v>
      </c>
      <c r="L22" s="31">
        <f t="shared" si="11"/>
        <v>0</v>
      </c>
      <c r="M22" s="27">
        <v>63</v>
      </c>
      <c r="N22" s="27">
        <f t="shared" si="12"/>
        <v>0</v>
      </c>
      <c r="O22" s="27">
        <v>1.4</v>
      </c>
      <c r="P22" s="27">
        <f t="shared" si="13"/>
        <v>0</v>
      </c>
      <c r="Q22" s="27">
        <v>10</v>
      </c>
      <c r="R22" s="67">
        <f t="shared" si="14"/>
        <v>0</v>
      </c>
    </row>
    <row r="23" spans="1:18" x14ac:dyDescent="0.45">
      <c r="A23" s="68" t="s">
        <v>44</v>
      </c>
      <c r="B23" s="30"/>
      <c r="C23" s="27">
        <v>0.95</v>
      </c>
      <c r="D23" s="31">
        <f t="shared" si="0"/>
        <v>0</v>
      </c>
      <c r="E23" s="27">
        <v>0.11</v>
      </c>
      <c r="F23" s="30">
        <f t="shared" si="8"/>
        <v>0</v>
      </c>
      <c r="G23" s="27">
        <v>2</v>
      </c>
      <c r="H23" s="31">
        <f t="shared" si="9"/>
        <v>0</v>
      </c>
      <c r="I23" s="27">
        <v>4.5</v>
      </c>
      <c r="J23" s="31">
        <f t="shared" si="10"/>
        <v>0</v>
      </c>
      <c r="K23" s="27">
        <v>2</v>
      </c>
      <c r="L23" s="31">
        <f t="shared" si="11"/>
        <v>0</v>
      </c>
      <c r="M23" s="27">
        <v>63</v>
      </c>
      <c r="N23" s="27">
        <f t="shared" si="12"/>
        <v>0</v>
      </c>
      <c r="O23" s="27">
        <v>1.4</v>
      </c>
      <c r="P23" s="27">
        <f t="shared" si="13"/>
        <v>0</v>
      </c>
      <c r="Q23" s="27">
        <v>120</v>
      </c>
      <c r="R23" s="67">
        <f t="shared" si="14"/>
        <v>0</v>
      </c>
    </row>
    <row r="24" spans="1:18" x14ac:dyDescent="0.45">
      <c r="A24" s="68" t="s">
        <v>42</v>
      </c>
      <c r="B24" s="30"/>
      <c r="C24" s="27">
        <v>0.88</v>
      </c>
      <c r="D24" s="31">
        <f t="shared" si="0"/>
        <v>0</v>
      </c>
      <c r="E24" s="27">
        <v>0.45200000000000001</v>
      </c>
      <c r="F24" s="30">
        <f t="shared" si="6"/>
        <v>0</v>
      </c>
      <c r="G24" s="27">
        <v>2.88</v>
      </c>
      <c r="H24" s="31">
        <f t="shared" si="9"/>
        <v>0</v>
      </c>
      <c r="I24" s="27">
        <v>3.2</v>
      </c>
      <c r="J24" s="31">
        <v>0</v>
      </c>
      <c r="K24" s="27">
        <v>6.7</v>
      </c>
      <c r="L24" s="31">
        <v>0</v>
      </c>
      <c r="M24" s="27">
        <v>12.6</v>
      </c>
      <c r="N24" s="27">
        <v>0</v>
      </c>
      <c r="O24" s="27"/>
      <c r="P24" s="27">
        <v>0</v>
      </c>
      <c r="Q24" s="27">
        <v>880</v>
      </c>
      <c r="R24" s="67">
        <v>0</v>
      </c>
    </row>
    <row r="25" spans="1:18" x14ac:dyDescent="0.45">
      <c r="A25" s="68" t="s">
        <v>45</v>
      </c>
      <c r="B25" s="30"/>
      <c r="C25" s="27">
        <v>1</v>
      </c>
      <c r="D25" s="31">
        <f t="shared" si="0"/>
        <v>0</v>
      </c>
      <c r="E25" s="27"/>
      <c r="F25" s="30"/>
      <c r="G25" s="27"/>
      <c r="H25" s="31">
        <f t="shared" si="9"/>
        <v>0</v>
      </c>
      <c r="I25" s="27">
        <v>380</v>
      </c>
      <c r="J25" s="31">
        <f t="shared" si="2"/>
        <v>0</v>
      </c>
      <c r="K25" s="27"/>
      <c r="L25" s="31">
        <f>(D25*K25)</f>
        <v>0</v>
      </c>
      <c r="M25" s="27"/>
      <c r="N25" s="27">
        <f t="shared" si="4"/>
        <v>0</v>
      </c>
      <c r="O25" s="27"/>
      <c r="P25" s="27">
        <f t="shared" si="5"/>
        <v>0</v>
      </c>
      <c r="Q25" s="27"/>
      <c r="R25" s="67">
        <f>(Q25*B25)</f>
        <v>0</v>
      </c>
    </row>
    <row r="26" spans="1:18" x14ac:dyDescent="0.45">
      <c r="A26" s="68" t="s">
        <v>46</v>
      </c>
      <c r="B26" s="30"/>
      <c r="C26" s="27">
        <v>1</v>
      </c>
      <c r="D26" s="31">
        <f t="shared" si="0"/>
        <v>0</v>
      </c>
      <c r="E26" s="27"/>
      <c r="F26" s="30"/>
      <c r="G26" s="27"/>
      <c r="H26" s="31">
        <f t="shared" si="9"/>
        <v>0</v>
      </c>
      <c r="I26" s="27">
        <v>220</v>
      </c>
      <c r="J26" s="31">
        <f t="shared" si="2"/>
        <v>0</v>
      </c>
      <c r="K26" s="27">
        <v>180</v>
      </c>
      <c r="L26" s="31">
        <f>(D26*K26)</f>
        <v>0</v>
      </c>
      <c r="M26" s="27"/>
      <c r="N26" s="27">
        <f t="shared" si="4"/>
        <v>0</v>
      </c>
      <c r="O26" s="27"/>
      <c r="P26" s="27">
        <f t="shared" si="5"/>
        <v>0</v>
      </c>
      <c r="Q26" s="27"/>
      <c r="R26" s="67">
        <f>(Q26*B26)</f>
        <v>0</v>
      </c>
    </row>
    <row r="27" spans="1:18" x14ac:dyDescent="0.45">
      <c r="A27" s="69" t="s">
        <v>47</v>
      </c>
      <c r="B27" s="33">
        <f>SUM(B10:B26)</f>
        <v>0</v>
      </c>
      <c r="C27" s="34"/>
      <c r="D27" s="33">
        <f>SUM(D10:D26)</f>
        <v>0</v>
      </c>
      <c r="E27" s="26"/>
      <c r="F27" s="35">
        <f>SUM(F10:F26)</f>
        <v>0</v>
      </c>
      <c r="G27" s="27"/>
      <c r="H27" s="36">
        <f>SUM(H10:H26)</f>
        <v>0</v>
      </c>
      <c r="I27" s="27"/>
      <c r="J27" s="37">
        <f>SUM(J10:J26)</f>
        <v>0</v>
      </c>
      <c r="K27" s="27"/>
      <c r="L27" s="38">
        <f>SUM(L10:L26)</f>
        <v>0</v>
      </c>
      <c r="M27" s="27"/>
      <c r="N27" s="39">
        <f>SUM(N10:N26)</f>
        <v>0</v>
      </c>
      <c r="O27" s="27"/>
      <c r="P27" s="40" t="e">
        <f>+(SUM(P10:P26)/D27)*100</f>
        <v>#DIV/0!</v>
      </c>
      <c r="Q27" s="25"/>
      <c r="R27" s="70">
        <f>+SUM(R10:R26)</f>
        <v>0</v>
      </c>
    </row>
    <row r="28" spans="1:18" x14ac:dyDescent="0.45">
      <c r="A28" s="71" t="s">
        <v>48</v>
      </c>
      <c r="B28" s="34"/>
      <c r="C28" s="29"/>
      <c r="D28" s="41">
        <f>(D27/A6)*100</f>
        <v>0</v>
      </c>
      <c r="E28" s="26" t="s">
        <v>49</v>
      </c>
      <c r="F28" s="42">
        <f>+F27-D6</f>
        <v>-80.31304500315656</v>
      </c>
      <c r="G28" s="43"/>
      <c r="H28" s="44">
        <f>+H27-E6</f>
        <v>-2.2407821045615388</v>
      </c>
      <c r="I28" s="29"/>
      <c r="J28" s="45">
        <f>+J27-F6</f>
        <v>-2.0164193249453128</v>
      </c>
      <c r="K28" s="46"/>
      <c r="L28" s="47">
        <f>+L27-G6</f>
        <v>-1.433674917269832</v>
      </c>
      <c r="M28" s="28"/>
      <c r="N28" s="39">
        <f>+N27-H6</f>
        <v>0</v>
      </c>
      <c r="O28" s="25"/>
      <c r="P28" s="25"/>
      <c r="Q28" s="25"/>
      <c r="R28" s="72"/>
    </row>
    <row r="29" spans="1:18" x14ac:dyDescent="0.45">
      <c r="A29" s="73" t="s">
        <v>50</v>
      </c>
      <c r="B29" s="26"/>
      <c r="C29" s="48"/>
      <c r="D29" s="49">
        <v>4</v>
      </c>
      <c r="E29" s="46"/>
      <c r="F29" s="28"/>
      <c r="G29" s="26"/>
      <c r="H29" s="50"/>
      <c r="I29" s="29"/>
      <c r="J29" s="28"/>
      <c r="K29" s="51" t="e">
        <f>+J27/L27</f>
        <v>#DIV/0!</v>
      </c>
      <c r="L29" s="28"/>
      <c r="M29" s="28"/>
      <c r="N29" s="33"/>
      <c r="O29" s="25"/>
      <c r="P29" s="25"/>
      <c r="Q29" s="25"/>
      <c r="R29" s="72"/>
    </row>
    <row r="30" spans="1:18" ht="14.65" thickBot="1" x14ac:dyDescent="0.5">
      <c r="A30" s="74"/>
      <c r="B30" s="75"/>
      <c r="C30" s="76"/>
      <c r="D30" s="77"/>
      <c r="E30" s="77"/>
      <c r="F30" s="78"/>
      <c r="G30" s="79"/>
      <c r="H30" s="80"/>
      <c r="I30" s="80"/>
      <c r="J30" s="79"/>
      <c r="K30" s="81" t="s">
        <v>51</v>
      </c>
      <c r="L30" s="79"/>
      <c r="M30" s="79"/>
      <c r="N30" s="79"/>
      <c r="O30" s="79"/>
      <c r="P30" s="79"/>
      <c r="Q30" s="79"/>
      <c r="R30" s="82"/>
    </row>
    <row r="31" spans="1:18" x14ac:dyDescent="0.45">
      <c r="A31" s="8"/>
      <c r="B31" s="11"/>
      <c r="C31" s="16"/>
      <c r="D31" s="10"/>
      <c r="E31" s="10"/>
      <c r="F31" s="9"/>
    </row>
    <row r="32" spans="1:18" x14ac:dyDescent="0.45">
      <c r="A32" s="139" t="s">
        <v>52</v>
      </c>
      <c r="B32" s="109"/>
      <c r="C32" s="16"/>
      <c r="D32" s="10"/>
      <c r="E32" s="10"/>
      <c r="F32" s="9"/>
      <c r="N32" s="3"/>
    </row>
    <row r="33" spans="1:14" x14ac:dyDescent="0.45">
      <c r="A33" s="139" t="s">
        <v>53</v>
      </c>
      <c r="B33" s="110"/>
      <c r="D33" s="11"/>
      <c r="H33" s="14"/>
      <c r="J33" s="4"/>
      <c r="K33" s="4"/>
      <c r="L33" s="4"/>
      <c r="M33" s="4"/>
      <c r="N33" s="4"/>
    </row>
    <row r="34" spans="1:14" x14ac:dyDescent="0.45">
      <c r="A34" s="139" t="s">
        <v>54</v>
      </c>
      <c r="D34"/>
    </row>
    <row r="35" spans="1:14" x14ac:dyDescent="0.45">
      <c r="D35"/>
    </row>
    <row r="36" spans="1:14" x14ac:dyDescent="0.45">
      <c r="D36"/>
      <c r="E36" s="6"/>
    </row>
    <row r="42" spans="1:14" x14ac:dyDescent="0.45">
      <c r="D42" s="14"/>
      <c r="E42" s="1"/>
      <c r="F42" s="4"/>
      <c r="G42" s="5"/>
      <c r="H42" s="23"/>
    </row>
    <row r="63" spans="1:8" ht="14.65" thickBot="1" x14ac:dyDescent="0.5"/>
    <row r="64" spans="1:8" ht="14.65" thickBot="1" x14ac:dyDescent="0.5">
      <c r="A64" s="12"/>
      <c r="C64" s="12"/>
      <c r="D64" s="13"/>
      <c r="F64" s="2"/>
      <c r="H64" s="24"/>
    </row>
    <row r="65" spans="1:4" ht="14.65" thickBot="1" x14ac:dyDescent="0.5">
      <c r="A65" s="12"/>
      <c r="C65" s="12"/>
      <c r="D65" s="13"/>
    </row>
    <row r="66" spans="1:4" ht="14.65" thickBot="1" x14ac:dyDescent="0.5">
      <c r="A66" s="12"/>
      <c r="D66" s="15"/>
    </row>
  </sheetData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5BA6-5A01-41F7-92D8-DD04BDF39564}">
  <dimension ref="A1:R35"/>
  <sheetViews>
    <sheetView workbookViewId="0">
      <selection activeCell="B6" sqref="B6"/>
    </sheetView>
  </sheetViews>
  <sheetFormatPr defaultRowHeight="14.25" x14ac:dyDescent="0.45"/>
  <cols>
    <col min="1" max="1" width="20.3984375" bestFit="1" customWidth="1"/>
    <col min="2" max="3" width="11.86328125" bestFit="1" customWidth="1"/>
    <col min="4" max="4" width="28.1328125" customWidth="1"/>
    <col min="5" max="5" width="28.1328125" bestFit="1" customWidth="1"/>
    <col min="6" max="6" width="23.86328125" bestFit="1" customWidth="1"/>
    <col min="7" max="7" width="22.59765625" bestFit="1" customWidth="1"/>
    <col min="8" max="8" width="20.86328125" bestFit="1" customWidth="1"/>
    <col min="9" max="9" width="21.265625" bestFit="1" customWidth="1"/>
    <col min="10" max="256" width="11.3984375" customWidth="1"/>
  </cols>
  <sheetData>
    <row r="1" spans="1:18" x14ac:dyDescent="0.45">
      <c r="A1" s="124"/>
      <c r="B1" s="125"/>
      <c r="C1" s="125"/>
      <c r="D1" s="125"/>
      <c r="E1" s="126"/>
      <c r="F1" s="126"/>
      <c r="G1" s="126"/>
      <c r="H1" s="125"/>
      <c r="I1" s="181"/>
    </row>
    <row r="2" spans="1:18" ht="15.4" x14ac:dyDescent="0.45">
      <c r="A2" s="128"/>
      <c r="B2" s="129"/>
      <c r="C2" s="129"/>
      <c r="D2" s="130" t="s">
        <v>0</v>
      </c>
      <c r="E2" s="131"/>
      <c r="F2" s="132"/>
      <c r="G2" s="132"/>
      <c r="H2" s="129"/>
      <c r="I2" s="182"/>
    </row>
    <row r="3" spans="1:18" x14ac:dyDescent="0.45">
      <c r="A3" s="128"/>
      <c r="B3" s="129"/>
      <c r="C3" s="129"/>
      <c r="D3" s="129"/>
      <c r="E3" s="132"/>
      <c r="F3" s="132"/>
      <c r="G3" s="132"/>
      <c r="H3" s="129"/>
      <c r="I3" s="182"/>
    </row>
    <row r="4" spans="1:18" ht="14.65" thickBot="1" x14ac:dyDescent="0.5">
      <c r="A4" s="134"/>
      <c r="B4" s="135"/>
      <c r="C4" s="135"/>
      <c r="D4" s="135"/>
      <c r="E4" s="136"/>
      <c r="F4" s="136"/>
      <c r="G4" s="136"/>
      <c r="H4" s="135"/>
      <c r="I4" s="183"/>
    </row>
    <row r="5" spans="1:18" x14ac:dyDescent="0.45">
      <c r="A5" s="111" t="s">
        <v>1</v>
      </c>
      <c r="B5" s="112" t="s">
        <v>2</v>
      </c>
      <c r="C5" s="112" t="s">
        <v>3</v>
      </c>
      <c r="D5" s="113" t="s">
        <v>4</v>
      </c>
      <c r="E5" s="114" t="s">
        <v>5</v>
      </c>
      <c r="F5" s="115" t="s">
        <v>6</v>
      </c>
      <c r="G5" s="116" t="s">
        <v>7</v>
      </c>
      <c r="H5" s="117" t="s">
        <v>58</v>
      </c>
      <c r="I5" s="118" t="s">
        <v>59</v>
      </c>
      <c r="J5" s="108"/>
      <c r="K5" s="108"/>
      <c r="L5" s="108"/>
      <c r="M5" s="108"/>
      <c r="N5" s="108"/>
      <c r="O5" s="108"/>
      <c r="P5" s="108"/>
      <c r="Q5" s="108"/>
      <c r="R5" s="108"/>
    </row>
    <row r="6" spans="1:18" ht="14.65" thickBot="1" x14ac:dyDescent="0.5">
      <c r="A6" s="83">
        <v>18</v>
      </c>
      <c r="B6" s="84">
        <f>(A6^0.75)</f>
        <v>8.7388518907318193</v>
      </c>
      <c r="C6" s="85">
        <v>0.1</v>
      </c>
      <c r="D6" s="86">
        <f>(3.925*B6) + (340*C6)</f>
        <v>68.299993671122394</v>
      </c>
      <c r="E6" s="86">
        <f>0.149 *B6 + 5.8*C6</f>
        <v>1.882088931719041</v>
      </c>
      <c r="F6" s="86">
        <f>0.13*B6 + 3.5*C6</f>
        <v>1.4860507457951366</v>
      </c>
      <c r="G6" s="86">
        <f>+ 0.09*B6 + 2.8*C6</f>
        <v>1.0664966701658636</v>
      </c>
      <c r="H6" s="87">
        <f>+D27 *0.35</f>
        <v>0</v>
      </c>
      <c r="I6" s="88">
        <v>6</v>
      </c>
      <c r="J6" s="18"/>
      <c r="K6" s="18"/>
      <c r="L6" s="18"/>
      <c r="M6" s="18"/>
      <c r="N6" s="18"/>
      <c r="O6" s="18"/>
      <c r="P6" s="18"/>
      <c r="Q6" s="18"/>
      <c r="R6" s="18"/>
    </row>
    <row r="7" spans="1:18" ht="14.65" thickBot="1" x14ac:dyDescent="0.5">
      <c r="A7" s="17"/>
      <c r="B7" s="17"/>
      <c r="C7" s="17"/>
      <c r="D7" s="17"/>
      <c r="E7" s="18"/>
      <c r="F7" s="18"/>
      <c r="G7" s="18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45">
      <c r="A8" s="53"/>
      <c r="B8" s="54" t="s">
        <v>11</v>
      </c>
      <c r="C8" s="55"/>
      <c r="D8" s="55"/>
      <c r="E8" s="56"/>
      <c r="F8" s="57" t="s">
        <v>12</v>
      </c>
      <c r="G8" s="56"/>
      <c r="H8" s="58" t="s">
        <v>13</v>
      </c>
      <c r="I8" s="59"/>
      <c r="J8" s="60" t="s">
        <v>14</v>
      </c>
      <c r="K8" s="61"/>
      <c r="L8" s="62" t="s">
        <v>15</v>
      </c>
      <c r="M8" s="61"/>
      <c r="N8" s="63" t="s">
        <v>60</v>
      </c>
      <c r="O8" s="61"/>
      <c r="P8" s="64" t="s">
        <v>16</v>
      </c>
      <c r="Q8" s="61"/>
      <c r="R8" s="65" t="s">
        <v>17</v>
      </c>
    </row>
    <row r="9" spans="1:18" x14ac:dyDescent="0.45">
      <c r="A9" s="66"/>
      <c r="B9" s="27" t="s">
        <v>18</v>
      </c>
      <c r="C9" s="27" t="s">
        <v>19</v>
      </c>
      <c r="D9" s="27" t="s">
        <v>20</v>
      </c>
      <c r="E9" s="27" t="s">
        <v>21</v>
      </c>
      <c r="F9" s="27" t="s">
        <v>22</v>
      </c>
      <c r="G9" s="27" t="s">
        <v>23</v>
      </c>
      <c r="H9" s="27" t="s">
        <v>24</v>
      </c>
      <c r="I9" s="27" t="s">
        <v>25</v>
      </c>
      <c r="J9" s="27" t="s">
        <v>26</v>
      </c>
      <c r="K9" s="27" t="s">
        <v>27</v>
      </c>
      <c r="L9" s="27" t="s">
        <v>28</v>
      </c>
      <c r="M9" s="27" t="s">
        <v>61</v>
      </c>
      <c r="N9" s="27" t="s">
        <v>62</v>
      </c>
      <c r="O9" s="27" t="s">
        <v>29</v>
      </c>
      <c r="P9" s="27" t="s">
        <v>30</v>
      </c>
      <c r="Q9" s="27" t="s">
        <v>31</v>
      </c>
      <c r="R9" s="67" t="s">
        <v>32</v>
      </c>
    </row>
    <row r="10" spans="1:18" x14ac:dyDescent="0.45">
      <c r="A10" s="68" t="s">
        <v>35</v>
      </c>
      <c r="B10" s="30"/>
      <c r="C10" s="27">
        <v>0.87</v>
      </c>
      <c r="D10" s="31">
        <f t="shared" ref="D10:D19" si="0">(B10*C10)</f>
        <v>0</v>
      </c>
      <c r="E10" s="27">
        <v>0.09</v>
      </c>
      <c r="F10" s="31">
        <f>+(D10*E10)*1000</f>
        <v>0</v>
      </c>
      <c r="G10" s="27">
        <v>3.39</v>
      </c>
      <c r="H10" s="31">
        <f t="shared" ref="H10:H17" si="1">(D10*G10)</f>
        <v>0</v>
      </c>
      <c r="I10" s="27">
        <v>0.2</v>
      </c>
      <c r="J10" s="31">
        <f t="shared" ref="J10:J26" si="2">(D10*I10)</f>
        <v>0</v>
      </c>
      <c r="K10" s="27">
        <v>2</v>
      </c>
      <c r="L10" s="31">
        <f t="shared" ref="L10:L17" si="3">(D10*K10)</f>
        <v>0</v>
      </c>
      <c r="M10" s="27">
        <v>15.7</v>
      </c>
      <c r="N10" s="27">
        <f t="shared" ref="N10:N26" si="4">(M10*D10)/100</f>
        <v>0</v>
      </c>
      <c r="O10" s="27">
        <v>4.3</v>
      </c>
      <c r="P10" s="27">
        <f t="shared" ref="P10:P26" si="5">(O10*D10)/100</f>
        <v>0</v>
      </c>
      <c r="Q10" s="27">
        <v>375</v>
      </c>
      <c r="R10" s="67">
        <f>(Q10*D10)</f>
        <v>0</v>
      </c>
    </row>
    <row r="11" spans="1:18" x14ac:dyDescent="0.45">
      <c r="A11" s="68" t="s">
        <v>36</v>
      </c>
      <c r="B11" s="30"/>
      <c r="C11" s="27">
        <v>0.87</v>
      </c>
      <c r="D11" s="31">
        <f t="shared" si="0"/>
        <v>0</v>
      </c>
      <c r="E11" s="27">
        <v>0.17</v>
      </c>
      <c r="F11" s="30">
        <f t="shared" ref="F11:F17" si="6">+(D11*E11)*1000</f>
        <v>0</v>
      </c>
      <c r="G11" s="27">
        <v>2.54</v>
      </c>
      <c r="H11" s="31">
        <f t="shared" si="1"/>
        <v>0</v>
      </c>
      <c r="I11" s="27">
        <v>2.5</v>
      </c>
      <c r="J11" s="31">
        <f t="shared" si="2"/>
        <v>0</v>
      </c>
      <c r="K11" s="27">
        <v>10</v>
      </c>
      <c r="L11" s="31">
        <f t="shared" si="3"/>
        <v>0</v>
      </c>
      <c r="M11" s="27">
        <v>48</v>
      </c>
      <c r="N11" s="27">
        <f t="shared" si="4"/>
        <v>0</v>
      </c>
      <c r="O11" s="27">
        <v>4.2</v>
      </c>
      <c r="P11" s="27">
        <f t="shared" si="5"/>
        <v>0</v>
      </c>
      <c r="Q11" s="27">
        <v>350</v>
      </c>
      <c r="R11" s="67">
        <f t="shared" ref="R11:R17" si="7">(Q11*B11)</f>
        <v>0</v>
      </c>
    </row>
    <row r="12" spans="1:18" x14ac:dyDescent="0.45">
      <c r="A12" s="68" t="s">
        <v>63</v>
      </c>
      <c r="B12" s="30"/>
      <c r="C12" s="27">
        <v>0.9</v>
      </c>
      <c r="D12" s="31">
        <f t="shared" si="0"/>
        <v>0</v>
      </c>
      <c r="E12" s="27">
        <v>6.8000000000000005E-2</v>
      </c>
      <c r="F12" s="31">
        <f t="shared" si="6"/>
        <v>0</v>
      </c>
      <c r="G12" s="27">
        <v>1.5</v>
      </c>
      <c r="H12" s="31">
        <f t="shared" si="1"/>
        <v>0</v>
      </c>
      <c r="I12" s="27">
        <v>3</v>
      </c>
      <c r="J12" s="31">
        <f t="shared" si="2"/>
        <v>0</v>
      </c>
      <c r="K12" s="27">
        <v>3</v>
      </c>
      <c r="L12" s="31">
        <f t="shared" si="3"/>
        <v>0</v>
      </c>
      <c r="M12" s="27">
        <v>70</v>
      </c>
      <c r="N12" s="27">
        <f t="shared" si="4"/>
        <v>0</v>
      </c>
      <c r="O12" s="27">
        <v>1.2</v>
      </c>
      <c r="P12" s="27">
        <f t="shared" si="5"/>
        <v>0</v>
      </c>
      <c r="Q12" s="27">
        <v>100</v>
      </c>
      <c r="R12" s="67">
        <f t="shared" si="7"/>
        <v>0</v>
      </c>
    </row>
    <row r="13" spans="1:18" x14ac:dyDescent="0.45">
      <c r="A13" s="68" t="s">
        <v>37</v>
      </c>
      <c r="B13" s="30"/>
      <c r="C13" s="27">
        <v>0.85</v>
      </c>
      <c r="D13" s="31">
        <f t="shared" si="0"/>
        <v>0</v>
      </c>
      <c r="E13" s="27">
        <v>0.13800000000000001</v>
      </c>
      <c r="F13" s="30">
        <f t="shared" si="6"/>
        <v>0</v>
      </c>
      <c r="G13" s="27">
        <v>2</v>
      </c>
      <c r="H13" s="31">
        <f t="shared" si="1"/>
        <v>0</v>
      </c>
      <c r="I13" s="27">
        <v>13</v>
      </c>
      <c r="J13" s="31">
        <f t="shared" si="2"/>
        <v>0</v>
      </c>
      <c r="K13" s="27">
        <v>2.4</v>
      </c>
      <c r="L13" s="31">
        <f t="shared" si="3"/>
        <v>0</v>
      </c>
      <c r="M13" s="27">
        <v>47</v>
      </c>
      <c r="N13" s="27">
        <f t="shared" si="4"/>
        <v>0</v>
      </c>
      <c r="O13" s="32"/>
      <c r="P13" s="27">
        <f t="shared" si="5"/>
        <v>0</v>
      </c>
      <c r="Q13" s="27">
        <v>275</v>
      </c>
      <c r="R13" s="67">
        <f t="shared" si="7"/>
        <v>0</v>
      </c>
    </row>
    <row r="14" spans="1:18" x14ac:dyDescent="0.45">
      <c r="A14" s="68" t="s">
        <v>38</v>
      </c>
      <c r="B14" s="30"/>
      <c r="C14" s="27">
        <v>0.3</v>
      </c>
      <c r="D14" s="31">
        <f t="shared" si="0"/>
        <v>0</v>
      </c>
      <c r="E14" s="27">
        <v>9.9000000000000005E-2</v>
      </c>
      <c r="F14" s="30">
        <f t="shared" si="6"/>
        <v>0</v>
      </c>
      <c r="G14" s="27">
        <v>2.1</v>
      </c>
      <c r="H14" s="31">
        <f t="shared" si="1"/>
        <v>0</v>
      </c>
      <c r="I14" s="27">
        <v>8</v>
      </c>
      <c r="J14" s="31">
        <f t="shared" si="2"/>
        <v>0</v>
      </c>
      <c r="K14" s="27">
        <v>3</v>
      </c>
      <c r="L14" s="31">
        <f t="shared" si="3"/>
        <v>0</v>
      </c>
      <c r="M14" s="27">
        <v>40</v>
      </c>
      <c r="N14" s="27">
        <f t="shared" si="4"/>
        <v>0</v>
      </c>
      <c r="O14" s="27">
        <v>2.5</v>
      </c>
      <c r="P14" s="27">
        <f t="shared" si="5"/>
        <v>0</v>
      </c>
      <c r="Q14" s="27">
        <v>10</v>
      </c>
      <c r="R14" s="67">
        <f t="shared" si="7"/>
        <v>0</v>
      </c>
    </row>
    <row r="15" spans="1:18" x14ac:dyDescent="0.45">
      <c r="A15" s="68" t="s">
        <v>64</v>
      </c>
      <c r="B15" s="30"/>
      <c r="C15" s="27">
        <v>0.25</v>
      </c>
      <c r="D15" s="27">
        <f t="shared" si="0"/>
        <v>0</v>
      </c>
      <c r="E15" s="27">
        <v>0.13500000000000001</v>
      </c>
      <c r="F15" s="30">
        <f t="shared" si="6"/>
        <v>0</v>
      </c>
      <c r="G15" s="27">
        <v>2.5</v>
      </c>
      <c r="H15" s="31">
        <f t="shared" si="1"/>
        <v>0</v>
      </c>
      <c r="I15" s="27">
        <v>12</v>
      </c>
      <c r="J15" s="31">
        <f t="shared" si="2"/>
        <v>0</v>
      </c>
      <c r="K15" s="27">
        <v>6</v>
      </c>
      <c r="L15" s="31">
        <f t="shared" si="3"/>
        <v>0</v>
      </c>
      <c r="M15" s="27">
        <v>42</v>
      </c>
      <c r="N15" s="27">
        <f t="shared" si="4"/>
        <v>0</v>
      </c>
      <c r="O15" s="27">
        <v>2.5</v>
      </c>
      <c r="P15" s="27">
        <f t="shared" si="5"/>
        <v>0</v>
      </c>
      <c r="Q15" s="27"/>
      <c r="R15" s="67">
        <f t="shared" si="7"/>
        <v>0</v>
      </c>
    </row>
    <row r="16" spans="1:18" x14ac:dyDescent="0.45">
      <c r="A16" s="68" t="s">
        <v>65</v>
      </c>
      <c r="B16" s="30"/>
      <c r="C16" s="27">
        <v>0.25</v>
      </c>
      <c r="D16" s="27">
        <f t="shared" si="0"/>
        <v>0</v>
      </c>
      <c r="E16" s="27">
        <v>0.12</v>
      </c>
      <c r="F16" s="30">
        <f t="shared" si="6"/>
        <v>0</v>
      </c>
      <c r="G16" s="27">
        <v>2.4</v>
      </c>
      <c r="H16" s="31">
        <f t="shared" si="1"/>
        <v>0</v>
      </c>
      <c r="I16" s="27">
        <v>9</v>
      </c>
      <c r="J16" s="31">
        <f t="shared" si="2"/>
        <v>0</v>
      </c>
      <c r="K16" s="27">
        <v>2.2000000000000002</v>
      </c>
      <c r="L16" s="31">
        <f t="shared" si="3"/>
        <v>0</v>
      </c>
      <c r="M16" s="27">
        <v>45</v>
      </c>
      <c r="N16" s="27">
        <f t="shared" si="4"/>
        <v>0</v>
      </c>
      <c r="O16" s="27">
        <v>2.5</v>
      </c>
      <c r="P16" s="27">
        <f t="shared" si="5"/>
        <v>0</v>
      </c>
      <c r="Q16" s="27"/>
      <c r="R16" s="67">
        <f t="shared" si="7"/>
        <v>0</v>
      </c>
    </row>
    <row r="17" spans="1:18" x14ac:dyDescent="0.45">
      <c r="A17" s="68" t="s">
        <v>66</v>
      </c>
      <c r="B17" s="30"/>
      <c r="C17" s="27">
        <v>0.2</v>
      </c>
      <c r="D17" s="27">
        <f t="shared" si="0"/>
        <v>0</v>
      </c>
      <c r="E17" s="27">
        <v>0.2</v>
      </c>
      <c r="F17" s="30">
        <f t="shared" si="6"/>
        <v>0</v>
      </c>
      <c r="G17" s="27">
        <v>2.2999999999999998</v>
      </c>
      <c r="H17" s="31">
        <f t="shared" si="1"/>
        <v>0</v>
      </c>
      <c r="I17" s="27">
        <v>3</v>
      </c>
      <c r="J17" s="31">
        <f t="shared" si="2"/>
        <v>0</v>
      </c>
      <c r="K17" s="27">
        <v>4</v>
      </c>
      <c r="L17" s="31">
        <f t="shared" si="3"/>
        <v>0</v>
      </c>
      <c r="M17" s="27">
        <v>48</v>
      </c>
      <c r="N17" s="27">
        <f t="shared" si="4"/>
        <v>0</v>
      </c>
      <c r="O17" s="27">
        <v>2.5</v>
      </c>
      <c r="P17" s="27">
        <f t="shared" si="5"/>
        <v>0</v>
      </c>
      <c r="Q17" s="27"/>
      <c r="R17" s="67">
        <f t="shared" si="7"/>
        <v>0</v>
      </c>
    </row>
    <row r="18" spans="1:18" x14ac:dyDescent="0.45">
      <c r="A18" s="68" t="s">
        <v>67</v>
      </c>
      <c r="B18" s="30"/>
      <c r="C18" s="27">
        <v>0.9</v>
      </c>
      <c r="D18" s="31">
        <f t="shared" si="0"/>
        <v>0</v>
      </c>
      <c r="E18" s="27">
        <v>0.16</v>
      </c>
      <c r="F18" s="30">
        <f>+(D18*E18)*1000</f>
        <v>0</v>
      </c>
      <c r="G18" s="27">
        <v>2.7</v>
      </c>
      <c r="H18" s="31">
        <f>(D18*G18)</f>
        <v>0</v>
      </c>
      <c r="I18" s="27">
        <v>7</v>
      </c>
      <c r="J18" s="31">
        <f>(D18*I18)</f>
        <v>0</v>
      </c>
      <c r="K18" s="27">
        <v>6</v>
      </c>
      <c r="L18" s="31">
        <f>(D18*K18)</f>
        <v>0</v>
      </c>
      <c r="M18" s="27">
        <v>30</v>
      </c>
      <c r="N18" s="27">
        <f>(M18*D18)/100</f>
        <v>0</v>
      </c>
      <c r="O18" s="27">
        <v>2.5</v>
      </c>
      <c r="P18" s="27">
        <f>(O18*D18)/100</f>
        <v>0</v>
      </c>
      <c r="Q18" s="27">
        <v>500</v>
      </c>
      <c r="R18" s="67">
        <f>(Q18*B18)</f>
        <v>0</v>
      </c>
    </row>
    <row r="19" spans="1:18" x14ac:dyDescent="0.45">
      <c r="A19" s="68" t="s">
        <v>68</v>
      </c>
      <c r="B19" s="30"/>
      <c r="C19" s="27">
        <v>0.95</v>
      </c>
      <c r="D19" s="31">
        <f t="shared" si="0"/>
        <v>0</v>
      </c>
      <c r="E19" s="27">
        <v>0.16</v>
      </c>
      <c r="F19" s="30">
        <f>+(D19*E19)*1000</f>
        <v>0</v>
      </c>
      <c r="G19" s="27">
        <v>2.7</v>
      </c>
      <c r="H19" s="31">
        <f>(D19*G19)</f>
        <v>0</v>
      </c>
      <c r="I19" s="27">
        <v>2.7</v>
      </c>
      <c r="J19" s="31">
        <f>(D19*I19)</f>
        <v>0</v>
      </c>
      <c r="K19" s="27">
        <v>2.67</v>
      </c>
      <c r="L19" s="31">
        <f>(D19*K19)</f>
        <v>0</v>
      </c>
      <c r="M19" s="27">
        <v>48</v>
      </c>
      <c r="N19" s="27">
        <f>(M19*D19)/100</f>
        <v>0</v>
      </c>
      <c r="O19" s="27">
        <v>1</v>
      </c>
      <c r="P19" s="27">
        <f>(O19*D19)/100</f>
        <v>0</v>
      </c>
      <c r="Q19" s="27">
        <v>220</v>
      </c>
      <c r="R19" s="67">
        <f>(Q19*B19)</f>
        <v>0</v>
      </c>
    </row>
    <row r="20" spans="1:18" x14ac:dyDescent="0.45">
      <c r="A20" s="68" t="s">
        <v>42</v>
      </c>
      <c r="B20" s="30"/>
      <c r="C20" s="27">
        <v>0.88</v>
      </c>
      <c r="D20" s="31">
        <v>0</v>
      </c>
      <c r="E20" s="27">
        <v>0.45200000000000001</v>
      </c>
      <c r="F20" s="30">
        <v>0</v>
      </c>
      <c r="G20" s="27">
        <v>2.88</v>
      </c>
      <c r="H20" s="31">
        <v>0</v>
      </c>
      <c r="I20" s="27">
        <v>3.2</v>
      </c>
      <c r="J20" s="31">
        <v>0</v>
      </c>
      <c r="K20" s="27">
        <v>6.7</v>
      </c>
      <c r="L20" s="31">
        <v>0</v>
      </c>
      <c r="M20" s="27">
        <v>12.6</v>
      </c>
      <c r="N20" s="27">
        <v>0</v>
      </c>
      <c r="O20" s="27"/>
      <c r="P20" s="27">
        <v>0</v>
      </c>
      <c r="Q20" s="27">
        <v>880</v>
      </c>
      <c r="R20" s="67">
        <v>0</v>
      </c>
    </row>
    <row r="21" spans="1:18" x14ac:dyDescent="0.45">
      <c r="A21" s="68" t="s">
        <v>69</v>
      </c>
      <c r="B21" s="30"/>
      <c r="C21" s="27">
        <v>0.3</v>
      </c>
      <c r="D21" s="31">
        <f t="shared" ref="D21:D26" si="8">(B21*C21)</f>
        <v>0</v>
      </c>
      <c r="E21" s="27">
        <v>0.19</v>
      </c>
      <c r="F21" s="30">
        <f>+(D21*E21)*1000</f>
        <v>0</v>
      </c>
      <c r="G21" s="27">
        <v>2.7</v>
      </c>
      <c r="H21" s="31">
        <f t="shared" ref="H21:H26" si="9">(D21*G21)</f>
        <v>0</v>
      </c>
      <c r="I21" s="27">
        <v>3</v>
      </c>
      <c r="J21" s="31">
        <f>(D21*I21)</f>
        <v>0</v>
      </c>
      <c r="K21" s="27">
        <v>6</v>
      </c>
      <c r="L21" s="31">
        <f t="shared" ref="L21:L26" si="10">(D21*K21)</f>
        <v>0</v>
      </c>
      <c r="M21" s="27">
        <v>53</v>
      </c>
      <c r="N21" s="27">
        <f>(M21*D21)/100</f>
        <v>0</v>
      </c>
      <c r="O21" s="27">
        <v>6.25</v>
      </c>
      <c r="P21" s="27">
        <f>(O21*D21)/100</f>
        <v>0</v>
      </c>
      <c r="Q21" s="27">
        <v>10</v>
      </c>
      <c r="R21" s="67">
        <f t="shared" ref="R21:R26" si="11">(Q21*B21)</f>
        <v>0</v>
      </c>
    </row>
    <row r="22" spans="1:18" x14ac:dyDescent="0.45">
      <c r="A22" s="68" t="s">
        <v>70</v>
      </c>
      <c r="B22" s="30"/>
      <c r="C22" s="27">
        <v>0.95</v>
      </c>
      <c r="D22" s="31">
        <f t="shared" si="8"/>
        <v>0</v>
      </c>
      <c r="E22" s="27">
        <v>0.19</v>
      </c>
      <c r="F22" s="30">
        <f>+(D22*E22)*1000</f>
        <v>0</v>
      </c>
      <c r="G22" s="27">
        <v>2.72</v>
      </c>
      <c r="H22" s="31">
        <f t="shared" si="9"/>
        <v>0</v>
      </c>
      <c r="I22" s="27">
        <v>3</v>
      </c>
      <c r="J22" s="31">
        <f>(D22*I22)</f>
        <v>0</v>
      </c>
      <c r="K22" s="27">
        <v>6</v>
      </c>
      <c r="L22" s="31">
        <f t="shared" si="10"/>
        <v>0</v>
      </c>
      <c r="M22" s="27">
        <v>53</v>
      </c>
      <c r="N22" s="27">
        <f>(M22*D22)/100</f>
        <v>0</v>
      </c>
      <c r="O22" s="27">
        <v>6.25</v>
      </c>
      <c r="P22" s="27">
        <f>(O22*D22)/100</f>
        <v>0</v>
      </c>
      <c r="Q22" s="27">
        <v>120</v>
      </c>
      <c r="R22" s="67">
        <f t="shared" si="11"/>
        <v>0</v>
      </c>
    </row>
    <row r="23" spans="1:18" x14ac:dyDescent="0.45">
      <c r="A23" s="68" t="s">
        <v>71</v>
      </c>
      <c r="B23" s="30"/>
      <c r="C23" s="27">
        <v>0.28000000000000003</v>
      </c>
      <c r="D23" s="31">
        <f t="shared" si="8"/>
        <v>0</v>
      </c>
      <c r="E23" s="27">
        <v>0.11</v>
      </c>
      <c r="F23" s="30">
        <f>+(D23*E23)*1000</f>
        <v>0</v>
      </c>
      <c r="G23" s="27">
        <v>2</v>
      </c>
      <c r="H23" s="31">
        <f t="shared" si="9"/>
        <v>0</v>
      </c>
      <c r="I23" s="27">
        <v>4.5</v>
      </c>
      <c r="J23" s="31">
        <f>(D23*I23)</f>
        <v>0</v>
      </c>
      <c r="K23" s="27">
        <v>2</v>
      </c>
      <c r="L23" s="31">
        <f t="shared" si="10"/>
        <v>0</v>
      </c>
      <c r="M23" s="27">
        <v>63</v>
      </c>
      <c r="N23" s="27">
        <f>(M23*D23)/100</f>
        <v>0</v>
      </c>
      <c r="O23" s="27">
        <v>1.4</v>
      </c>
      <c r="P23" s="27">
        <f>(O23*D23)/100</f>
        <v>0</v>
      </c>
      <c r="Q23" s="27">
        <v>10</v>
      </c>
      <c r="R23" s="67">
        <f t="shared" si="11"/>
        <v>0</v>
      </c>
    </row>
    <row r="24" spans="1:18" x14ac:dyDescent="0.45">
      <c r="A24" s="68" t="s">
        <v>44</v>
      </c>
      <c r="B24" s="30"/>
      <c r="C24" s="27">
        <v>0.95</v>
      </c>
      <c r="D24" s="31">
        <f t="shared" si="8"/>
        <v>0</v>
      </c>
      <c r="E24" s="27">
        <v>0.11</v>
      </c>
      <c r="F24" s="30">
        <f>+(D24*E24)*1000</f>
        <v>0</v>
      </c>
      <c r="G24" s="27">
        <v>2</v>
      </c>
      <c r="H24" s="31">
        <f t="shared" si="9"/>
        <v>0</v>
      </c>
      <c r="I24" s="27">
        <v>4.5</v>
      </c>
      <c r="J24" s="31">
        <f>(D24*I24)</f>
        <v>0</v>
      </c>
      <c r="K24" s="27">
        <v>2</v>
      </c>
      <c r="L24" s="31">
        <f t="shared" si="10"/>
        <v>0</v>
      </c>
      <c r="M24" s="27">
        <v>63</v>
      </c>
      <c r="N24" s="27">
        <f>(M24*D24)/100</f>
        <v>0</v>
      </c>
      <c r="O24" s="27">
        <v>1.4</v>
      </c>
      <c r="P24" s="27">
        <f>(O24*D24)/100</f>
        <v>0</v>
      </c>
      <c r="Q24" s="27">
        <v>120</v>
      </c>
      <c r="R24" s="67">
        <f t="shared" si="11"/>
        <v>0</v>
      </c>
    </row>
    <row r="25" spans="1:18" x14ac:dyDescent="0.45">
      <c r="A25" s="68" t="s">
        <v>45</v>
      </c>
      <c r="B25" s="30"/>
      <c r="C25" s="27">
        <v>1</v>
      </c>
      <c r="D25" s="31">
        <f t="shared" si="8"/>
        <v>0</v>
      </c>
      <c r="E25" s="27"/>
      <c r="F25" s="30"/>
      <c r="G25" s="27"/>
      <c r="H25" s="31">
        <f t="shared" si="9"/>
        <v>0</v>
      </c>
      <c r="I25" s="27">
        <v>380</v>
      </c>
      <c r="J25" s="31">
        <f t="shared" si="2"/>
        <v>0</v>
      </c>
      <c r="K25" s="27"/>
      <c r="L25" s="31">
        <f t="shared" si="10"/>
        <v>0</v>
      </c>
      <c r="M25" s="27"/>
      <c r="N25" s="27">
        <f t="shared" si="4"/>
        <v>0</v>
      </c>
      <c r="O25" s="27"/>
      <c r="P25" s="27">
        <f t="shared" si="5"/>
        <v>0</v>
      </c>
      <c r="Q25" s="27"/>
      <c r="R25" s="67">
        <f t="shared" si="11"/>
        <v>0</v>
      </c>
    </row>
    <row r="26" spans="1:18" x14ac:dyDescent="0.45">
      <c r="A26" s="68" t="s">
        <v>46</v>
      </c>
      <c r="B26" s="30"/>
      <c r="C26" s="27">
        <v>1</v>
      </c>
      <c r="D26" s="31">
        <f t="shared" si="8"/>
        <v>0</v>
      </c>
      <c r="E26" s="27"/>
      <c r="F26" s="30"/>
      <c r="G26" s="27"/>
      <c r="H26" s="31">
        <f t="shared" si="9"/>
        <v>0</v>
      </c>
      <c r="I26" s="27">
        <v>220</v>
      </c>
      <c r="J26" s="31">
        <f t="shared" si="2"/>
        <v>0</v>
      </c>
      <c r="K26" s="27">
        <v>180</v>
      </c>
      <c r="L26" s="31">
        <f t="shared" si="10"/>
        <v>0</v>
      </c>
      <c r="M26" s="27"/>
      <c r="N26" s="27">
        <f t="shared" si="4"/>
        <v>0</v>
      </c>
      <c r="O26" s="27"/>
      <c r="P26" s="27">
        <f t="shared" si="5"/>
        <v>0</v>
      </c>
      <c r="Q26" s="27"/>
      <c r="R26" s="67">
        <f t="shared" si="11"/>
        <v>0</v>
      </c>
    </row>
    <row r="27" spans="1:18" x14ac:dyDescent="0.45">
      <c r="A27" s="69" t="s">
        <v>47</v>
      </c>
      <c r="B27" s="33">
        <f>SUM(B10:B26)</f>
        <v>0</v>
      </c>
      <c r="C27" s="34"/>
      <c r="D27" s="33">
        <f>SUM(D10:D26)</f>
        <v>0</v>
      </c>
      <c r="E27" s="26"/>
      <c r="F27" s="35">
        <f>SUM(F10:F26)</f>
        <v>0</v>
      </c>
      <c r="G27" s="27"/>
      <c r="H27" s="36">
        <f>SUM(H10:H26)</f>
        <v>0</v>
      </c>
      <c r="I27" s="27"/>
      <c r="J27" s="37">
        <f>SUM(J10:J26)</f>
        <v>0</v>
      </c>
      <c r="K27" s="27"/>
      <c r="L27" s="38">
        <f>SUM(L10:L26)</f>
        <v>0</v>
      </c>
      <c r="M27" s="27"/>
      <c r="N27" s="39">
        <f>SUM(N10:N26)</f>
        <v>0</v>
      </c>
      <c r="O27" s="27"/>
      <c r="P27" s="40" t="e">
        <f>+(SUM(P10:P26)/D27)*100</f>
        <v>#DIV/0!</v>
      </c>
      <c r="Q27" s="25"/>
      <c r="R27" s="70">
        <f>+SUM(R10:R26)</f>
        <v>0</v>
      </c>
    </row>
    <row r="28" spans="1:18" x14ac:dyDescent="0.45">
      <c r="A28" s="71" t="s">
        <v>48</v>
      </c>
      <c r="B28" s="34"/>
      <c r="C28" s="29"/>
      <c r="D28" s="41">
        <f>(D27/A6)*100</f>
        <v>0</v>
      </c>
      <c r="E28" s="26" t="s">
        <v>49</v>
      </c>
      <c r="F28" s="42">
        <f>+F27-D6</f>
        <v>-68.299993671122394</v>
      </c>
      <c r="G28" s="43"/>
      <c r="H28" s="44">
        <f>+H27-E6</f>
        <v>-1.882088931719041</v>
      </c>
      <c r="I28" s="29"/>
      <c r="J28" s="45">
        <f>+J27-F6</f>
        <v>-1.4860507457951366</v>
      </c>
      <c r="K28" s="46"/>
      <c r="L28" s="47">
        <f>+L27-G6</f>
        <v>-1.0664966701658636</v>
      </c>
      <c r="M28" s="28"/>
      <c r="N28" s="39">
        <f>+N27-H6</f>
        <v>0</v>
      </c>
      <c r="O28" s="25"/>
      <c r="P28" s="25"/>
      <c r="Q28" s="25"/>
      <c r="R28" s="72"/>
    </row>
    <row r="29" spans="1:18" x14ac:dyDescent="0.45">
      <c r="A29" s="73" t="s">
        <v>50</v>
      </c>
      <c r="B29" s="26"/>
      <c r="C29" s="48"/>
      <c r="D29" s="49">
        <v>4</v>
      </c>
      <c r="E29" s="46"/>
      <c r="F29" s="28"/>
      <c r="G29" s="26"/>
      <c r="H29" s="50"/>
      <c r="I29" s="29"/>
      <c r="J29" s="28"/>
      <c r="K29" s="51" t="e">
        <f>+J27/L27</f>
        <v>#DIV/0!</v>
      </c>
      <c r="L29" s="28"/>
      <c r="M29" s="28"/>
      <c r="N29" s="33"/>
      <c r="O29" s="25"/>
      <c r="P29" s="25"/>
      <c r="Q29" s="25"/>
      <c r="R29" s="72"/>
    </row>
    <row r="30" spans="1:18" ht="14.65" thickBot="1" x14ac:dyDescent="0.5">
      <c r="A30" s="74"/>
      <c r="B30" s="75"/>
      <c r="C30" s="76"/>
      <c r="D30" s="77"/>
      <c r="E30" s="77"/>
      <c r="F30" s="78"/>
      <c r="G30" s="79"/>
      <c r="H30" s="80"/>
      <c r="I30" s="80"/>
      <c r="J30" s="79"/>
      <c r="K30" s="81" t="s">
        <v>51</v>
      </c>
      <c r="L30" s="79"/>
      <c r="M30" s="79"/>
      <c r="N30" s="79"/>
      <c r="O30" s="79"/>
      <c r="P30" s="79"/>
      <c r="Q30" s="79"/>
      <c r="R30" s="82"/>
    </row>
    <row r="31" spans="1:18" x14ac:dyDescent="0.45">
      <c r="A31" s="8"/>
      <c r="B31" s="11"/>
      <c r="C31" s="16"/>
      <c r="D31" s="10"/>
      <c r="E31" s="10"/>
      <c r="F31" s="9"/>
      <c r="H31" s="3"/>
      <c r="I31" s="3"/>
    </row>
    <row r="32" spans="1:18" x14ac:dyDescent="0.45">
      <c r="A32" s="139" t="s">
        <v>52</v>
      </c>
      <c r="B32" s="109"/>
      <c r="C32" s="16"/>
      <c r="D32" s="10"/>
      <c r="E32" s="10"/>
      <c r="F32" s="9"/>
      <c r="H32" s="3"/>
      <c r="I32" s="3"/>
      <c r="N32" s="3"/>
    </row>
    <row r="33" spans="1:14" x14ac:dyDescent="0.45">
      <c r="A33" s="139" t="s">
        <v>53</v>
      </c>
      <c r="B33" s="110"/>
      <c r="C33" s="3"/>
      <c r="D33" s="11"/>
      <c r="H33" s="14"/>
      <c r="I33" s="3"/>
      <c r="J33" s="4"/>
      <c r="K33" s="4"/>
      <c r="L33" s="4"/>
      <c r="M33" s="4"/>
      <c r="N33" s="4"/>
    </row>
    <row r="34" spans="1:14" x14ac:dyDescent="0.45">
      <c r="A34" s="139" t="s">
        <v>54</v>
      </c>
      <c r="B34" s="3"/>
      <c r="C34" s="3"/>
      <c r="H34" s="3"/>
      <c r="I34" s="3"/>
    </row>
    <row r="35" spans="1:14" x14ac:dyDescent="0.45">
      <c r="A35" s="3"/>
      <c r="B35" s="3"/>
      <c r="C35" s="3"/>
      <c r="H35" s="3"/>
      <c r="I35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7D73-F089-4D30-8123-009B2A13589F}">
  <dimension ref="A1:Y97"/>
  <sheetViews>
    <sheetView tabSelected="1" zoomScaleNormal="100" workbookViewId="0">
      <selection activeCell="M7" sqref="M7"/>
    </sheetView>
  </sheetViews>
  <sheetFormatPr defaultRowHeight="14.25" x14ac:dyDescent="0.45"/>
  <cols>
    <col min="1" max="1" width="21.86328125" customWidth="1"/>
    <col min="2" max="2" width="7.3984375" style="3" bestFit="1" customWidth="1"/>
    <col min="3" max="3" width="9.59765625" style="3" bestFit="1" customWidth="1"/>
    <col min="4" max="4" width="13.1328125" customWidth="1"/>
    <col min="5" max="6" width="14.265625" bestFit="1" customWidth="1"/>
    <col min="7" max="7" width="14.59765625" bestFit="1" customWidth="1"/>
    <col min="8" max="8" width="12.265625" bestFit="1" customWidth="1"/>
    <col min="9" max="9" width="16.265625" bestFit="1" customWidth="1"/>
    <col min="10" max="10" width="11.3984375" bestFit="1" customWidth="1"/>
    <col min="11" max="11" width="14.59765625" bestFit="1" customWidth="1"/>
    <col min="12" max="12" width="16.265625" bestFit="1" customWidth="1"/>
    <col min="13" max="13" width="11.265625" bestFit="1" customWidth="1"/>
    <col min="14" max="14" width="10.3984375" bestFit="1" customWidth="1"/>
    <col min="15" max="15" width="6.3984375" bestFit="1" customWidth="1"/>
    <col min="16" max="16" width="10.3984375" bestFit="1" customWidth="1"/>
    <col min="17" max="17" width="8.3984375" bestFit="1" customWidth="1"/>
    <col min="18" max="18" width="10.86328125" bestFit="1" customWidth="1"/>
    <col min="19" max="19" width="12.59765625" bestFit="1" customWidth="1"/>
    <col min="20" max="20" width="7.59765625" bestFit="1" customWidth="1"/>
    <col min="21" max="21" width="6.3984375" bestFit="1" customWidth="1"/>
    <col min="22" max="23" width="11.3984375" customWidth="1"/>
    <col min="24" max="24" width="9.59765625" bestFit="1" customWidth="1"/>
    <col min="25" max="256" width="11.3984375" customWidth="1"/>
  </cols>
  <sheetData>
    <row r="1" spans="1:20" x14ac:dyDescent="0.45">
      <c r="A1" s="124"/>
      <c r="B1" s="125"/>
      <c r="C1" s="125"/>
      <c r="D1" s="125"/>
      <c r="E1" s="126"/>
      <c r="F1" s="126"/>
      <c r="G1" s="126"/>
      <c r="H1" s="125"/>
      <c r="I1" s="125"/>
      <c r="J1" s="126"/>
      <c r="K1" s="126"/>
      <c r="L1" s="126"/>
      <c r="M1" s="126"/>
      <c r="N1" s="126"/>
      <c r="O1" s="126"/>
      <c r="P1" s="126"/>
      <c r="Q1" s="126"/>
      <c r="R1" s="126"/>
      <c r="S1" s="127"/>
    </row>
    <row r="2" spans="1:20" ht="15.4" x14ac:dyDescent="0.45">
      <c r="A2" s="128"/>
      <c r="B2" s="129"/>
      <c r="C2" s="129"/>
      <c r="D2" s="130" t="s">
        <v>0</v>
      </c>
      <c r="E2" s="131"/>
      <c r="F2" s="132"/>
      <c r="G2" s="132"/>
      <c r="H2" s="129"/>
      <c r="I2" s="129"/>
      <c r="J2" s="132"/>
      <c r="K2" s="132"/>
      <c r="L2" s="132"/>
      <c r="M2" s="132"/>
      <c r="N2" s="132"/>
      <c r="O2" s="132"/>
      <c r="P2" s="132"/>
      <c r="Q2" s="132"/>
      <c r="R2" s="132"/>
      <c r="S2" s="133"/>
    </row>
    <row r="3" spans="1:20" x14ac:dyDescent="0.45">
      <c r="A3" s="128"/>
      <c r="B3" s="129"/>
      <c r="C3" s="129"/>
      <c r="D3" s="129"/>
      <c r="E3" s="132"/>
      <c r="F3" s="132"/>
      <c r="G3" s="132"/>
      <c r="H3" s="129"/>
      <c r="I3" s="129"/>
      <c r="J3" s="132"/>
      <c r="K3" s="132"/>
      <c r="L3" s="132"/>
      <c r="M3" s="132"/>
      <c r="N3" s="132"/>
      <c r="O3" s="132"/>
      <c r="P3" s="132"/>
      <c r="Q3" s="132"/>
      <c r="R3" s="132"/>
      <c r="S3" s="133"/>
    </row>
    <row r="4" spans="1:20" ht="14.65" thickBot="1" x14ac:dyDescent="0.5">
      <c r="A4" s="134"/>
      <c r="B4" s="135"/>
      <c r="C4" s="135"/>
      <c r="D4" s="135"/>
      <c r="E4" s="136"/>
      <c r="F4" s="136"/>
      <c r="G4" s="136"/>
      <c r="H4" s="135"/>
      <c r="I4" s="135"/>
      <c r="J4" s="136"/>
      <c r="K4" s="136"/>
      <c r="L4" s="136"/>
      <c r="M4" s="136"/>
      <c r="N4" s="136"/>
      <c r="O4" s="136"/>
      <c r="P4" s="136"/>
      <c r="Q4" s="136"/>
      <c r="R4" s="136"/>
      <c r="S4" s="137"/>
    </row>
    <row r="5" spans="1:20" x14ac:dyDescent="0.45">
      <c r="A5" s="157"/>
      <c r="B5" s="158"/>
      <c r="C5" s="158"/>
      <c r="D5" s="123"/>
      <c r="E5" s="159"/>
      <c r="F5" s="160"/>
      <c r="G5" s="169" t="s">
        <v>72</v>
      </c>
      <c r="H5" s="159"/>
      <c r="I5" s="123"/>
      <c r="J5" s="123"/>
      <c r="K5" s="123"/>
      <c r="L5" s="161" t="s">
        <v>73</v>
      </c>
      <c r="M5" s="159"/>
      <c r="N5" s="159"/>
      <c r="O5" s="159"/>
      <c r="P5" s="159"/>
      <c r="Q5" s="162"/>
      <c r="R5" s="159"/>
      <c r="S5" s="163"/>
    </row>
    <row r="6" spans="1:20" x14ac:dyDescent="0.45">
      <c r="A6" s="66" t="s">
        <v>74</v>
      </c>
      <c r="B6" s="27" t="s">
        <v>75</v>
      </c>
      <c r="C6" s="27" t="s">
        <v>76</v>
      </c>
      <c r="D6" s="27" t="s">
        <v>77</v>
      </c>
      <c r="E6" s="25" t="s">
        <v>78</v>
      </c>
      <c r="F6" s="27" t="s">
        <v>79</v>
      </c>
      <c r="G6" s="27" t="s">
        <v>80</v>
      </c>
      <c r="H6" s="27" t="s">
        <v>81</v>
      </c>
      <c r="I6" s="25" t="s">
        <v>82</v>
      </c>
      <c r="J6" s="27" t="s">
        <v>83</v>
      </c>
      <c r="K6" s="25" t="s">
        <v>84</v>
      </c>
      <c r="L6" s="151" t="s">
        <v>85</v>
      </c>
      <c r="M6" s="27" t="s">
        <v>86</v>
      </c>
      <c r="N6" s="27" t="s">
        <v>87</v>
      </c>
      <c r="O6" s="27" t="s">
        <v>88</v>
      </c>
      <c r="P6" s="27" t="s">
        <v>89</v>
      </c>
      <c r="Q6" s="27" t="s">
        <v>90</v>
      </c>
      <c r="R6" s="27" t="s">
        <v>91</v>
      </c>
      <c r="S6" s="164" t="s">
        <v>92</v>
      </c>
    </row>
    <row r="7" spans="1:20" s="3" customFormat="1" ht="14.65" thickBot="1" x14ac:dyDescent="0.5">
      <c r="A7" s="95">
        <v>38</v>
      </c>
      <c r="B7" s="147">
        <v>3.5</v>
      </c>
      <c r="C7" s="80">
        <v>2</v>
      </c>
      <c r="D7" s="147">
        <f>+ 15.667 +(1.1315*A7)</f>
        <v>58.664000000000001</v>
      </c>
      <c r="E7" s="147">
        <f>((D7*B10)/100) + D7</f>
        <v>59.250640000000004</v>
      </c>
      <c r="F7" s="147">
        <f>C7* (36.905 +(8.9048*B7))</f>
        <v>136.14359999999999</v>
      </c>
      <c r="G7" s="170">
        <f>(E7+F7)</f>
        <v>195.39424</v>
      </c>
      <c r="H7" s="147">
        <f>(((0.4+(0.0289*A7))))</f>
        <v>1.4981999999999998</v>
      </c>
      <c r="I7" s="147">
        <f>(((0.4+(0.0289*A7)))+((( (0.4+(0.0289*A7)))*B9)/100)+((( (0.4+(0.0289*A7)))*B10)/100))</f>
        <v>1.6630019999999999</v>
      </c>
      <c r="J7" s="147">
        <f>(1.1192 +(0.0317*B7))*C7</f>
        <v>2.4603000000000002</v>
      </c>
      <c r="K7" s="206">
        <f>+L7-M7+N7</f>
        <v>4.6533019999999992</v>
      </c>
      <c r="L7" s="150">
        <f>(I7+J7)</f>
        <v>4.1233019999999998</v>
      </c>
      <c r="M7" s="80">
        <f>9.98*B12</f>
        <v>9.98</v>
      </c>
      <c r="N7" s="80">
        <f>B13*10.51</f>
        <v>10.51</v>
      </c>
      <c r="O7" s="81">
        <f>((0.623*D41)+0.228)/0.45 +(1.4*C7)/0.45</f>
        <v>9.0115608888888872</v>
      </c>
      <c r="P7" s="179">
        <f>(0.081+(0.88*D41)/0.65)+(1*C7)/0.65</f>
        <v>5.3901446153846138</v>
      </c>
      <c r="Q7" s="148">
        <v>0.06</v>
      </c>
      <c r="R7" s="165">
        <v>40</v>
      </c>
      <c r="S7" s="167">
        <v>25</v>
      </c>
    </row>
    <row r="8" spans="1:20" ht="14.65" thickBot="1" x14ac:dyDescent="0.5">
      <c r="B8" s="20"/>
      <c r="C8" s="20"/>
      <c r="D8" s="20"/>
      <c r="E8" s="19"/>
      <c r="F8" s="19"/>
      <c r="G8" s="22"/>
      <c r="H8" s="21"/>
      <c r="I8" s="19"/>
      <c r="L8" s="19"/>
      <c r="M8" s="19"/>
      <c r="N8" s="19"/>
      <c r="O8" s="19"/>
      <c r="P8" s="19"/>
      <c r="Q8" s="19"/>
      <c r="R8" s="19"/>
      <c r="S8" s="18"/>
    </row>
    <row r="9" spans="1:20" ht="14.65" thickBot="1" x14ac:dyDescent="0.5">
      <c r="A9" s="156" t="s">
        <v>93</v>
      </c>
      <c r="B9" s="142">
        <v>10</v>
      </c>
      <c r="C9" s="20"/>
      <c r="D9" s="20"/>
      <c r="E9" s="19"/>
      <c r="F9" s="19"/>
      <c r="G9" s="22"/>
      <c r="H9" s="21"/>
      <c r="I9" s="19"/>
      <c r="J9" s="19"/>
      <c r="K9" s="19"/>
      <c r="M9" s="19"/>
      <c r="N9" s="19"/>
      <c r="O9" s="19"/>
      <c r="P9" s="19"/>
      <c r="Q9" s="19"/>
      <c r="R9" s="20"/>
      <c r="S9" s="18"/>
    </row>
    <row r="10" spans="1:20" ht="14.65" thickBot="1" x14ac:dyDescent="0.5">
      <c r="A10" s="155" t="s">
        <v>94</v>
      </c>
      <c r="B10" s="144">
        <v>1</v>
      </c>
      <c r="C10" s="20"/>
      <c r="D10" s="20"/>
      <c r="E10" s="19"/>
      <c r="F10" s="19"/>
      <c r="G10" s="22"/>
      <c r="H10" s="21"/>
      <c r="I10" s="19"/>
      <c r="J10" s="19"/>
      <c r="K10" s="19"/>
      <c r="M10" s="19"/>
      <c r="N10" s="19"/>
      <c r="O10" s="19"/>
      <c r="P10" s="19"/>
      <c r="Q10" s="19"/>
      <c r="R10" s="149"/>
      <c r="S10" s="18"/>
    </row>
    <row r="11" spans="1:20" ht="14.65" thickBot="1" x14ac:dyDescent="0.5">
      <c r="A11" s="152" t="s">
        <v>95</v>
      </c>
      <c r="B11" s="20"/>
      <c r="C11" s="20"/>
      <c r="D11" s="20"/>
      <c r="E11" s="207"/>
      <c r="F11" s="19"/>
      <c r="G11" s="22"/>
      <c r="H11" s="21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8"/>
    </row>
    <row r="12" spans="1:20" ht="14.65" thickBot="1" x14ac:dyDescent="0.5">
      <c r="A12" s="145" t="s">
        <v>96</v>
      </c>
      <c r="B12" s="142">
        <v>1</v>
      </c>
      <c r="C12" s="20"/>
      <c r="D12" s="20"/>
      <c r="E12" s="19"/>
      <c r="F12" s="19"/>
      <c r="G12" s="22"/>
      <c r="H12" s="21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8"/>
    </row>
    <row r="13" spans="1:20" ht="14.65" thickBot="1" x14ac:dyDescent="0.5">
      <c r="A13" s="143" t="s">
        <v>97</v>
      </c>
      <c r="B13" s="144">
        <v>1</v>
      </c>
      <c r="C13" s="20"/>
      <c r="D13" s="20"/>
      <c r="E13" s="19"/>
      <c r="F13" s="19"/>
      <c r="G13" s="22"/>
      <c r="H13" s="2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8"/>
    </row>
    <row r="14" spans="1:20" ht="14.65" thickBot="1" x14ac:dyDescent="0.5">
      <c r="A14" s="154" t="s">
        <v>98</v>
      </c>
      <c r="B14" s="20"/>
      <c r="C14" s="20"/>
      <c r="D14" s="20"/>
      <c r="E14" s="19"/>
      <c r="F14" s="19"/>
      <c r="G14" s="22"/>
      <c r="H14" s="21"/>
      <c r="J14" s="19"/>
      <c r="K14" s="19"/>
      <c r="L14" s="19"/>
      <c r="M14" s="19"/>
      <c r="N14" s="19"/>
      <c r="O14" s="19"/>
      <c r="P14" s="19"/>
      <c r="Q14" s="19"/>
      <c r="R14" s="19"/>
      <c r="S14" s="18"/>
    </row>
    <row r="15" spans="1:20" ht="14.65" thickBot="1" x14ac:dyDescent="0.5">
      <c r="A15" s="122" t="s">
        <v>99</v>
      </c>
      <c r="B15" s="141">
        <v>1</v>
      </c>
      <c r="D15" s="20"/>
      <c r="E15" s="19"/>
      <c r="F15" s="19"/>
      <c r="G15" s="22"/>
      <c r="H15" s="21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8"/>
    </row>
    <row r="16" spans="1:20" ht="14.65" thickBot="1" x14ac:dyDescent="0.5">
      <c r="A16" s="122" t="s">
        <v>100</v>
      </c>
      <c r="B16" s="141">
        <v>1</v>
      </c>
      <c r="C16" s="20"/>
      <c r="D16" s="20"/>
      <c r="E16" s="19"/>
      <c r="F16" s="19"/>
      <c r="G16" s="19"/>
      <c r="H16" s="22"/>
      <c r="I16" s="21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</row>
    <row r="17" spans="1:24" ht="14.65" thickBot="1" x14ac:dyDescent="0.5">
      <c r="A17" s="122" t="s">
        <v>101</v>
      </c>
      <c r="B17" s="209">
        <v>1</v>
      </c>
      <c r="C17" s="20"/>
      <c r="D17" s="20"/>
      <c r="E17" s="19"/>
      <c r="F17" s="19"/>
      <c r="G17" s="19"/>
      <c r="H17" s="22"/>
      <c r="I17" s="21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</row>
    <row r="18" spans="1:24" ht="14.65" thickBot="1" x14ac:dyDescent="0.5">
      <c r="A18" s="211" t="s">
        <v>102</v>
      </c>
      <c r="B18" s="212">
        <f>+(((-155.62-(8.6668*B15)+(2.6495*B17)+(0.0041667*B16)-(0.011049*(B17*B17))+(0.097691*B15*B17)-(12.136*B15*B16)+(0.14631*B15*B17*B16))/0.65)) + D7</f>
        <v>-208.31474046153846</v>
      </c>
      <c r="C18" s="21"/>
      <c r="F18" s="19"/>
      <c r="G18" s="19"/>
      <c r="H18" s="22"/>
      <c r="I18" s="21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</row>
    <row r="19" spans="1:24" ht="14.65" thickBot="1" x14ac:dyDescent="0.5">
      <c r="A19" s="208" t="s">
        <v>103</v>
      </c>
      <c r="B19" s="210">
        <f>+ ((-15.467 - (1.1439*B15) + (0.26316*B17) - (0.0021667*B16) - (0.0010963*(B17*B17)) + (0.011772*B15*B17) - (0.98352*B15*B16) + (0.011735*B15*B17*B16))*0.239)+I7</f>
        <v>-2.4743308239999999</v>
      </c>
      <c r="C19" s="21"/>
      <c r="F19" s="19"/>
      <c r="G19" s="19"/>
      <c r="H19" s="22"/>
      <c r="I19" s="21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8"/>
    </row>
    <row r="20" spans="1:24" ht="14.65" thickBot="1" x14ac:dyDescent="0.5">
      <c r="A20" s="20"/>
      <c r="B20" s="20"/>
      <c r="C20" s="20"/>
      <c r="D20" s="20"/>
      <c r="E20" s="19"/>
      <c r="F20" s="19"/>
      <c r="G20" s="19"/>
      <c r="H20" s="22"/>
      <c r="I20" s="21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8"/>
    </row>
    <row r="21" spans="1:24" x14ac:dyDescent="0.45">
      <c r="A21" s="53"/>
      <c r="B21" s="54" t="s">
        <v>11</v>
      </c>
      <c r="C21" s="55"/>
      <c r="D21" s="55"/>
      <c r="E21" s="56"/>
      <c r="F21" s="101" t="s">
        <v>12</v>
      </c>
      <c r="G21" s="56"/>
      <c r="H21" s="101" t="s">
        <v>13</v>
      </c>
      <c r="I21" s="56"/>
      <c r="J21" s="54" t="s">
        <v>14</v>
      </c>
      <c r="K21" s="61"/>
      <c r="L21" s="54" t="s">
        <v>15</v>
      </c>
      <c r="M21" s="61"/>
      <c r="N21" s="54" t="s">
        <v>60</v>
      </c>
      <c r="O21" s="61"/>
      <c r="P21" s="54" t="s">
        <v>16</v>
      </c>
      <c r="Q21" s="61"/>
      <c r="R21" s="120" t="s">
        <v>104</v>
      </c>
      <c r="S21" s="19"/>
      <c r="T21" s="19"/>
      <c r="U21" s="18"/>
    </row>
    <row r="22" spans="1:24" s="3" customFormat="1" x14ac:dyDescent="0.45">
      <c r="A22" s="153" t="s">
        <v>105</v>
      </c>
      <c r="B22" s="27" t="s">
        <v>18</v>
      </c>
      <c r="C22" s="27" t="s">
        <v>19</v>
      </c>
      <c r="D22" s="27" t="s">
        <v>20</v>
      </c>
      <c r="E22" s="27" t="s">
        <v>21</v>
      </c>
      <c r="F22" s="27" t="s">
        <v>22</v>
      </c>
      <c r="G22" s="27" t="s">
        <v>23</v>
      </c>
      <c r="H22" s="27" t="s">
        <v>24</v>
      </c>
      <c r="I22" s="27" t="s">
        <v>25</v>
      </c>
      <c r="J22" s="27" t="s">
        <v>26</v>
      </c>
      <c r="K22" s="27" t="s">
        <v>27</v>
      </c>
      <c r="L22" s="27" t="s">
        <v>28</v>
      </c>
      <c r="M22" s="27" t="s">
        <v>61</v>
      </c>
      <c r="N22" s="27" t="s">
        <v>62</v>
      </c>
      <c r="O22" s="27" t="s">
        <v>29</v>
      </c>
      <c r="P22" s="27" t="s">
        <v>30</v>
      </c>
      <c r="Q22" s="27" t="s">
        <v>31</v>
      </c>
      <c r="R22" s="67" t="s">
        <v>32</v>
      </c>
      <c r="S22" s="20"/>
      <c r="T22" s="17"/>
      <c r="U22" s="17"/>
    </row>
    <row r="23" spans="1:24" x14ac:dyDescent="0.45">
      <c r="A23" s="68" t="s">
        <v>35</v>
      </c>
      <c r="B23" s="30">
        <v>4.2503876794866696E-2</v>
      </c>
      <c r="C23" s="27">
        <v>0.87</v>
      </c>
      <c r="D23" s="30">
        <f>(B23*C23)</f>
        <v>3.6978372811534023E-2</v>
      </c>
      <c r="E23" s="27">
        <v>0.09</v>
      </c>
      <c r="F23" s="31">
        <f>+(D23*E23)*1000</f>
        <v>3.3280535530380622</v>
      </c>
      <c r="G23" s="27">
        <v>3.39</v>
      </c>
      <c r="H23" s="31">
        <f t="shared" ref="H23:H32" si="0">(D23*G23)</f>
        <v>0.12535668383110035</v>
      </c>
      <c r="I23" s="27">
        <v>0.2</v>
      </c>
      <c r="J23" s="31">
        <f t="shared" ref="J23:J40" si="1">(D23*I23)</f>
        <v>7.3956745623068049E-3</v>
      </c>
      <c r="K23" s="27">
        <v>2</v>
      </c>
      <c r="L23" s="31">
        <f t="shared" ref="L23:L32" si="2">(D23*K23)</f>
        <v>7.3956745623068046E-2</v>
      </c>
      <c r="M23" s="27">
        <v>15.7</v>
      </c>
      <c r="N23" s="27">
        <f t="shared" ref="N23:N40" si="3">(M23*D23)/100</f>
        <v>5.8056045314108413E-3</v>
      </c>
      <c r="O23" s="27">
        <v>4.3</v>
      </c>
      <c r="P23" s="27">
        <f t="shared" ref="P23:P40" si="4">(O23*D23)/100</f>
        <v>1.5900700308959627E-3</v>
      </c>
      <c r="Q23" s="27">
        <v>375</v>
      </c>
      <c r="R23" s="67">
        <f>(Q23*D23)</f>
        <v>13.866889804325259</v>
      </c>
      <c r="S23" s="119"/>
      <c r="T23" s="18"/>
      <c r="U23" s="18"/>
    </row>
    <row r="24" spans="1:24" x14ac:dyDescent="0.45">
      <c r="A24" s="68" t="s">
        <v>36</v>
      </c>
      <c r="B24" s="30">
        <v>0</v>
      </c>
      <c r="C24" s="27">
        <v>0.87</v>
      </c>
      <c r="D24" s="27">
        <f>(B24*C24)</f>
        <v>0</v>
      </c>
      <c r="E24" s="27">
        <v>0.17</v>
      </c>
      <c r="F24" s="30">
        <f t="shared" ref="F24:F32" si="5">+(D24*E24)*1000</f>
        <v>0</v>
      </c>
      <c r="G24" s="27">
        <v>2.54</v>
      </c>
      <c r="H24" s="31">
        <f t="shared" si="0"/>
        <v>0</v>
      </c>
      <c r="I24" s="27">
        <v>2.5</v>
      </c>
      <c r="J24" s="31">
        <f t="shared" si="1"/>
        <v>0</v>
      </c>
      <c r="K24" s="27">
        <v>10</v>
      </c>
      <c r="L24" s="31">
        <f t="shared" si="2"/>
        <v>0</v>
      </c>
      <c r="M24" s="27">
        <v>48</v>
      </c>
      <c r="N24" s="27">
        <f t="shared" si="3"/>
        <v>0</v>
      </c>
      <c r="O24" s="27">
        <v>4.2</v>
      </c>
      <c r="P24" s="27">
        <f t="shared" si="4"/>
        <v>0</v>
      </c>
      <c r="Q24" s="27">
        <v>350</v>
      </c>
      <c r="R24" s="67">
        <f t="shared" ref="R24:R32" si="6">(Q24*B24)</f>
        <v>0</v>
      </c>
      <c r="S24" s="119"/>
      <c r="T24" s="18"/>
      <c r="U24" s="18"/>
    </row>
    <row r="25" spans="1:24" x14ac:dyDescent="0.45">
      <c r="A25" s="68" t="s">
        <v>106</v>
      </c>
      <c r="B25" s="30">
        <v>0</v>
      </c>
      <c r="C25" s="27">
        <v>0.9</v>
      </c>
      <c r="D25" s="27">
        <f t="shared" ref="D25:D32" si="7">(B25*C25)</f>
        <v>0</v>
      </c>
      <c r="E25" s="27">
        <v>6.8000000000000005E-2</v>
      </c>
      <c r="F25" s="31">
        <f t="shared" si="5"/>
        <v>0</v>
      </c>
      <c r="G25" s="27">
        <v>1.5</v>
      </c>
      <c r="H25" s="31">
        <f t="shared" si="0"/>
        <v>0</v>
      </c>
      <c r="I25" s="27">
        <v>3</v>
      </c>
      <c r="J25" s="31">
        <f t="shared" si="1"/>
        <v>0</v>
      </c>
      <c r="K25" s="27">
        <v>3</v>
      </c>
      <c r="L25" s="31">
        <f t="shared" si="2"/>
        <v>0</v>
      </c>
      <c r="M25" s="27">
        <v>70</v>
      </c>
      <c r="N25" s="27">
        <f t="shared" si="3"/>
        <v>0</v>
      </c>
      <c r="O25" s="27">
        <v>1.2</v>
      </c>
      <c r="P25" s="27">
        <f t="shared" si="4"/>
        <v>0</v>
      </c>
      <c r="Q25" s="27">
        <v>100</v>
      </c>
      <c r="R25" s="67">
        <f t="shared" si="6"/>
        <v>0</v>
      </c>
      <c r="S25" s="119"/>
      <c r="T25" s="18"/>
      <c r="U25" s="18"/>
    </row>
    <row r="26" spans="1:24" x14ac:dyDescent="0.45">
      <c r="A26" s="68" t="s">
        <v>37</v>
      </c>
      <c r="B26" s="30">
        <v>0</v>
      </c>
      <c r="C26" s="27">
        <v>0.85</v>
      </c>
      <c r="D26" s="31">
        <f t="shared" si="7"/>
        <v>0</v>
      </c>
      <c r="E26" s="27">
        <v>0.13800000000000001</v>
      </c>
      <c r="F26" s="30">
        <f t="shared" si="5"/>
        <v>0</v>
      </c>
      <c r="G26" s="27">
        <v>2</v>
      </c>
      <c r="H26" s="31">
        <f t="shared" si="0"/>
        <v>0</v>
      </c>
      <c r="I26" s="27">
        <v>13</v>
      </c>
      <c r="J26" s="31">
        <f t="shared" si="1"/>
        <v>0</v>
      </c>
      <c r="K26" s="27">
        <v>2.4</v>
      </c>
      <c r="L26" s="31">
        <f t="shared" si="2"/>
        <v>0</v>
      </c>
      <c r="M26" s="27">
        <v>47</v>
      </c>
      <c r="N26" s="27">
        <f t="shared" si="3"/>
        <v>0</v>
      </c>
      <c r="O26" s="32">
        <v>2</v>
      </c>
      <c r="P26" s="27">
        <f t="shared" si="4"/>
        <v>0</v>
      </c>
      <c r="Q26" s="27">
        <v>275</v>
      </c>
      <c r="R26" s="67">
        <f t="shared" si="6"/>
        <v>0</v>
      </c>
      <c r="S26" s="119"/>
      <c r="T26" s="18"/>
      <c r="U26" s="18"/>
      <c r="W26" s="7"/>
      <c r="X26" s="7"/>
    </row>
    <row r="27" spans="1:24" x14ac:dyDescent="0.45">
      <c r="A27" s="68" t="s">
        <v>38</v>
      </c>
      <c r="B27" s="30">
        <v>0</v>
      </c>
      <c r="C27" s="27">
        <v>0.3</v>
      </c>
      <c r="D27" s="27">
        <f t="shared" si="7"/>
        <v>0</v>
      </c>
      <c r="E27" s="27">
        <v>9.9000000000000005E-2</v>
      </c>
      <c r="F27" s="30">
        <f t="shared" si="5"/>
        <v>0</v>
      </c>
      <c r="G27" s="27">
        <v>2.1</v>
      </c>
      <c r="H27" s="31">
        <f t="shared" si="0"/>
        <v>0</v>
      </c>
      <c r="I27" s="27">
        <v>8</v>
      </c>
      <c r="J27" s="31">
        <f t="shared" si="1"/>
        <v>0</v>
      </c>
      <c r="K27" s="27">
        <v>3</v>
      </c>
      <c r="L27" s="31">
        <f t="shared" si="2"/>
        <v>0</v>
      </c>
      <c r="M27" s="27">
        <v>40</v>
      </c>
      <c r="N27" s="27">
        <f t="shared" si="3"/>
        <v>0</v>
      </c>
      <c r="O27" s="27">
        <v>2.5</v>
      </c>
      <c r="P27" s="27">
        <f t="shared" si="4"/>
        <v>0</v>
      </c>
      <c r="Q27" s="27">
        <v>10</v>
      </c>
      <c r="R27" s="67">
        <f t="shared" si="6"/>
        <v>0</v>
      </c>
      <c r="S27" s="119"/>
      <c r="T27" s="18"/>
      <c r="U27" s="18"/>
      <c r="W27" s="7"/>
      <c r="X27" s="7"/>
    </row>
    <row r="28" spans="1:24" x14ac:dyDescent="0.45">
      <c r="A28" s="68" t="s">
        <v>64</v>
      </c>
      <c r="B28" s="30">
        <v>0</v>
      </c>
      <c r="C28" s="27">
        <v>0.25</v>
      </c>
      <c r="D28" s="27">
        <f t="shared" si="7"/>
        <v>0</v>
      </c>
      <c r="E28" s="27">
        <v>0.13500000000000001</v>
      </c>
      <c r="F28" s="30">
        <f t="shared" si="5"/>
        <v>0</v>
      </c>
      <c r="G28" s="27">
        <v>2.5</v>
      </c>
      <c r="H28" s="31">
        <f t="shared" si="0"/>
        <v>0</v>
      </c>
      <c r="I28" s="27">
        <v>12</v>
      </c>
      <c r="J28" s="31">
        <f t="shared" si="1"/>
        <v>0</v>
      </c>
      <c r="K28" s="27">
        <v>6</v>
      </c>
      <c r="L28" s="31">
        <f t="shared" si="2"/>
        <v>0</v>
      </c>
      <c r="M28" s="27">
        <v>42</v>
      </c>
      <c r="N28" s="27">
        <f t="shared" si="3"/>
        <v>0</v>
      </c>
      <c r="O28" s="27">
        <v>2.5</v>
      </c>
      <c r="P28" s="27">
        <f t="shared" si="4"/>
        <v>0</v>
      </c>
      <c r="Q28" s="27"/>
      <c r="R28" s="67">
        <f t="shared" si="6"/>
        <v>0</v>
      </c>
      <c r="S28" s="119"/>
      <c r="T28" s="18"/>
      <c r="U28" s="18"/>
      <c r="W28" s="7"/>
      <c r="X28" s="7"/>
    </row>
    <row r="29" spans="1:24" x14ac:dyDescent="0.45">
      <c r="A29" s="68" t="s">
        <v>65</v>
      </c>
      <c r="B29" s="30">
        <v>0</v>
      </c>
      <c r="C29" s="27">
        <v>0.25</v>
      </c>
      <c r="D29" s="27">
        <f t="shared" si="7"/>
        <v>0</v>
      </c>
      <c r="E29" s="27">
        <v>0.12</v>
      </c>
      <c r="F29" s="30">
        <f t="shared" si="5"/>
        <v>0</v>
      </c>
      <c r="G29" s="27">
        <v>2.4</v>
      </c>
      <c r="H29" s="31">
        <f t="shared" si="0"/>
        <v>0</v>
      </c>
      <c r="I29" s="27">
        <v>9</v>
      </c>
      <c r="J29" s="31">
        <f t="shared" si="1"/>
        <v>0</v>
      </c>
      <c r="K29" s="27">
        <v>2.2000000000000002</v>
      </c>
      <c r="L29" s="31">
        <f t="shared" si="2"/>
        <v>0</v>
      </c>
      <c r="M29" s="27">
        <v>45</v>
      </c>
      <c r="N29" s="27">
        <f t="shared" si="3"/>
        <v>0</v>
      </c>
      <c r="O29" s="27">
        <v>2.5</v>
      </c>
      <c r="P29" s="27">
        <f t="shared" si="4"/>
        <v>0</v>
      </c>
      <c r="Q29" s="27"/>
      <c r="R29" s="67">
        <f t="shared" si="6"/>
        <v>0</v>
      </c>
      <c r="S29" s="119"/>
      <c r="T29" s="18"/>
      <c r="U29" s="18"/>
      <c r="W29" s="7"/>
      <c r="X29" s="7"/>
    </row>
    <row r="30" spans="1:24" x14ac:dyDescent="0.45">
      <c r="A30" s="68" t="s">
        <v>66</v>
      </c>
      <c r="B30" s="30">
        <v>0</v>
      </c>
      <c r="C30" s="27">
        <v>0.2</v>
      </c>
      <c r="D30" s="27">
        <f t="shared" si="7"/>
        <v>0</v>
      </c>
      <c r="E30" s="27">
        <v>0.2</v>
      </c>
      <c r="F30" s="30">
        <f t="shared" si="5"/>
        <v>0</v>
      </c>
      <c r="G30" s="27">
        <v>2.2999999999999998</v>
      </c>
      <c r="H30" s="31">
        <f t="shared" si="0"/>
        <v>0</v>
      </c>
      <c r="I30" s="27">
        <v>3</v>
      </c>
      <c r="J30" s="31">
        <f t="shared" si="1"/>
        <v>0</v>
      </c>
      <c r="K30" s="27">
        <v>4</v>
      </c>
      <c r="L30" s="31">
        <f t="shared" si="2"/>
        <v>0</v>
      </c>
      <c r="M30" s="27">
        <v>48</v>
      </c>
      <c r="N30" s="27">
        <f t="shared" si="3"/>
        <v>0</v>
      </c>
      <c r="O30" s="27">
        <v>2.5</v>
      </c>
      <c r="P30" s="27">
        <f t="shared" si="4"/>
        <v>0</v>
      </c>
      <c r="Q30" s="27"/>
      <c r="R30" s="67">
        <f t="shared" si="6"/>
        <v>0</v>
      </c>
      <c r="S30" s="119"/>
      <c r="T30" s="18"/>
      <c r="U30" s="18"/>
      <c r="W30" s="7"/>
      <c r="X30" s="7"/>
    </row>
    <row r="31" spans="1:24" x14ac:dyDescent="0.45">
      <c r="A31" s="68" t="s">
        <v>107</v>
      </c>
      <c r="B31" s="30">
        <v>2.4597005149330586</v>
      </c>
      <c r="C31" s="27">
        <v>0.3</v>
      </c>
      <c r="D31" s="27">
        <f t="shared" si="7"/>
        <v>0.73791015447991759</v>
      </c>
      <c r="E31" s="27">
        <v>7.0000000000000007E-2</v>
      </c>
      <c r="F31" s="30">
        <f t="shared" si="5"/>
        <v>51.653710813594238</v>
      </c>
      <c r="G31" s="27">
        <v>2.2000000000000002</v>
      </c>
      <c r="H31" s="31">
        <f t="shared" si="0"/>
        <v>1.6234023398558188</v>
      </c>
      <c r="I31" s="27">
        <v>3</v>
      </c>
      <c r="J31" s="31">
        <f t="shared" si="1"/>
        <v>2.2137304634397528</v>
      </c>
      <c r="K31" s="27">
        <v>1.5</v>
      </c>
      <c r="L31" s="31">
        <f t="shared" si="2"/>
        <v>1.1068652317198764</v>
      </c>
      <c r="M31" s="27">
        <v>61</v>
      </c>
      <c r="N31" s="27">
        <f t="shared" si="3"/>
        <v>0.45012519423274971</v>
      </c>
      <c r="O31" s="27">
        <v>2.75</v>
      </c>
      <c r="P31" s="27">
        <f t="shared" si="4"/>
        <v>2.0292529248197733E-2</v>
      </c>
      <c r="Q31" s="27"/>
      <c r="R31" s="67">
        <f t="shared" si="6"/>
        <v>0</v>
      </c>
      <c r="S31" s="119"/>
      <c r="T31" s="18"/>
      <c r="U31" s="18"/>
      <c r="W31" s="7"/>
      <c r="X31" s="7"/>
    </row>
    <row r="32" spans="1:24" x14ac:dyDescent="0.45">
      <c r="A32" s="68" t="s">
        <v>108</v>
      </c>
      <c r="B32" s="30">
        <v>0</v>
      </c>
      <c r="C32" s="27">
        <v>0.98</v>
      </c>
      <c r="D32" s="27">
        <f t="shared" si="7"/>
        <v>0</v>
      </c>
      <c r="E32" s="27">
        <v>0.45200000000000001</v>
      </c>
      <c r="F32" s="30">
        <f t="shared" si="5"/>
        <v>0</v>
      </c>
      <c r="G32" s="27">
        <v>2.88</v>
      </c>
      <c r="H32" s="31">
        <f t="shared" si="0"/>
        <v>0</v>
      </c>
      <c r="I32" s="27">
        <v>3</v>
      </c>
      <c r="J32" s="31">
        <f t="shared" si="1"/>
        <v>0</v>
      </c>
      <c r="K32" s="27">
        <v>7</v>
      </c>
      <c r="L32" s="31">
        <f t="shared" si="2"/>
        <v>0</v>
      </c>
      <c r="M32" s="27">
        <v>14</v>
      </c>
      <c r="N32" s="27">
        <f t="shared" si="3"/>
        <v>0</v>
      </c>
      <c r="O32" s="27">
        <v>7</v>
      </c>
      <c r="P32" s="27">
        <f t="shared" si="4"/>
        <v>0</v>
      </c>
      <c r="Q32" s="27"/>
      <c r="R32" s="67">
        <f t="shared" si="6"/>
        <v>0</v>
      </c>
      <c r="S32" s="119"/>
      <c r="T32" s="18"/>
      <c r="U32" s="18"/>
      <c r="W32" s="7"/>
      <c r="X32" s="7"/>
    </row>
    <row r="33" spans="1:25" x14ac:dyDescent="0.45">
      <c r="A33" s="68" t="s">
        <v>67</v>
      </c>
      <c r="B33" s="30">
        <v>0</v>
      </c>
      <c r="C33" s="27">
        <v>0.9</v>
      </c>
      <c r="D33" s="27">
        <f t="shared" ref="D33:D40" si="8">(B33*C33)</f>
        <v>0</v>
      </c>
      <c r="E33" s="27">
        <v>0.16</v>
      </c>
      <c r="F33" s="30">
        <f t="shared" ref="F33:F38" si="9">+(D33*E33)*1000</f>
        <v>0</v>
      </c>
      <c r="G33" s="27">
        <v>2.7</v>
      </c>
      <c r="H33" s="31">
        <f t="shared" ref="H33:H40" si="10">(D33*G33)</f>
        <v>0</v>
      </c>
      <c r="I33" s="27">
        <v>7</v>
      </c>
      <c r="J33" s="31">
        <f t="shared" ref="J33:J38" si="11">(D33*I33)</f>
        <v>0</v>
      </c>
      <c r="K33" s="27">
        <v>6</v>
      </c>
      <c r="L33" s="31">
        <f t="shared" ref="L33:L40" si="12">(D33*K33)</f>
        <v>0</v>
      </c>
      <c r="M33" s="27">
        <v>30</v>
      </c>
      <c r="N33" s="27">
        <f t="shared" ref="N33:N38" si="13">(M33*D33)/100</f>
        <v>0</v>
      </c>
      <c r="O33" s="27">
        <v>2.5</v>
      </c>
      <c r="P33" s="27">
        <f t="shared" ref="P33:P38" si="14">(O33*D33)/100</f>
        <v>0</v>
      </c>
      <c r="Q33" s="27">
        <v>500</v>
      </c>
      <c r="R33" s="67">
        <f t="shared" ref="R33:R40" si="15">(Q33*B33)</f>
        <v>0</v>
      </c>
      <c r="S33" s="119"/>
      <c r="T33" s="18"/>
      <c r="U33" s="18"/>
    </row>
    <row r="34" spans="1:25" x14ac:dyDescent="0.45">
      <c r="A34" s="68" t="s">
        <v>68</v>
      </c>
      <c r="B34" s="30">
        <v>0.91990681337741897</v>
      </c>
      <c r="C34" s="27">
        <v>0.95</v>
      </c>
      <c r="D34" s="27">
        <f t="shared" si="8"/>
        <v>0.87391147270854797</v>
      </c>
      <c r="E34" s="27">
        <v>0.16</v>
      </c>
      <c r="F34" s="30">
        <f t="shared" si="9"/>
        <v>139.82583563336766</v>
      </c>
      <c r="G34" s="27">
        <v>2.7</v>
      </c>
      <c r="H34" s="31">
        <f t="shared" si="10"/>
        <v>2.3595609763130798</v>
      </c>
      <c r="I34" s="27">
        <v>2.7</v>
      </c>
      <c r="J34" s="31">
        <f t="shared" si="11"/>
        <v>2.3595609763130798</v>
      </c>
      <c r="K34" s="27">
        <v>2.67</v>
      </c>
      <c r="L34" s="31">
        <f t="shared" si="12"/>
        <v>2.3333436321318231</v>
      </c>
      <c r="M34" s="27">
        <v>48</v>
      </c>
      <c r="N34" s="27">
        <f t="shared" si="13"/>
        <v>0.41947750690010305</v>
      </c>
      <c r="O34" s="27">
        <v>1</v>
      </c>
      <c r="P34" s="27">
        <f t="shared" si="14"/>
        <v>8.7391147270854796E-3</v>
      </c>
      <c r="Q34" s="27">
        <v>220</v>
      </c>
      <c r="R34" s="67">
        <f t="shared" si="15"/>
        <v>202.37949894303216</v>
      </c>
      <c r="S34" s="119"/>
      <c r="T34" s="18"/>
      <c r="U34" s="18"/>
    </row>
    <row r="35" spans="1:25" x14ac:dyDescent="0.45">
      <c r="A35" s="68" t="s">
        <v>109</v>
      </c>
      <c r="B35" s="30">
        <v>0</v>
      </c>
      <c r="C35" s="27">
        <v>0.3</v>
      </c>
      <c r="D35" s="30">
        <f t="shared" si="8"/>
        <v>0</v>
      </c>
      <c r="E35" s="27">
        <v>0.19</v>
      </c>
      <c r="F35" s="30">
        <f t="shared" si="9"/>
        <v>0</v>
      </c>
      <c r="G35" s="27">
        <v>2.7</v>
      </c>
      <c r="H35" s="31">
        <f t="shared" si="10"/>
        <v>0</v>
      </c>
      <c r="I35" s="27">
        <v>3</v>
      </c>
      <c r="J35" s="31">
        <f t="shared" si="11"/>
        <v>0</v>
      </c>
      <c r="K35" s="27">
        <v>6</v>
      </c>
      <c r="L35" s="31">
        <f t="shared" si="12"/>
        <v>0</v>
      </c>
      <c r="M35" s="27">
        <v>53</v>
      </c>
      <c r="N35" s="27">
        <f t="shared" si="13"/>
        <v>0</v>
      </c>
      <c r="O35" s="27">
        <v>6.25</v>
      </c>
      <c r="P35" s="27">
        <f t="shared" si="14"/>
        <v>0</v>
      </c>
      <c r="Q35" s="27">
        <v>10</v>
      </c>
      <c r="R35" s="67">
        <f t="shared" si="15"/>
        <v>0</v>
      </c>
      <c r="S35" s="119"/>
      <c r="T35" s="18"/>
      <c r="U35" s="18"/>
    </row>
    <row r="36" spans="1:25" x14ac:dyDescent="0.45">
      <c r="A36" s="68" t="s">
        <v>110</v>
      </c>
      <c r="B36" s="30">
        <v>0</v>
      </c>
      <c r="C36" s="27">
        <v>0.95</v>
      </c>
      <c r="D36" s="30">
        <f t="shared" si="8"/>
        <v>0</v>
      </c>
      <c r="E36" s="27">
        <v>0.19</v>
      </c>
      <c r="F36" s="30">
        <f t="shared" si="9"/>
        <v>0</v>
      </c>
      <c r="G36" s="27">
        <v>2.72</v>
      </c>
      <c r="H36" s="31">
        <f t="shared" si="10"/>
        <v>0</v>
      </c>
      <c r="I36" s="27">
        <v>3</v>
      </c>
      <c r="J36" s="31">
        <f t="shared" si="11"/>
        <v>0</v>
      </c>
      <c r="K36" s="27">
        <v>6</v>
      </c>
      <c r="L36" s="31">
        <f t="shared" si="12"/>
        <v>0</v>
      </c>
      <c r="M36" s="27">
        <v>53</v>
      </c>
      <c r="N36" s="27">
        <f t="shared" si="13"/>
        <v>0</v>
      </c>
      <c r="O36" s="27">
        <v>6.25</v>
      </c>
      <c r="P36" s="27">
        <f t="shared" si="14"/>
        <v>0</v>
      </c>
      <c r="Q36" s="27">
        <v>120</v>
      </c>
      <c r="R36" s="67">
        <f t="shared" si="15"/>
        <v>0</v>
      </c>
      <c r="S36" s="119"/>
      <c r="T36" s="18"/>
      <c r="U36" s="18"/>
    </row>
    <row r="37" spans="1:25" x14ac:dyDescent="0.45">
      <c r="A37" s="68" t="s">
        <v>71</v>
      </c>
      <c r="B37" s="30">
        <v>0</v>
      </c>
      <c r="C37" s="27">
        <v>0.28000000000000003</v>
      </c>
      <c r="D37" s="27">
        <f t="shared" si="8"/>
        <v>0</v>
      </c>
      <c r="E37" s="27">
        <v>0.11</v>
      </c>
      <c r="F37" s="30">
        <f t="shared" si="9"/>
        <v>0</v>
      </c>
      <c r="G37" s="27">
        <v>2</v>
      </c>
      <c r="H37" s="31">
        <f t="shared" si="10"/>
        <v>0</v>
      </c>
      <c r="I37" s="27">
        <v>4.5</v>
      </c>
      <c r="J37" s="31">
        <f t="shared" si="11"/>
        <v>0</v>
      </c>
      <c r="K37" s="27">
        <v>2</v>
      </c>
      <c r="L37" s="31">
        <f t="shared" si="12"/>
        <v>0</v>
      </c>
      <c r="M37" s="27">
        <v>63</v>
      </c>
      <c r="N37" s="27">
        <f t="shared" si="13"/>
        <v>0</v>
      </c>
      <c r="O37" s="27">
        <v>1.4</v>
      </c>
      <c r="P37" s="27">
        <f t="shared" si="14"/>
        <v>0</v>
      </c>
      <c r="Q37" s="27">
        <v>10</v>
      </c>
      <c r="R37" s="67">
        <f t="shared" si="15"/>
        <v>0</v>
      </c>
      <c r="S37" s="119"/>
      <c r="T37" s="18"/>
      <c r="U37" s="18"/>
    </row>
    <row r="38" spans="1:25" x14ac:dyDescent="0.45">
      <c r="A38" s="68" t="s">
        <v>44</v>
      </c>
      <c r="B38" s="30">
        <v>0</v>
      </c>
      <c r="C38" s="27">
        <v>0.95</v>
      </c>
      <c r="D38" s="27">
        <f t="shared" si="8"/>
        <v>0</v>
      </c>
      <c r="E38" s="27">
        <v>0.11</v>
      </c>
      <c r="F38" s="30">
        <f t="shared" si="9"/>
        <v>0</v>
      </c>
      <c r="G38" s="27">
        <v>2</v>
      </c>
      <c r="H38" s="31">
        <f t="shared" si="10"/>
        <v>0</v>
      </c>
      <c r="I38" s="27">
        <v>4.5</v>
      </c>
      <c r="J38" s="31">
        <f t="shared" si="11"/>
        <v>0</v>
      </c>
      <c r="K38" s="27">
        <v>2</v>
      </c>
      <c r="L38" s="31">
        <f t="shared" si="12"/>
        <v>0</v>
      </c>
      <c r="M38" s="27">
        <v>63</v>
      </c>
      <c r="N38" s="27">
        <f t="shared" si="13"/>
        <v>0</v>
      </c>
      <c r="O38" s="27">
        <v>1.4</v>
      </c>
      <c r="P38" s="27">
        <f t="shared" si="14"/>
        <v>0</v>
      </c>
      <c r="Q38" s="27">
        <v>120</v>
      </c>
      <c r="R38" s="67">
        <f t="shared" si="15"/>
        <v>0</v>
      </c>
      <c r="S38" s="119"/>
      <c r="T38" s="18"/>
      <c r="U38" s="18"/>
    </row>
    <row r="39" spans="1:25" x14ac:dyDescent="0.45">
      <c r="A39" s="68" t="s">
        <v>45</v>
      </c>
      <c r="B39" s="30">
        <v>0</v>
      </c>
      <c r="C39" s="27">
        <v>1</v>
      </c>
      <c r="D39" s="27">
        <f t="shared" si="8"/>
        <v>0</v>
      </c>
      <c r="E39" s="27"/>
      <c r="F39" s="30"/>
      <c r="G39" s="27"/>
      <c r="H39" s="31">
        <f t="shared" si="10"/>
        <v>0</v>
      </c>
      <c r="I39" s="27">
        <v>380</v>
      </c>
      <c r="J39" s="31">
        <f t="shared" si="1"/>
        <v>0</v>
      </c>
      <c r="K39" s="27"/>
      <c r="L39" s="31">
        <f t="shared" si="12"/>
        <v>0</v>
      </c>
      <c r="M39" s="27"/>
      <c r="N39" s="27">
        <f t="shared" si="3"/>
        <v>0</v>
      </c>
      <c r="O39" s="27"/>
      <c r="P39" s="27">
        <f t="shared" si="4"/>
        <v>0</v>
      </c>
      <c r="Q39" s="27"/>
      <c r="R39" s="67">
        <f t="shared" si="15"/>
        <v>0</v>
      </c>
      <c r="S39" s="119"/>
      <c r="T39" s="18"/>
      <c r="U39" s="18"/>
    </row>
    <row r="40" spans="1:25" x14ac:dyDescent="0.45">
      <c r="A40" s="68" t="s">
        <v>46</v>
      </c>
      <c r="B40" s="30">
        <v>0</v>
      </c>
      <c r="C40" s="27">
        <v>1</v>
      </c>
      <c r="D40" s="27">
        <f t="shared" si="8"/>
        <v>0</v>
      </c>
      <c r="E40" s="27"/>
      <c r="F40" s="30"/>
      <c r="G40" s="27"/>
      <c r="H40" s="31">
        <f t="shared" si="10"/>
        <v>0</v>
      </c>
      <c r="I40" s="27">
        <v>220</v>
      </c>
      <c r="J40" s="31">
        <f t="shared" si="1"/>
        <v>0</v>
      </c>
      <c r="K40" s="27">
        <v>180</v>
      </c>
      <c r="L40" s="31">
        <f t="shared" si="12"/>
        <v>0</v>
      </c>
      <c r="M40" s="27"/>
      <c r="N40" s="27">
        <f t="shared" si="3"/>
        <v>0</v>
      </c>
      <c r="O40" s="27"/>
      <c r="P40" s="27">
        <f t="shared" si="4"/>
        <v>0</v>
      </c>
      <c r="Q40" s="27"/>
      <c r="R40" s="67">
        <f t="shared" si="15"/>
        <v>0</v>
      </c>
      <c r="S40" s="119"/>
      <c r="T40" s="18"/>
      <c r="U40" s="18"/>
    </row>
    <row r="41" spans="1:25" x14ac:dyDescent="0.45">
      <c r="A41" s="69" t="s">
        <v>47</v>
      </c>
      <c r="B41" s="33">
        <f>SUM(B23:B40)</f>
        <v>3.4221112051053444</v>
      </c>
      <c r="C41" s="34"/>
      <c r="D41" s="33">
        <f>SUM(D23:D40)</f>
        <v>1.6487999999999996</v>
      </c>
      <c r="E41" s="26"/>
      <c r="F41" s="39">
        <f>SUM(F23:F40)</f>
        <v>194.80759999999995</v>
      </c>
      <c r="G41" s="27"/>
      <c r="H41" s="36">
        <f>SUM(H23:H40)</f>
        <v>4.1083199999999991</v>
      </c>
      <c r="I41" s="27"/>
      <c r="J41" s="51">
        <f>SUM(J23:J40)</f>
        <v>4.5806871143151398</v>
      </c>
      <c r="K41" s="27"/>
      <c r="L41" s="168">
        <f>SUM(L23:L40)</f>
        <v>3.5141656094747677</v>
      </c>
      <c r="M41" s="27"/>
      <c r="N41" s="97">
        <f>+SUM(N23:N40)/D41*100</f>
        <v>53.093662400792333</v>
      </c>
      <c r="O41" s="27"/>
      <c r="P41" s="40">
        <f>+(SUM(P23:P40)/D41)*100</f>
        <v>1.8572121546688005</v>
      </c>
      <c r="Q41" s="25"/>
      <c r="R41" s="70">
        <f>+SUM(R23:R40)</f>
        <v>216.24638874735743</v>
      </c>
      <c r="S41" s="146"/>
      <c r="T41" s="18"/>
      <c r="U41" s="18"/>
    </row>
    <row r="42" spans="1:25" x14ac:dyDescent="0.45">
      <c r="A42" s="102" t="s">
        <v>111</v>
      </c>
      <c r="B42" s="34"/>
      <c r="C42" s="29"/>
      <c r="D42" s="172">
        <f>(D41/A7)*100</f>
        <v>4.3389473684210511</v>
      </c>
      <c r="E42" s="26" t="s">
        <v>49</v>
      </c>
      <c r="F42" s="171">
        <f>+F41-G7</f>
        <v>-0.58664000000004535</v>
      </c>
      <c r="G42" s="43"/>
      <c r="H42" s="44">
        <f>+H41-K7</f>
        <v>-0.54498200000000008</v>
      </c>
      <c r="I42" s="28"/>
      <c r="J42" s="98">
        <f>+J41-O7</f>
        <v>-4.4308737745737474</v>
      </c>
      <c r="K42" s="46"/>
      <c r="L42" s="178">
        <f>+L41-P7</f>
        <v>-1.875979005909846</v>
      </c>
      <c r="M42" s="28"/>
      <c r="N42" s="166">
        <f>+ (((N24*0.1) + N25+N26+N27+N28+N29+N30+(N37*0.1)+(N38*0.2)+(N33*0.2)+(N34*0.3)+(N35*0.2)+(N36*0.35))/D41)*100</f>
        <v>7.6324146088082818</v>
      </c>
      <c r="O42" s="25"/>
      <c r="P42" s="25"/>
      <c r="Q42" s="25"/>
      <c r="R42" s="72"/>
      <c r="S42" s="19"/>
      <c r="T42" s="19"/>
      <c r="U42" s="18"/>
    </row>
    <row r="43" spans="1:25" x14ac:dyDescent="0.45">
      <c r="A43" s="69" t="s">
        <v>112</v>
      </c>
      <c r="B43" s="26">
        <v>1</v>
      </c>
      <c r="C43" s="176" t="s">
        <v>113</v>
      </c>
      <c r="D43" s="173">
        <f>(((165+(368.6*C7)+(34.8*A7^0.75))/1000)/A7)*100</f>
        <v>3.775840398451078</v>
      </c>
      <c r="E43" s="46"/>
      <c r="F43" s="28"/>
      <c r="G43" s="26" t="s">
        <v>114</v>
      </c>
      <c r="H43" s="44">
        <f>+((K7-L7)/H41)*100</f>
        <v>12.900650387506316</v>
      </c>
      <c r="I43" s="28"/>
      <c r="J43" s="28"/>
      <c r="K43" s="180">
        <f>+J41/L41</f>
        <v>1.3034921012159628</v>
      </c>
      <c r="L43" s="28"/>
      <c r="M43" s="28"/>
      <c r="N43" s="166" t="s">
        <v>115</v>
      </c>
      <c r="O43" s="25"/>
      <c r="P43" s="25"/>
      <c r="Q43" s="25"/>
      <c r="R43" s="72"/>
      <c r="S43" s="19"/>
      <c r="T43" s="19"/>
      <c r="U43" s="18"/>
    </row>
    <row r="44" spans="1:25" x14ac:dyDescent="0.45">
      <c r="A44" s="69" t="s">
        <v>116</v>
      </c>
      <c r="B44" s="26">
        <v>2</v>
      </c>
      <c r="C44" s="176" t="s">
        <v>113</v>
      </c>
      <c r="D44" s="173">
        <f>+((533+(305.2*C7)+(13.3*A7))/1000)/A7*100</f>
        <v>4.3389473684210529</v>
      </c>
      <c r="E44" s="46"/>
      <c r="F44" s="52"/>
      <c r="G44" s="25"/>
      <c r="H44" s="25"/>
      <c r="I44" s="25"/>
      <c r="J44" s="25"/>
      <c r="K44" s="180" t="s">
        <v>51</v>
      </c>
      <c r="L44" s="25"/>
      <c r="M44" s="25"/>
      <c r="N44" s="25"/>
      <c r="O44" s="25"/>
      <c r="P44" s="25"/>
      <c r="Q44" s="25"/>
      <c r="R44" s="121"/>
      <c r="S44" s="19"/>
      <c r="T44" s="19"/>
      <c r="U44" s="89"/>
      <c r="W44" s="5"/>
      <c r="Y44" s="5"/>
    </row>
    <row r="45" spans="1:25" x14ac:dyDescent="0.45">
      <c r="A45" s="69" t="s">
        <v>117</v>
      </c>
      <c r="B45" s="26">
        <v>3</v>
      </c>
      <c r="C45" s="177" t="s">
        <v>113</v>
      </c>
      <c r="D45" s="174">
        <f>+(0.111*A7^0.75)* (1-EXP(-0.8*D47))/A7*100</f>
        <v>4.4673781983684275</v>
      </c>
      <c r="E45" s="50"/>
      <c r="F45" s="34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94"/>
      <c r="S45" s="18"/>
      <c r="T45" s="18"/>
      <c r="U45" s="18"/>
    </row>
    <row r="46" spans="1:25" x14ac:dyDescent="0.45">
      <c r="A46" s="69" t="s">
        <v>118</v>
      </c>
      <c r="B46" s="26">
        <v>4</v>
      </c>
      <c r="C46" s="99" t="s">
        <v>113</v>
      </c>
      <c r="D46" s="100">
        <f>+(0.222*C7+0.107*A7^0.75)*(1-EXP(-0.444*(D47+7.221)))/A7*100</f>
        <v>5.473949000238818</v>
      </c>
      <c r="E46" s="50"/>
      <c r="F46" s="34"/>
      <c r="G46" s="28"/>
      <c r="H46" s="28"/>
      <c r="I46" s="28"/>
      <c r="J46" s="28"/>
      <c r="K46" s="28"/>
      <c r="L46" s="28"/>
      <c r="M46" s="28"/>
      <c r="N46" s="29"/>
      <c r="O46" s="28"/>
      <c r="P46" s="28"/>
      <c r="Q46" s="28"/>
      <c r="R46" s="94"/>
      <c r="S46" s="18"/>
      <c r="T46" s="18"/>
      <c r="U46" s="18"/>
    </row>
    <row r="47" spans="1:25" ht="14.65" thickBot="1" x14ac:dyDescent="0.5">
      <c r="A47" s="104" t="s">
        <v>119</v>
      </c>
      <c r="B47" s="85"/>
      <c r="C47" s="85"/>
      <c r="D47" s="175">
        <v>9</v>
      </c>
      <c r="E47" s="103"/>
      <c r="F47" s="103"/>
      <c r="G47" s="103"/>
      <c r="H47" s="105"/>
      <c r="I47" s="103"/>
      <c r="J47" s="106"/>
      <c r="K47" s="106"/>
      <c r="L47" s="106"/>
      <c r="M47" s="106"/>
      <c r="N47" s="106"/>
      <c r="O47" s="103"/>
      <c r="P47" s="103"/>
      <c r="Q47" s="103"/>
      <c r="R47" s="96"/>
      <c r="S47" s="18"/>
      <c r="T47" s="18"/>
      <c r="U47" s="18"/>
    </row>
    <row r="48" spans="1:25" x14ac:dyDescent="0.45">
      <c r="A48" s="22"/>
      <c r="B48" s="17"/>
      <c r="C48" s="17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45">
      <c r="A49" s="140" t="s">
        <v>52</v>
      </c>
      <c r="B49" s="17"/>
      <c r="C49" s="17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pans="1:21" x14ac:dyDescent="0.45">
      <c r="A50" s="140" t="s">
        <v>120</v>
      </c>
      <c r="B50" s="17"/>
      <c r="C50" s="17"/>
      <c r="D50" s="18"/>
      <c r="E50" s="92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x14ac:dyDescent="0.45">
      <c r="A51" s="140" t="s">
        <v>121</v>
      </c>
      <c r="B51" s="17"/>
      <c r="C51" s="17"/>
      <c r="D51" s="18"/>
      <c r="E51" s="18"/>
      <c r="F51" s="90"/>
      <c r="G51" s="18"/>
      <c r="H51" s="90"/>
      <c r="I51" s="18"/>
      <c r="J51" s="90"/>
      <c r="K51" s="90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1:21" x14ac:dyDescent="0.45">
      <c r="A52" s="140" t="s">
        <v>122</v>
      </c>
      <c r="B52" s="17"/>
      <c r="C52" s="17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14.65" thickBot="1" x14ac:dyDescent="0.5">
      <c r="A53" s="140"/>
      <c r="B53" s="17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1:21" s="93" customFormat="1" ht="11.65" x14ac:dyDescent="0.45">
      <c r="A54" s="185" t="s">
        <v>123</v>
      </c>
      <c r="B54" s="186"/>
      <c r="C54" s="186"/>
      <c r="D54" s="186"/>
      <c r="E54" s="186"/>
      <c r="F54" s="186"/>
      <c r="G54" s="186"/>
      <c r="H54" s="186"/>
      <c r="I54" s="186"/>
      <c r="J54" s="187"/>
    </row>
    <row r="55" spans="1:21" x14ac:dyDescent="0.45">
      <c r="A55" s="188" t="s">
        <v>124</v>
      </c>
      <c r="B55" s="189"/>
      <c r="C55" s="189"/>
      <c r="D55" s="190"/>
      <c r="E55" s="190"/>
      <c r="F55" s="190"/>
      <c r="G55" s="190"/>
      <c r="H55" s="190"/>
      <c r="I55" s="190"/>
      <c r="J55" s="191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spans="1:21" x14ac:dyDescent="0.45">
      <c r="A56" s="188" t="s">
        <v>125</v>
      </c>
      <c r="B56" s="189"/>
      <c r="C56" s="189"/>
      <c r="D56" s="190"/>
      <c r="E56" s="190"/>
      <c r="F56" s="190"/>
      <c r="G56" s="190"/>
      <c r="H56" s="190"/>
      <c r="I56" s="190"/>
      <c r="J56" s="191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1:21" x14ac:dyDescent="0.45">
      <c r="A57" s="188" t="s">
        <v>126</v>
      </c>
      <c r="B57" s="189"/>
      <c r="C57" s="189"/>
      <c r="D57" s="190"/>
      <c r="E57" s="190"/>
      <c r="F57" s="190"/>
      <c r="G57" s="190"/>
      <c r="H57" s="190"/>
      <c r="I57" s="190"/>
      <c r="J57" s="191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1:21" x14ac:dyDescent="0.45">
      <c r="A58" s="188" t="s">
        <v>127</v>
      </c>
      <c r="B58" s="189"/>
      <c r="C58" s="189"/>
      <c r="D58" s="190"/>
      <c r="E58" s="190"/>
      <c r="F58" s="190"/>
      <c r="G58" s="190"/>
      <c r="H58" s="190"/>
      <c r="I58" s="190"/>
      <c r="J58" s="191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pans="1:21" x14ac:dyDescent="0.45">
      <c r="A59" s="188" t="s">
        <v>128</v>
      </c>
      <c r="B59" s="189"/>
      <c r="C59" s="189"/>
      <c r="D59" s="190"/>
      <c r="E59" s="190"/>
      <c r="F59" s="190"/>
      <c r="G59" s="190"/>
      <c r="H59" s="190"/>
      <c r="I59" s="190"/>
      <c r="J59" s="191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pans="1:21" x14ac:dyDescent="0.45">
      <c r="A60" s="188" t="s">
        <v>129</v>
      </c>
      <c r="B60" s="189"/>
      <c r="C60" s="189"/>
      <c r="D60" s="190"/>
      <c r="E60" s="190"/>
      <c r="F60" s="190"/>
      <c r="G60" s="190"/>
      <c r="H60" s="190"/>
      <c r="I60" s="190"/>
      <c r="J60" s="191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pans="1:21" x14ac:dyDescent="0.45">
      <c r="A61" s="188" t="s">
        <v>130</v>
      </c>
      <c r="B61" s="189"/>
      <c r="C61" s="189"/>
      <c r="D61" s="190"/>
      <c r="E61" s="190"/>
      <c r="F61" s="190"/>
      <c r="G61" s="190"/>
      <c r="H61" s="190"/>
      <c r="I61" s="190"/>
      <c r="J61" s="191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pans="1:21" x14ac:dyDescent="0.45">
      <c r="A62" s="188" t="s">
        <v>131</v>
      </c>
      <c r="B62" s="189"/>
      <c r="C62" s="189"/>
      <c r="D62" s="190"/>
      <c r="E62" s="190"/>
      <c r="F62" s="190"/>
      <c r="G62" s="192"/>
      <c r="H62" s="192"/>
      <c r="I62" s="192"/>
      <c r="J62" s="191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spans="1:21" x14ac:dyDescent="0.45">
      <c r="A63" s="188" t="s">
        <v>132</v>
      </c>
      <c r="B63" s="189"/>
      <c r="C63" s="189"/>
      <c r="D63" s="190"/>
      <c r="E63" s="190"/>
      <c r="F63" s="190"/>
      <c r="G63" s="184"/>
      <c r="H63" s="189"/>
      <c r="I63" s="189"/>
      <c r="J63" s="191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1:21" x14ac:dyDescent="0.45">
      <c r="A64" s="188" t="s">
        <v>133</v>
      </c>
      <c r="B64" s="189"/>
      <c r="C64" s="189"/>
      <c r="D64" s="190"/>
      <c r="E64" s="190"/>
      <c r="F64" s="190"/>
      <c r="G64" s="184"/>
      <c r="H64" s="189"/>
      <c r="I64" s="189"/>
      <c r="J64" s="191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1:21" x14ac:dyDescent="0.45">
      <c r="A65" s="188" t="s">
        <v>134</v>
      </c>
      <c r="B65" s="193"/>
      <c r="C65" s="193"/>
      <c r="D65" s="192"/>
      <c r="E65" s="192"/>
      <c r="F65" s="190"/>
      <c r="G65" s="190"/>
      <c r="H65" s="190"/>
      <c r="I65" s="190"/>
      <c r="J65" s="191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1:21" x14ac:dyDescent="0.45">
      <c r="A66" s="188" t="s">
        <v>135</v>
      </c>
      <c r="B66" s="193"/>
      <c r="C66" s="193"/>
      <c r="D66" s="192"/>
      <c r="E66" s="192"/>
      <c r="F66" s="190"/>
      <c r="G66" s="190"/>
      <c r="H66" s="190"/>
      <c r="I66" s="190"/>
      <c r="J66" s="191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spans="1:21" x14ac:dyDescent="0.45">
      <c r="A67" s="188" t="s">
        <v>136</v>
      </c>
      <c r="B67" s="189"/>
      <c r="C67" s="189"/>
      <c r="D67" s="190"/>
      <c r="E67" s="190"/>
      <c r="F67" s="190"/>
      <c r="G67" s="190"/>
      <c r="H67" s="190"/>
      <c r="I67" s="190"/>
      <c r="J67" s="191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1:21" x14ac:dyDescent="0.45">
      <c r="A68" s="188" t="s">
        <v>137</v>
      </c>
      <c r="B68" s="189"/>
      <c r="C68" s="189"/>
      <c r="D68" s="190"/>
      <c r="E68" s="190"/>
      <c r="F68" s="190"/>
      <c r="G68" s="190"/>
      <c r="H68" s="190"/>
      <c r="I68" s="190"/>
      <c r="J68" s="191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pans="1:21" x14ac:dyDescent="0.45">
      <c r="A69" s="188" t="s">
        <v>138</v>
      </c>
      <c r="B69" s="189"/>
      <c r="C69" s="189"/>
      <c r="D69" s="190"/>
      <c r="E69" s="190"/>
      <c r="F69" s="190"/>
      <c r="G69" s="190"/>
      <c r="H69" s="190"/>
      <c r="I69" s="190"/>
      <c r="J69" s="191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spans="1:21" x14ac:dyDescent="0.45">
      <c r="A70" s="188" t="s">
        <v>139</v>
      </c>
      <c r="B70" s="189"/>
      <c r="C70" s="189"/>
      <c r="D70" s="190"/>
      <c r="E70" s="190"/>
      <c r="F70" s="190"/>
      <c r="G70" s="190"/>
      <c r="H70" s="190"/>
      <c r="I70" s="190"/>
      <c r="J70" s="191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spans="1:21" x14ac:dyDescent="0.45">
      <c r="A71" s="188" t="s">
        <v>140</v>
      </c>
      <c r="B71" s="189"/>
      <c r="C71" s="189"/>
      <c r="D71" s="190"/>
      <c r="E71" s="190"/>
      <c r="F71" s="190"/>
      <c r="G71" s="190"/>
      <c r="H71" s="190"/>
      <c r="I71" s="190"/>
      <c r="J71" s="191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spans="1:21" x14ac:dyDescent="0.45">
      <c r="A72" s="188" t="s">
        <v>141</v>
      </c>
      <c r="B72" s="189"/>
      <c r="C72" s="189"/>
      <c r="D72" s="190"/>
      <c r="E72" s="190"/>
      <c r="F72" s="190"/>
      <c r="G72" s="190"/>
      <c r="H72" s="190"/>
      <c r="I72" s="190"/>
      <c r="J72" s="191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 spans="1:21" x14ac:dyDescent="0.45">
      <c r="A73" s="188" t="s">
        <v>142</v>
      </c>
      <c r="B73" s="189"/>
      <c r="C73" s="189"/>
      <c r="D73" s="190"/>
      <c r="E73" s="190"/>
      <c r="F73" s="190"/>
      <c r="G73" s="190"/>
      <c r="H73" s="190"/>
      <c r="I73" s="190"/>
      <c r="J73" s="191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1:21" x14ac:dyDescent="0.45">
      <c r="A74" s="188" t="s">
        <v>143</v>
      </c>
      <c r="B74" s="189"/>
      <c r="C74" s="189"/>
      <c r="D74" s="192"/>
      <c r="E74" s="190"/>
      <c r="F74" s="190"/>
      <c r="G74" s="190"/>
      <c r="H74" s="190"/>
      <c r="I74" s="190"/>
      <c r="J74" s="191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spans="1:21" x14ac:dyDescent="0.45">
      <c r="A75" s="188" t="s">
        <v>144</v>
      </c>
      <c r="B75" s="189"/>
      <c r="C75" s="189"/>
      <c r="D75" s="192"/>
      <c r="E75" s="190"/>
      <c r="F75" s="194"/>
      <c r="G75" s="190"/>
      <c r="H75" s="190"/>
      <c r="I75" s="190"/>
      <c r="J75" s="191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spans="1:21" x14ac:dyDescent="0.45">
      <c r="A76" s="188" t="s">
        <v>145</v>
      </c>
      <c r="B76" s="195"/>
      <c r="C76" s="195"/>
      <c r="D76" s="196"/>
      <c r="E76" s="190"/>
      <c r="F76" s="194"/>
      <c r="G76" s="190"/>
      <c r="H76" s="194"/>
      <c r="I76" s="190"/>
      <c r="J76" s="197"/>
      <c r="K76" s="90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 spans="1:21" x14ac:dyDescent="0.45">
      <c r="A77" s="188" t="s">
        <v>146</v>
      </c>
      <c r="B77" s="195"/>
      <c r="C77" s="195"/>
      <c r="D77" s="196"/>
      <c r="E77" s="190"/>
      <c r="F77" s="190"/>
      <c r="G77" s="190"/>
      <c r="H77" s="190"/>
      <c r="I77" s="190"/>
      <c r="J77" s="191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 spans="1:21" x14ac:dyDescent="0.45">
      <c r="A78" s="188" t="s">
        <v>147</v>
      </c>
      <c r="B78" s="195"/>
      <c r="C78" s="195"/>
      <c r="D78" s="192"/>
      <c r="E78" s="190"/>
      <c r="F78" s="190"/>
      <c r="G78" s="190"/>
      <c r="H78" s="190"/>
      <c r="I78" s="190"/>
      <c r="J78" s="191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 spans="1:21" x14ac:dyDescent="0.45">
      <c r="A79" s="188" t="s">
        <v>148</v>
      </c>
      <c r="B79" s="189"/>
      <c r="C79" s="189"/>
      <c r="D79" s="192"/>
      <c r="E79" s="190"/>
      <c r="F79" s="190"/>
      <c r="G79" s="190"/>
      <c r="H79" s="190"/>
      <c r="I79" s="190"/>
      <c r="J79" s="191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spans="1:21" x14ac:dyDescent="0.45">
      <c r="A80" s="188" t="s">
        <v>149</v>
      </c>
      <c r="B80" s="189"/>
      <c r="C80" s="189"/>
      <c r="D80" s="190"/>
      <c r="E80" s="190"/>
      <c r="F80" s="190"/>
      <c r="G80" s="190"/>
      <c r="H80" s="190"/>
      <c r="I80" s="190"/>
      <c r="J80" s="191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 spans="1:21" x14ac:dyDescent="0.45">
      <c r="A81" s="188" t="s">
        <v>150</v>
      </c>
      <c r="B81" s="189"/>
      <c r="C81" s="189"/>
      <c r="D81" s="192"/>
      <c r="E81" s="192"/>
      <c r="F81" s="196"/>
      <c r="G81" s="190"/>
      <c r="H81" s="196"/>
      <c r="I81" s="190"/>
      <c r="J81" s="198"/>
      <c r="K81" s="91"/>
      <c r="L81" s="18"/>
      <c r="M81" s="91"/>
      <c r="N81" s="18"/>
      <c r="O81" s="18"/>
      <c r="P81" s="18"/>
      <c r="Q81" s="18"/>
      <c r="R81" s="18"/>
      <c r="S81" s="18"/>
      <c r="T81" s="18"/>
      <c r="U81" s="18"/>
    </row>
    <row r="82" spans="1:21" x14ac:dyDescent="0.45">
      <c r="A82" s="188" t="s">
        <v>151</v>
      </c>
      <c r="B82" s="189"/>
      <c r="C82" s="189"/>
      <c r="D82" s="190"/>
      <c r="E82" s="190"/>
      <c r="F82" s="196"/>
      <c r="G82" s="190"/>
      <c r="H82" s="196"/>
      <c r="I82" s="190"/>
      <c r="J82" s="198"/>
      <c r="K82" s="91"/>
      <c r="L82" s="18"/>
      <c r="M82" s="91"/>
      <c r="N82" s="18"/>
      <c r="O82" s="18"/>
      <c r="P82" s="18"/>
      <c r="Q82" s="18"/>
      <c r="R82" s="18"/>
      <c r="S82" s="18"/>
      <c r="T82" s="18"/>
      <c r="U82" s="18"/>
    </row>
    <row r="83" spans="1:21" x14ac:dyDescent="0.45">
      <c r="A83" s="188" t="s">
        <v>152</v>
      </c>
      <c r="B83" s="189"/>
      <c r="C83" s="189"/>
      <c r="D83" s="196"/>
      <c r="E83" s="190"/>
      <c r="F83" s="190"/>
      <c r="G83" s="190"/>
      <c r="H83" s="190"/>
      <c r="I83" s="190"/>
      <c r="J83" s="191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 spans="1:21" x14ac:dyDescent="0.45">
      <c r="A84" s="188" t="s">
        <v>153</v>
      </c>
      <c r="B84" s="189"/>
      <c r="C84" s="189"/>
      <c r="D84" s="196"/>
      <c r="E84" s="190"/>
      <c r="F84" s="190"/>
      <c r="G84" s="190"/>
      <c r="H84" s="190"/>
      <c r="I84" s="190"/>
      <c r="J84" s="191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 spans="1:21" x14ac:dyDescent="0.45">
      <c r="A85" s="188" t="s">
        <v>154</v>
      </c>
      <c r="B85" s="189"/>
      <c r="C85" s="189"/>
      <c r="D85" s="190"/>
      <c r="E85" s="190"/>
      <c r="F85" s="190"/>
      <c r="G85" s="190"/>
      <c r="H85" s="190"/>
      <c r="I85" s="190"/>
      <c r="J85" s="191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1:21" x14ac:dyDescent="0.45">
      <c r="A86" s="188" t="s">
        <v>155</v>
      </c>
      <c r="B86" s="189"/>
      <c r="C86" s="189"/>
      <c r="D86" s="190"/>
      <c r="E86" s="190"/>
      <c r="F86" s="190"/>
      <c r="G86" s="190"/>
      <c r="H86" s="190"/>
      <c r="I86" s="190"/>
      <c r="J86" s="191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45">
      <c r="A87" s="188" t="s">
        <v>156</v>
      </c>
      <c r="B87" s="189"/>
      <c r="C87" s="193"/>
      <c r="D87" s="192"/>
      <c r="E87" s="192"/>
      <c r="F87" s="190"/>
      <c r="G87" s="190"/>
      <c r="H87" s="190"/>
      <c r="I87" s="190"/>
      <c r="J87" s="191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 spans="1:21" x14ac:dyDescent="0.45">
      <c r="A88" s="188" t="s">
        <v>157</v>
      </c>
      <c r="B88" s="189"/>
      <c r="C88" s="193"/>
      <c r="D88" s="190"/>
      <c r="E88" s="190"/>
      <c r="F88" s="190"/>
      <c r="G88" s="190"/>
      <c r="H88" s="190"/>
      <c r="I88" s="190"/>
      <c r="J88" s="191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45">
      <c r="A89" s="188" t="s">
        <v>158</v>
      </c>
      <c r="B89" s="189"/>
      <c r="C89" s="193"/>
      <c r="D89" s="190"/>
      <c r="E89" s="190"/>
      <c r="F89" s="190"/>
      <c r="G89" s="190"/>
      <c r="H89" s="190"/>
      <c r="I89" s="190"/>
      <c r="J89" s="191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 spans="1:21" x14ac:dyDescent="0.45">
      <c r="A90" s="188" t="s">
        <v>159</v>
      </c>
      <c r="B90" s="189"/>
      <c r="C90" s="189"/>
      <c r="D90" s="190"/>
      <c r="E90" s="190"/>
      <c r="F90" s="190"/>
      <c r="G90" s="190"/>
      <c r="H90" s="190"/>
      <c r="I90" s="192"/>
      <c r="J90" s="199"/>
    </row>
    <row r="91" spans="1:21" x14ac:dyDescent="0.45">
      <c r="A91" s="188" t="s">
        <v>160</v>
      </c>
      <c r="B91" s="189"/>
      <c r="C91" s="193"/>
      <c r="D91" s="192"/>
      <c r="E91" s="192"/>
      <c r="F91" s="192"/>
      <c r="G91" s="192"/>
      <c r="H91" s="192"/>
      <c r="I91" s="192"/>
      <c r="J91" s="199"/>
    </row>
    <row r="92" spans="1:21" x14ac:dyDescent="0.45">
      <c r="A92" s="188" t="s">
        <v>161</v>
      </c>
      <c r="B92" s="189"/>
      <c r="C92" s="189"/>
      <c r="D92" s="190"/>
      <c r="E92" s="190"/>
      <c r="F92" s="190"/>
      <c r="G92" s="190"/>
      <c r="H92" s="190"/>
      <c r="I92" s="190"/>
      <c r="J92" s="191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ht="14.65" thickBot="1" x14ac:dyDescent="0.5">
      <c r="A93" s="200"/>
      <c r="B93" s="201"/>
      <c r="C93" s="202"/>
      <c r="D93" s="203"/>
      <c r="E93" s="203"/>
      <c r="F93" s="203"/>
      <c r="G93" s="203"/>
      <c r="H93" s="203"/>
      <c r="I93" s="203"/>
      <c r="J93" s="20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 spans="1:21" x14ac:dyDescent="0.45">
      <c r="C94" s="17"/>
      <c r="D94" s="18"/>
      <c r="E94" s="18"/>
      <c r="F94" s="18"/>
      <c r="G94" s="18"/>
      <c r="H94" s="18"/>
    </row>
    <row r="96" spans="1:21" x14ac:dyDescent="0.45">
      <c r="C96" s="17"/>
      <c r="D96" s="18"/>
      <c r="E96" s="18"/>
      <c r="F96" s="18"/>
      <c r="G96" s="18"/>
      <c r="H96" s="18"/>
    </row>
    <row r="97" spans="4:8" x14ac:dyDescent="0.45">
      <c r="D97" s="18"/>
      <c r="E97" s="18"/>
      <c r="F97" s="18"/>
      <c r="G97" s="18"/>
      <c r="H97" s="18"/>
    </row>
  </sheetData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carne H (nacimiento a 90 días)</vt:lpstr>
      <vt:lpstr>carne M (nacimiento a 90 días)</vt:lpstr>
      <vt:lpstr>carne H (90 días a 18 meses)</vt:lpstr>
      <vt:lpstr>carne M (90 días a 18 meses)</vt:lpstr>
      <vt:lpstr>tambo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Gonzalo Guzman</cp:lastModifiedBy>
  <cp:revision/>
  <dcterms:created xsi:type="dcterms:W3CDTF">2013-12-19T21:04:31Z</dcterms:created>
  <dcterms:modified xsi:type="dcterms:W3CDTF">2025-09-19T14:09:48Z</dcterms:modified>
  <cp:category/>
  <cp:contentStatus/>
</cp:coreProperties>
</file>