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tables/table17.xml" ContentType="application/vnd.openxmlformats-officedocument.spreadsheetml.table+xml"/>
  <Override PartName="/xl/queryTables/queryTable8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52a9423f793db70/Documentos/Personal/"/>
    </mc:Choice>
  </mc:AlternateContent>
  <xr:revisionPtr revIDLastSave="54" documentId="13_ncr:1_{7C0B8078-726B-4B08-8CAD-9F7245F0D2A9}" xr6:coauthVersionLast="47" xr6:coauthVersionMax="47" xr10:uidLastSave="{82447288-3099-42F4-BCD4-171DA95E6ED8}"/>
  <bookViews>
    <workbookView xWindow="-120" yWindow="-120" windowWidth="29040" windowHeight="15720" tabRatio="776" activeTab="11" xr2:uid="{C00DC7D7-82B6-41FF-BDDB-24CCE862120E}"/>
  </bookViews>
  <sheets>
    <sheet name="Principal" sheetId="28" r:id="rId1"/>
    <sheet name="Ahorros" sheetId="1" r:id="rId2"/>
    <sheet name="Balance mensual" sheetId="17" r:id="rId3"/>
    <sheet name="Gastos personales" sheetId="29" r:id="rId4"/>
    <sheet name="Gastos compartidos" sheetId="15" r:id="rId5"/>
    <sheet name="Sueldos" sheetId="20" r:id="rId6"/>
    <sheet name="Cedears" sheetId="57" state="hidden" r:id="rId7"/>
    <sheet name="Acciones" sheetId="53" state="hidden" r:id="rId8"/>
    <sheet name="Precios" sheetId="25" r:id="rId9"/>
    <sheet name="Portafolio" sheetId="32" r:id="rId10"/>
    <sheet name="Tenis" sheetId="18" r:id="rId11"/>
    <sheet name="Alfajores" sheetId="58" r:id="rId12"/>
    <sheet name="Relojes" sheetId="59" r:id="rId13"/>
    <sheet name="Bonos" sheetId="48" state="hidden" r:id="rId14"/>
    <sheet name="Dolar" sheetId="22" state="hidden" r:id="rId15"/>
    <sheet name="Crypto" sheetId="23" state="hidden" r:id="rId16"/>
  </sheets>
  <definedNames>
    <definedName name="_xlnm._FilterDatabase" localSheetId="11" hidden="1">Alfajores!$B$4:$K$4</definedName>
    <definedName name="_xlnm._FilterDatabase" localSheetId="8" hidden="1">Precios!$B$3:$D$3</definedName>
    <definedName name="_xlnm._FilterDatabase" localSheetId="12" hidden="1">Relojes!$B$4:$E$4</definedName>
    <definedName name="DatosExternos_1" localSheetId="7" hidden="1">Acciones!$A$1:$B$43</definedName>
    <definedName name="DatosExternos_1" localSheetId="13" hidden="1">Bonos!$A$1:$B$2</definedName>
    <definedName name="DatosExternos_1" localSheetId="15" hidden="1">Crypto!$A$1:$B$6</definedName>
    <definedName name="DatosExternos_1" localSheetId="14" hidden="1">Dolar!$A$1:$F$9</definedName>
    <definedName name="DatosExternos_2" localSheetId="7" hidden="1">Acciones!$A$50:$B$96</definedName>
    <definedName name="DatosExternos_2" localSheetId="15" hidden="1">Crypto!$C$1:$D$6</definedName>
    <definedName name="DatosExternos_3" localSheetId="6" hidden="1">'Cedears'!$A$1:$B$426</definedName>
    <definedName name="DatosExternos_3" localSheetId="15" hidden="1">Crypto!$E$1:$F$6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58" l="1"/>
  <c r="K8" i="58"/>
  <c r="J15" i="58"/>
  <c r="K15" i="58" s="1"/>
  <c r="J14" i="58"/>
  <c r="K14" i="58" s="1"/>
  <c r="J13" i="58"/>
  <c r="K13" i="58" s="1"/>
  <c r="J4" i="18"/>
  <c r="P4" i="18" s="1"/>
  <c r="F46" i="17"/>
  <c r="D46" i="17"/>
  <c r="F52" i="1"/>
  <c r="E52" i="1"/>
  <c r="I52" i="1" s="1"/>
  <c r="F50" i="1"/>
  <c r="E50" i="1"/>
  <c r="I50" i="1" s="1"/>
  <c r="K50" i="1" s="1"/>
  <c r="F49" i="1"/>
  <c r="E49" i="1"/>
  <c r="I49" i="1" s="1"/>
  <c r="K49" i="1" s="1"/>
  <c r="F20" i="17"/>
  <c r="D6" i="15"/>
  <c r="C27" i="29"/>
  <c r="F47" i="17"/>
  <c r="D47" i="17"/>
  <c r="I7" i="15"/>
  <c r="E6" i="15"/>
  <c r="F48" i="17"/>
  <c r="D48" i="17"/>
  <c r="F51" i="1"/>
  <c r="E51" i="1"/>
  <c r="I51" i="1" s="1"/>
  <c r="K51" i="1" s="1"/>
  <c r="F49" i="17"/>
  <c r="D49" i="17"/>
  <c r="G20" i="20"/>
  <c r="E20" i="20"/>
  <c r="H20" i="20" s="1"/>
  <c r="D20" i="20"/>
  <c r="D12" i="15"/>
  <c r="H8" i="15" s="1"/>
  <c r="E12" i="15"/>
  <c r="F55" i="1"/>
  <c r="E55" i="1"/>
  <c r="I55" i="1" s="1"/>
  <c r="G21" i="20"/>
  <c r="F50" i="17"/>
  <c r="D50" i="17"/>
  <c r="F53" i="1"/>
  <c r="E53" i="1"/>
  <c r="I53" i="1" s="1"/>
  <c r="K53" i="1" s="1"/>
  <c r="K4" i="18"/>
  <c r="E21" i="20"/>
  <c r="D21" i="20"/>
  <c r="F54" i="1"/>
  <c r="E54" i="1"/>
  <c r="I54" i="1" s="1"/>
  <c r="F56" i="1"/>
  <c r="E56" i="1"/>
  <c r="I56" i="1" s="1"/>
  <c r="F51" i="17"/>
  <c r="D51" i="17"/>
  <c r="J12" i="58"/>
  <c r="K12" i="58" s="1"/>
  <c r="J11" i="58"/>
  <c r="K11" i="58" s="1"/>
  <c r="J17" i="58"/>
  <c r="K17" i="58" s="1"/>
  <c r="E22" i="20"/>
  <c r="D22" i="20"/>
  <c r="G22" i="20"/>
  <c r="J5" i="58"/>
  <c r="K5" i="58" s="1"/>
  <c r="J6" i="58"/>
  <c r="K6" i="58" s="1"/>
  <c r="J7" i="58"/>
  <c r="K7" i="58" s="1"/>
  <c r="J9" i="58"/>
  <c r="K9" i="58" s="1"/>
  <c r="J16" i="58"/>
  <c r="K16" i="58" s="1"/>
  <c r="F52" i="17"/>
  <c r="D52" i="17"/>
  <c r="E23" i="20"/>
  <c r="D23" i="20"/>
  <c r="F23" i="20"/>
  <c r="G23" i="20"/>
  <c r="F53" i="17"/>
  <c r="D53" i="17"/>
  <c r="E25" i="20"/>
  <c r="G24" i="20"/>
  <c r="D24" i="20"/>
  <c r="E24" i="20"/>
  <c r="G25" i="20"/>
  <c r="D25" i="20"/>
  <c r="G7" i="29"/>
  <c r="F54" i="17"/>
  <c r="D54" i="17"/>
  <c r="F57" i="1"/>
  <c r="E57" i="1"/>
  <c r="I57" i="1" s="1"/>
  <c r="K57" i="1" s="1"/>
  <c r="C11" i="29"/>
  <c r="C10" i="29"/>
  <c r="F8" i="29"/>
  <c r="F9" i="29"/>
  <c r="F6" i="29"/>
  <c r="H6" i="15"/>
  <c r="F55" i="17"/>
  <c r="D55" i="17"/>
  <c r="F58" i="1"/>
  <c r="E58" i="1"/>
  <c r="I58" i="1" s="1"/>
  <c r="K58" i="1" s="1"/>
  <c r="D26" i="20"/>
  <c r="G26" i="20"/>
  <c r="E26" i="20"/>
  <c r="K7" i="25"/>
  <c r="I7" i="32" s="1"/>
  <c r="K8" i="25"/>
  <c r="I8" i="32" s="1"/>
  <c r="K9" i="25"/>
  <c r="I9" i="32" s="1"/>
  <c r="K10" i="25"/>
  <c r="I10" i="32" s="1"/>
  <c r="K11" i="25"/>
  <c r="I11" i="32" s="1"/>
  <c r="K12" i="25"/>
  <c r="I12" i="32" s="1"/>
  <c r="K5" i="25"/>
  <c r="I5" i="32" s="1"/>
  <c r="F56" i="17"/>
  <c r="D56" i="17"/>
  <c r="F19" i="17"/>
  <c r="F59" i="1"/>
  <c r="E59" i="1"/>
  <c r="I59" i="1" s="1"/>
  <c r="G27" i="20"/>
  <c r="E27" i="20"/>
  <c r="D27" i="20"/>
  <c r="F57" i="17"/>
  <c r="D57" i="17"/>
  <c r="F60" i="1"/>
  <c r="E60" i="1"/>
  <c r="I60" i="1" s="1"/>
  <c r="K60" i="1" s="1"/>
  <c r="G28" i="20"/>
  <c r="E28" i="20"/>
  <c r="D28" i="20"/>
  <c r="F58" i="17"/>
  <c r="D58" i="17"/>
  <c r="F61" i="1"/>
  <c r="E61" i="1"/>
  <c r="I61" i="1" s="1"/>
  <c r="K61" i="1" s="1"/>
  <c r="K6" i="25"/>
  <c r="I6" i="32" s="1"/>
  <c r="K13" i="25"/>
  <c r="I13" i="32" s="1"/>
  <c r="K14" i="25"/>
  <c r="I14" i="32" s="1"/>
  <c r="K4" i="25"/>
  <c r="I4" i="32" s="1"/>
  <c r="G5" i="25"/>
  <c r="D5" i="32" s="1"/>
  <c r="G6" i="25"/>
  <c r="D6" i="32" s="1"/>
  <c r="G7" i="25"/>
  <c r="D7" i="32" s="1"/>
  <c r="G8" i="25"/>
  <c r="D8" i="32" s="1"/>
  <c r="G9" i="25"/>
  <c r="D9" i="32" s="1"/>
  <c r="G10" i="25"/>
  <c r="D10" i="32" s="1"/>
  <c r="G11" i="25"/>
  <c r="D11" i="32" s="1"/>
  <c r="G12" i="25"/>
  <c r="D12" i="32" s="1"/>
  <c r="G13" i="25"/>
  <c r="D13" i="32" s="1"/>
  <c r="G14" i="25"/>
  <c r="D14" i="32" s="1"/>
  <c r="G4" i="25"/>
  <c r="D4" i="32" s="1"/>
  <c r="G29" i="20"/>
  <c r="E29" i="20"/>
  <c r="D29" i="20"/>
  <c r="F62" i="1"/>
  <c r="E62" i="1"/>
  <c r="I62" i="1" s="1"/>
  <c r="K62" i="1" s="1"/>
  <c r="F59" i="17"/>
  <c r="D59" i="17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E30" i="20"/>
  <c r="D30" i="20"/>
  <c r="F63" i="1"/>
  <c r="E63" i="1"/>
  <c r="I63" i="1" s="1"/>
  <c r="K63" i="1" s="1"/>
  <c r="F60" i="17"/>
  <c r="D60" i="17"/>
  <c r="C8" i="25"/>
  <c r="E31" i="20"/>
  <c r="D31" i="20"/>
  <c r="F64" i="1"/>
  <c r="E64" i="1"/>
  <c r="I64" i="1" s="1"/>
  <c r="K64" i="1" s="1"/>
  <c r="F61" i="17"/>
  <c r="D61" i="17"/>
  <c r="D33" i="20"/>
  <c r="E32" i="20"/>
  <c r="D32" i="20"/>
  <c r="F65" i="1"/>
  <c r="E65" i="1"/>
  <c r="I65" i="1" s="1"/>
  <c r="K65" i="1" s="1"/>
  <c r="D5" i="1"/>
  <c r="F62" i="17"/>
  <c r="D62" i="17"/>
  <c r="E33" i="20"/>
  <c r="F33" i="20" s="1"/>
  <c r="F63" i="17"/>
  <c r="D63" i="17"/>
  <c r="F66" i="1"/>
  <c r="E66" i="1"/>
  <c r="I66" i="1" s="1"/>
  <c r="K66" i="1" s="1"/>
  <c r="S4" i="25" a="1"/>
  <c r="S4" i="25" s="1"/>
  <c r="N4" i="32" s="1"/>
  <c r="E34" i="20"/>
  <c r="F34" i="20" s="1"/>
  <c r="D34" i="20"/>
  <c r="F67" i="1"/>
  <c r="E67" i="1"/>
  <c r="I67" i="1" s="1"/>
  <c r="K67" i="1" s="1"/>
  <c r="F64" i="17"/>
  <c r="D64" i="17"/>
  <c r="E35" i="20"/>
  <c r="D35" i="20"/>
  <c r="F68" i="1"/>
  <c r="E68" i="1"/>
  <c r="I68" i="1" s="1"/>
  <c r="K68" i="1" s="1"/>
  <c r="F65" i="17"/>
  <c r="D65" i="17"/>
  <c r="E36" i="20"/>
  <c r="D36" i="20"/>
  <c r="F66" i="17"/>
  <c r="D66" i="17"/>
  <c r="F69" i="1"/>
  <c r="E69" i="1"/>
  <c r="I69" i="1" s="1"/>
  <c r="K69" i="1" s="1"/>
  <c r="K52" i="1" l="1"/>
  <c r="J51" i="1"/>
  <c r="J49" i="1"/>
  <c r="F20" i="20"/>
  <c r="F21" i="20"/>
  <c r="H22" i="20"/>
  <c r="H21" i="20"/>
  <c r="H23" i="20"/>
  <c r="H24" i="20"/>
  <c r="K55" i="1"/>
  <c r="J53" i="1"/>
  <c r="F22" i="20"/>
  <c r="K54" i="1"/>
  <c r="K56" i="1"/>
  <c r="H25" i="20"/>
  <c r="F24" i="20"/>
  <c r="F25" i="20"/>
  <c r="H27" i="20"/>
  <c r="J57" i="1"/>
  <c r="H26" i="20"/>
  <c r="H28" i="20"/>
  <c r="D7" i="17"/>
  <c r="J58" i="1"/>
  <c r="C8" i="15"/>
  <c r="J59" i="1"/>
  <c r="F26" i="20"/>
  <c r="J60" i="1"/>
  <c r="F27" i="20"/>
  <c r="H31" i="20"/>
  <c r="H35" i="20"/>
  <c r="H29" i="20"/>
  <c r="I32" i="32"/>
  <c r="F9" i="1" s="1"/>
  <c r="F28" i="20"/>
  <c r="H32" i="20"/>
  <c r="J61" i="1"/>
  <c r="F29" i="20"/>
  <c r="H30" i="20"/>
  <c r="H34" i="20"/>
  <c r="H33" i="20"/>
  <c r="J62" i="1"/>
  <c r="F30" i="20"/>
  <c r="J63" i="1"/>
  <c r="D32" i="32"/>
  <c r="F31" i="20"/>
  <c r="F32" i="20"/>
  <c r="F35" i="20"/>
  <c r="F36" i="20"/>
  <c r="E37" i="20"/>
  <c r="D37" i="20"/>
  <c r="F70" i="1"/>
  <c r="E70" i="1"/>
  <c r="I70" i="1" s="1"/>
  <c r="K70" i="1" s="1"/>
  <c r="F67" i="17"/>
  <c r="D67" i="17"/>
  <c r="O4" i="25"/>
  <c r="P4" i="25"/>
  <c r="F37" i="20" l="1"/>
  <c r="H36" i="20"/>
  <c r="N32" i="32"/>
  <c r="F10" i="1" s="1"/>
  <c r="E38" i="20"/>
  <c r="D38" i="20"/>
  <c r="F71" i="1"/>
  <c r="E71" i="1"/>
  <c r="I71" i="1" s="1"/>
  <c r="K71" i="1" s="1"/>
  <c r="F68" i="17"/>
  <c r="D68" i="17"/>
  <c r="H37" i="20" l="1"/>
  <c r="F38" i="20"/>
  <c r="E39" i="20"/>
  <c r="E40" i="20"/>
  <c r="F5" i="1"/>
  <c r="D39" i="20"/>
  <c r="F69" i="17"/>
  <c r="D69" i="17"/>
  <c r="F72" i="1"/>
  <c r="E72" i="1"/>
  <c r="I72" i="1" s="1"/>
  <c r="K72" i="1" s="1"/>
  <c r="D70" i="17"/>
  <c r="D71" i="17"/>
  <c r="D73" i="17"/>
  <c r="D72" i="17"/>
  <c r="D40" i="20"/>
  <c r="F7" i="17"/>
  <c r="F73" i="1"/>
  <c r="E73" i="1"/>
  <c r="I73" i="1" s="1"/>
  <c r="K73" i="1" s="1"/>
  <c r="F70" i="17"/>
  <c r="C13" i="15"/>
  <c r="H9" i="15" s="1"/>
  <c r="D41" i="20"/>
  <c r="E41" i="20"/>
  <c r="F71" i="17"/>
  <c r="F74" i="1"/>
  <c r="E74" i="1"/>
  <c r="I74" i="1" s="1"/>
  <c r="K74" i="1" s="1"/>
  <c r="E81" i="1"/>
  <c r="E42" i="20"/>
  <c r="D42" i="20"/>
  <c r="F72" i="17"/>
  <c r="F75" i="1"/>
  <c r="E75" i="1"/>
  <c r="I75" i="1" s="1"/>
  <c r="K75" i="1" s="1"/>
  <c r="C4" i="25"/>
  <c r="F7" i="29" s="1"/>
  <c r="C5" i="25"/>
  <c r="C6" i="25"/>
  <c r="J54" i="1" s="1"/>
  <c r="C7" i="25"/>
  <c r="J50" i="1" s="1"/>
  <c r="C9" i="25"/>
  <c r="J52" i="1" s="1"/>
  <c r="E43" i="20"/>
  <c r="D43" i="20"/>
  <c r="E44" i="20"/>
  <c r="E46" i="20"/>
  <c r="H46" i="20" s="1"/>
  <c r="E45" i="20"/>
  <c r="F76" i="1"/>
  <c r="E76" i="1"/>
  <c r="I76" i="1" s="1"/>
  <c r="K76" i="1" s="1"/>
  <c r="F73" i="17"/>
  <c r="F8" i="23"/>
  <c r="E66" i="20"/>
  <c r="D44" i="20"/>
  <c r="F77" i="1"/>
  <c r="E77" i="1"/>
  <c r="I77" i="1" s="1"/>
  <c r="F74" i="17"/>
  <c r="E79" i="1"/>
  <c r="D8" i="23"/>
  <c r="M4" i="18"/>
  <c r="F27" i="1"/>
  <c r="G25" i="1"/>
  <c r="D6" i="1"/>
  <c r="F6" i="1" s="1"/>
  <c r="B8" i="23"/>
  <c r="D45" i="20"/>
  <c r="J7" i="1"/>
  <c r="J9" i="1" s="1"/>
  <c r="F78" i="1"/>
  <c r="E78" i="1"/>
  <c r="F75" i="17"/>
  <c r="L4" i="18"/>
  <c r="O4" i="18" s="1"/>
  <c r="E65" i="20"/>
  <c r="E64" i="20"/>
  <c r="E63" i="20"/>
  <c r="E62" i="20"/>
  <c r="E61" i="20"/>
  <c r="E60" i="20"/>
  <c r="E59" i="20"/>
  <c r="E58" i="20"/>
  <c r="E57" i="20"/>
  <c r="E56" i="20"/>
  <c r="E55" i="20"/>
  <c r="E54" i="20"/>
  <c r="E51" i="20"/>
  <c r="E52" i="20"/>
  <c r="E53" i="20"/>
  <c r="E50" i="20"/>
  <c r="E49" i="20"/>
  <c r="E48" i="20"/>
  <c r="E47" i="20"/>
  <c r="D47" i="20"/>
  <c r="F47" i="20" s="1"/>
  <c r="D48" i="20"/>
  <c r="F48" i="20" s="1"/>
  <c r="D49" i="20"/>
  <c r="F49" i="20" s="1"/>
  <c r="D50" i="20"/>
  <c r="F50" i="20" s="1"/>
  <c r="D51" i="20"/>
  <c r="F51" i="20" s="1"/>
  <c r="D52" i="20"/>
  <c r="F52" i="20" s="1"/>
  <c r="D53" i="20"/>
  <c r="F53" i="20" s="1"/>
  <c r="D54" i="20"/>
  <c r="F54" i="20" s="1"/>
  <c r="D55" i="20"/>
  <c r="F55" i="20" s="1"/>
  <c r="D56" i="20"/>
  <c r="F56" i="20" s="1"/>
  <c r="D57" i="20"/>
  <c r="F57" i="20" s="1"/>
  <c r="D58" i="20"/>
  <c r="F58" i="20" s="1"/>
  <c r="D59" i="20"/>
  <c r="F59" i="20" s="1"/>
  <c r="D60" i="20"/>
  <c r="F60" i="20" s="1"/>
  <c r="D61" i="20"/>
  <c r="F61" i="20" s="1"/>
  <c r="D62" i="20"/>
  <c r="F62" i="20" s="1"/>
  <c r="D63" i="20"/>
  <c r="F63" i="20" s="1"/>
  <c r="D64" i="20"/>
  <c r="F64" i="20" s="1"/>
  <c r="D65" i="20"/>
  <c r="F65" i="20" s="1"/>
  <c r="D66" i="20"/>
  <c r="F66" i="20" s="1"/>
  <c r="D46" i="20"/>
  <c r="F46" i="20" s="1"/>
  <c r="F79" i="1"/>
  <c r="F76" i="17"/>
  <c r="F80" i="1"/>
  <c r="E80" i="1"/>
  <c r="F77" i="17"/>
  <c r="D25" i="17"/>
  <c r="F81" i="1"/>
  <c r="F79" i="17"/>
  <c r="F78" i="17"/>
  <c r="H49" i="20" l="1"/>
  <c r="H62" i="20"/>
  <c r="D7" i="15"/>
  <c r="F10" i="29"/>
  <c r="H58" i="20"/>
  <c r="H47" i="20"/>
  <c r="H63" i="20"/>
  <c r="H64" i="20"/>
  <c r="J56" i="1"/>
  <c r="J55" i="1"/>
  <c r="H65" i="20"/>
  <c r="H59" i="20"/>
  <c r="H55" i="20"/>
  <c r="H48" i="20"/>
  <c r="H50" i="20"/>
  <c r="D5" i="17"/>
  <c r="H45" i="20"/>
  <c r="H57" i="20"/>
  <c r="H53" i="20"/>
  <c r="H60" i="20"/>
  <c r="H41" i="20"/>
  <c r="H54" i="20"/>
  <c r="H61" i="20"/>
  <c r="H44" i="20"/>
  <c r="H43" i="20"/>
  <c r="H52" i="20"/>
  <c r="H40" i="20"/>
  <c r="H51" i="20"/>
  <c r="F39" i="20"/>
  <c r="H39" i="20"/>
  <c r="H42" i="20"/>
  <c r="H56" i="20"/>
  <c r="H38" i="20"/>
  <c r="L14" i="25"/>
  <c r="J14" i="32" s="1"/>
  <c r="L8" i="25"/>
  <c r="J8" i="32" s="1"/>
  <c r="L13" i="25"/>
  <c r="J13" i="32" s="1"/>
  <c r="H10" i="25"/>
  <c r="E10" i="32" s="1"/>
  <c r="L5" i="25"/>
  <c r="J5" i="32" s="1"/>
  <c r="L12" i="25"/>
  <c r="J12" i="32" s="1"/>
  <c r="H14" i="25"/>
  <c r="E14" i="32" s="1"/>
  <c r="H6" i="25"/>
  <c r="E6" i="32" s="1"/>
  <c r="H4" i="25"/>
  <c r="E4" i="32" s="1"/>
  <c r="L11" i="25"/>
  <c r="J11" i="32" s="1"/>
  <c r="H13" i="25"/>
  <c r="E13" i="32" s="1"/>
  <c r="H11" i="25"/>
  <c r="E11" i="32" s="1"/>
  <c r="H9" i="25"/>
  <c r="E9" i="32" s="1"/>
  <c r="L10" i="25"/>
  <c r="J10" i="32" s="1"/>
  <c r="H12" i="25"/>
  <c r="E12" i="32" s="1"/>
  <c r="L7" i="25"/>
  <c r="J7" i="32" s="1"/>
  <c r="H8" i="25"/>
  <c r="E8" i="32" s="1"/>
  <c r="L4" i="25"/>
  <c r="J4" i="32" s="1"/>
  <c r="H5" i="25"/>
  <c r="E5" i="32" s="1"/>
  <c r="L9" i="25"/>
  <c r="J9" i="32" s="1"/>
  <c r="H7" i="25"/>
  <c r="E7" i="32" s="1"/>
  <c r="L6" i="25"/>
  <c r="J6" i="32" s="1"/>
  <c r="J64" i="1"/>
  <c r="J65" i="1"/>
  <c r="J66" i="1"/>
  <c r="J67" i="1"/>
  <c r="J68" i="1"/>
  <c r="J69" i="1"/>
  <c r="J70" i="1"/>
  <c r="D25" i="1"/>
  <c r="F25" i="1" s="1"/>
  <c r="T4" i="25"/>
  <c r="O4" i="32" s="1"/>
  <c r="F40" i="20"/>
  <c r="J71" i="1"/>
  <c r="E27" i="1"/>
  <c r="E5" i="1"/>
  <c r="G5" i="1" s="1"/>
  <c r="J72" i="1"/>
  <c r="J73" i="1"/>
  <c r="E13" i="15"/>
  <c r="F41" i="20"/>
  <c r="J74" i="1"/>
  <c r="F42" i="20"/>
  <c r="J75" i="1"/>
  <c r="F8" i="1"/>
  <c r="F43" i="20"/>
  <c r="J76" i="1"/>
  <c r="F44" i="20"/>
  <c r="J77" i="1"/>
  <c r="K77" i="1"/>
  <c r="D13" i="15"/>
  <c r="F45" i="20"/>
  <c r="F25" i="17"/>
  <c r="F26" i="17" s="1"/>
  <c r="J5" i="1"/>
  <c r="D8" i="15" l="1"/>
  <c r="D6" i="17" s="1"/>
  <c r="F6" i="17" s="1"/>
  <c r="H7" i="15"/>
  <c r="F28" i="1"/>
  <c r="O32" i="32"/>
  <c r="G10" i="1" s="1"/>
  <c r="C43" i="1"/>
  <c r="G43" i="1"/>
  <c r="J32" i="32"/>
  <c r="G9" i="1" s="1"/>
  <c r="J6" i="1"/>
  <c r="D4" i="17"/>
  <c r="F5" i="17"/>
  <c r="D14" i="17" l="1"/>
  <c r="E32" i="32"/>
  <c r="G8" i="1" s="1"/>
  <c r="H42" i="1"/>
  <c r="E43" i="1"/>
  <c r="D42" i="1"/>
  <c r="F4" i="17"/>
  <c r="G6" i="1"/>
  <c r="G27" i="1"/>
  <c r="J4" i="1"/>
  <c r="J8" i="1" s="1"/>
  <c r="G28" i="1" l="1"/>
  <c r="D13" i="17" l="1"/>
  <c r="F13" i="17" s="1"/>
  <c r="F15" i="17" l="1"/>
  <c r="H10" i="15"/>
  <c r="E8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038D83-F7F0-4CF5-A6A8-CA16F8278056}" keepAlive="1" name="Consulta - Acciones General" description="Conexión a la consulta 'Acciones General' en el libro." type="5" refreshedVersion="8" background="1" saveData="1">
    <dbPr connection="Provider=Microsoft.Mashup.OleDb.1;Data Source=$Workbook$;Location=&quot;Acciones General&quot;;Extended Properties=&quot;&quot;" command="SELECT * FROM [Acciones General]"/>
  </connection>
  <connection id="2" xr16:uid="{B9060E8C-2D7A-4793-A9F2-25278BA2B070}" keepAlive="1" name="Consulta - Acciones Lider" description="Conexión a la consulta 'Acciones Lider' en el libro." type="5" refreshedVersion="8" background="1" saveData="1">
    <dbPr connection="Provider=Microsoft.Mashup.OleDb.1;Data Source=$Workbook$;Location=&quot;Acciones Lider&quot;;Extended Properties=&quot;&quot;" command="SELECT * FROM [Acciones Lider]"/>
  </connection>
  <connection id="3" xr16:uid="{0692261F-96EA-433A-9540-6C437FA105CA}" keepAlive="1" name="Consulta - Bonos" description="Conexión a la consulta 'Bonos' en el libro." type="5" refreshedVersion="8" background="1" saveData="1">
    <dbPr connection="Provider=Microsoft.Mashup.OleDb.1;Data Source=$Workbook$;Location=Bonos;Extended Properties=&quot;&quot;" command="SELECT * FROM [Bonos]"/>
  </connection>
  <connection id="4" xr16:uid="{771B0019-A800-467B-8188-96BF9109FE02}" keepAlive="1" name="Consulta - BTCars" description="Conexión a la consulta 'BTCars' en el libro." type="5" refreshedVersion="8" background="1" saveData="1">
    <dbPr connection="Provider=Microsoft.Mashup.OleDb.1;Data Source=$Workbook$;Location=BTCars;Extended Properties=&quot;&quot;" command="SELECT * FROM [BTCars]"/>
  </connection>
  <connection id="5" xr16:uid="{F1A05350-7DC4-4B2B-8A1D-730C0D98971C}" keepAlive="1" name="Consulta - BTCusd" description="Conexión a la consulta 'BTCusd' en el libro." type="5" refreshedVersion="8" background="1" saveData="1">
    <dbPr connection="Provider=Microsoft.Mashup.OleDb.1;Data Source=$Workbook$;Location=BTCusd;Extended Properties=&quot;&quot;" command="SELECT * FROM [BTCusd]"/>
  </connection>
  <connection id="6" xr16:uid="{531B3EAA-1D06-462F-A7FF-71FF9455DDB9}" keepAlive="1" name="Consulta - Cedears" description="Conexión a la consulta 'Cedears' en el libro." type="5" refreshedVersion="8" background="1" saveData="1">
    <dbPr connection="Provider=Microsoft.Mashup.OleDb.1;Data Source=$Workbook$;Location=Cedears;Extended Properties=&quot;&quot;" command="SELECT * FROM [Cedears]"/>
  </connection>
  <connection id="7" xr16:uid="{9E4D3DCE-1BF2-4584-839A-F5BADD57BB55}" keepAlive="1" name="Consulta - USD" description="Conexión a la consulta 'USD' en el libro." type="5" refreshedVersion="8" background="1" saveData="1">
    <dbPr connection="Provider=Microsoft.Mashup.OleDb.1;Data Source=$Workbook$;Location=USD;Extended Properties=&quot;&quot;" command="SELECT * FROM [USD]"/>
  </connection>
  <connection id="8" xr16:uid="{30DAFC35-E47F-4585-8687-497FD731F838}" keepAlive="1" name="Consulta - USDC" description="Conexión a la consulta 'USDC' en el libro." type="5" refreshedVersion="8" background="1" saveData="1">
    <dbPr connection="Provider=Microsoft.Mashup.OleDb.1;Data Source=$Workbook$;Location=USDC;Extended Properties=&quot;&quot;" command="SELECT * FROM [USD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</futureMetadata>
  <cellMetadata count="1">
    <bk>
      <rc t="1" v="0"/>
    </bk>
  </cellMetadata>
  <valueMetadata count="19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</valueMetadata>
</metadata>
</file>

<file path=xl/sharedStrings.xml><?xml version="1.0" encoding="utf-8"?>
<sst xmlns="http://schemas.openxmlformats.org/spreadsheetml/2006/main" count="1689" uniqueCount="1314">
  <si>
    <t>Moneda</t>
  </si>
  <si>
    <t>Monto</t>
  </si>
  <si>
    <t>XX/ARS</t>
  </si>
  <si>
    <t>Total ARS</t>
  </si>
  <si>
    <t>Total USD</t>
  </si>
  <si>
    <t>Total</t>
  </si>
  <si>
    <t>Name</t>
  </si>
  <si>
    <t>Value</t>
  </si>
  <si>
    <t>ask</t>
  </si>
  <si>
    <t>totalAsk</t>
  </si>
  <si>
    <t>bid</t>
  </si>
  <si>
    <t>totalBid</t>
  </si>
  <si>
    <t>time</t>
  </si>
  <si>
    <t>AHORROS</t>
  </si>
  <si>
    <t>Pesos</t>
  </si>
  <si>
    <t>RESUMEN</t>
  </si>
  <si>
    <t>Concepto</t>
  </si>
  <si>
    <t>ARS</t>
  </si>
  <si>
    <t>INGRESOS</t>
  </si>
  <si>
    <t>Sueldo</t>
  </si>
  <si>
    <t>BTC</t>
  </si>
  <si>
    <t>Mes</t>
  </si>
  <si>
    <t>Gastos</t>
  </si>
  <si>
    <t>Ingresos</t>
  </si>
  <si>
    <t>Diferencia</t>
  </si>
  <si>
    <t>Ahorros ARS</t>
  </si>
  <si>
    <t>Ahorros USD</t>
  </si>
  <si>
    <t>Otros</t>
  </si>
  <si>
    <t>GASTOS FIJOS</t>
  </si>
  <si>
    <t>Montos</t>
  </si>
  <si>
    <t>Gonza</t>
  </si>
  <si>
    <t>Chiara</t>
  </si>
  <si>
    <t>Fijo/Variable</t>
  </si>
  <si>
    <t>Variable</t>
  </si>
  <si>
    <t>Referencias</t>
  </si>
  <si>
    <t>Automático</t>
  </si>
  <si>
    <t>EVOLUCIÓN DEL AHORRO</t>
  </si>
  <si>
    <t>Diferencia ARS</t>
  </si>
  <si>
    <t>Diferencia USD</t>
  </si>
  <si>
    <t>-</t>
  </si>
  <si>
    <t>EVOLUCIÓN DE INGRESOS - GASTOS</t>
  </si>
  <si>
    <t>Cant.</t>
  </si>
  <si>
    <t>TOTAL:</t>
  </si>
  <si>
    <t>TOTAL REGISTRADO:</t>
  </si>
  <si>
    <t>CONTROL:</t>
  </si>
  <si>
    <t>Categoría</t>
  </si>
  <si>
    <t>Rival</t>
  </si>
  <si>
    <t>Resultado</t>
  </si>
  <si>
    <t>Fecha</t>
  </si>
  <si>
    <t>Libres D</t>
  </si>
  <si>
    <t>Torneo</t>
  </si>
  <si>
    <t>Sevilla, Iván</t>
  </si>
  <si>
    <t>Ruiz, Carlos</t>
  </si>
  <si>
    <t>5ta fecha met. 2023</t>
  </si>
  <si>
    <t>4ta fecha met. 2023</t>
  </si>
  <si>
    <t>Instancia</t>
  </si>
  <si>
    <t>8vos</t>
  </si>
  <si>
    <t>4tos</t>
  </si>
  <si>
    <t>Semifinal</t>
  </si>
  <si>
    <t>Final</t>
  </si>
  <si>
    <t>6/3 - 6/3</t>
  </si>
  <si>
    <t>4/6 - 2/6</t>
  </si>
  <si>
    <t>7/6 - 2/6 - (4/10)</t>
  </si>
  <si>
    <t>Brinach, Kevin</t>
  </si>
  <si>
    <t>Ferrer, Nicolás</t>
  </si>
  <si>
    <t>6/0 - 6/1</t>
  </si>
  <si>
    <t>6/1 - 6/1</t>
  </si>
  <si>
    <t>Cabuli, Nihuel</t>
  </si>
  <si>
    <t>Gauna, Mía</t>
  </si>
  <si>
    <t>Victorias</t>
  </si>
  <si>
    <t>Derrotas</t>
  </si>
  <si>
    <t>Torneos jugados</t>
  </si>
  <si>
    <t>Deudas de:</t>
  </si>
  <si>
    <t>¿Pagado?</t>
  </si>
  <si>
    <t>Total:</t>
  </si>
  <si>
    <t>Ingresos USD</t>
  </si>
  <si>
    <t>Partidos jugados</t>
  </si>
  <si>
    <t>Torneos ganados</t>
  </si>
  <si>
    <t>Efectividad torneos</t>
  </si>
  <si>
    <t>Efectividad partidos</t>
  </si>
  <si>
    <t>Vencimiento</t>
  </si>
  <si>
    <t>1/6 - 2/6</t>
  </si>
  <si>
    <t>0/6 - 6/2 - (10/4)</t>
  </si>
  <si>
    <t>6ta fecha met. 2023</t>
  </si>
  <si>
    <t>6/1 - 6/2</t>
  </si>
  <si>
    <t>Bruto</t>
  </si>
  <si>
    <t>Neto</t>
  </si>
  <si>
    <t>EVOLUCIÓN DE SUELDO</t>
  </si>
  <si>
    <t>Bruto USD</t>
  </si>
  <si>
    <t>Neto USD</t>
  </si>
  <si>
    <t>Dimitri, Máximo</t>
  </si>
  <si>
    <t>Achinelli, Lucas</t>
  </si>
  <si>
    <t>Rodriguez, Camilo</t>
  </si>
  <si>
    <t>✓</t>
  </si>
  <si>
    <t>X</t>
  </si>
  <si>
    <t>F</t>
  </si>
  <si>
    <t>USD</t>
  </si>
  <si>
    <t>Total pesos</t>
  </si>
  <si>
    <t>Total dolares</t>
  </si>
  <si>
    <t>Préstamo 1.5M</t>
  </si>
  <si>
    <t>Grupos</t>
  </si>
  <si>
    <t>6/2 - 6/2</t>
  </si>
  <si>
    <t>Dólares</t>
  </si>
  <si>
    <t>oficial</t>
  </si>
  <si>
    <t>blue</t>
  </si>
  <si>
    <t>mep</t>
  </si>
  <si>
    <t>ccl</t>
  </si>
  <si>
    <t>XX/USD</t>
  </si>
  <si>
    <t>USDC</t>
  </si>
  <si>
    <t>Promedio</t>
  </si>
  <si>
    <t>Perez, Sebastián</t>
  </si>
  <si>
    <t>6-2 - 6-4</t>
  </si>
  <si>
    <t>6/2 - 4/6 - (10-3)</t>
  </si>
  <si>
    <t>Gonzalez, Amilcar</t>
  </si>
  <si>
    <t>6-3 - 7-5</t>
  </si>
  <si>
    <t>USD Blue</t>
  </si>
  <si>
    <t>Divisa</t>
  </si>
  <si>
    <t>Precio en ARS</t>
  </si>
  <si>
    <t>Precio en USD</t>
  </si>
  <si>
    <t>USD Oficial</t>
  </si>
  <si>
    <t>USD Tarjeta</t>
  </si>
  <si>
    <t>PARTIDOS DE TENIS</t>
  </si>
  <si>
    <t>GASTOS COMPARTIDOS</t>
  </si>
  <si>
    <t>USD Mep</t>
  </si>
  <si>
    <t>USD Crypto</t>
  </si>
  <si>
    <t>Gonzalo Morales - Planilla personal</t>
  </si>
  <si>
    <t>ARS invertidos</t>
  </si>
  <si>
    <t>Rendimiento ARS</t>
  </si>
  <si>
    <t>Rendimiento USD</t>
  </si>
  <si>
    <t>Incremento</t>
  </si>
  <si>
    <t>Provisorios</t>
  </si>
  <si>
    <t>GASTOS PERSONALES</t>
  </si>
  <si>
    <t>Provisorios - Otros</t>
  </si>
  <si>
    <t>Aeberhard, Federico</t>
  </si>
  <si>
    <t>Master met. 2023</t>
  </si>
  <si>
    <t>Fin de año 2023</t>
  </si>
  <si>
    <t>Libres C</t>
  </si>
  <si>
    <t>Maruzabal, Sebastián</t>
  </si>
  <si>
    <t>3/6 - 3/6</t>
  </si>
  <si>
    <t>1/6 - 0/6</t>
  </si>
  <si>
    <t>Oviedo, Gonzalo</t>
  </si>
  <si>
    <t>HAVA</t>
  </si>
  <si>
    <t>PAMP</t>
  </si>
  <si>
    <t>GGAL</t>
  </si>
  <si>
    <t>Bull Market</t>
  </si>
  <si>
    <t>TOTAL</t>
  </si>
  <si>
    <t>YPDF</t>
  </si>
  <si>
    <t>USD Ccl</t>
  </si>
  <si>
    <t>Accción</t>
  </si>
  <si>
    <t>LOMA</t>
  </si>
  <si>
    <t>CEPU</t>
  </si>
  <si>
    <t>TGNO4</t>
  </si>
  <si>
    <t>BTC/ARG</t>
  </si>
  <si>
    <t>BTC/USD</t>
  </si>
  <si>
    <t>USD/ARG</t>
  </si>
  <si>
    <t>TSLA</t>
  </si>
  <si>
    <t>CRES</t>
  </si>
  <si>
    <t>TGSU2</t>
  </si>
  <si>
    <t>BMA</t>
  </si>
  <si>
    <t>Mínimo:</t>
  </si>
  <si>
    <t>Personal:</t>
  </si>
  <si>
    <t>KO</t>
  </si>
  <si>
    <t>Inversión</t>
  </si>
  <si>
    <t>Ahorro</t>
  </si>
  <si>
    <t>Cantidad</t>
  </si>
  <si>
    <t>ACCIONES</t>
  </si>
  <si>
    <t>CEDEARS</t>
  </si>
  <si>
    <t>CANTIDAD DE ACCIONES</t>
  </si>
  <si>
    <t>CANTIDAD DE CEDEARS</t>
  </si>
  <si>
    <t>VIST</t>
  </si>
  <si>
    <t>GOOGL</t>
  </si>
  <si>
    <t>PYPL</t>
  </si>
  <si>
    <t>BITF</t>
  </si>
  <si>
    <t>AAPL</t>
  </si>
  <si>
    <t>MSFT</t>
  </si>
  <si>
    <t>mayorista</t>
  </si>
  <si>
    <t>ahorro</t>
  </si>
  <si>
    <t>tarjeta</t>
  </si>
  <si>
    <t>cripto</t>
  </si>
  <si>
    <t>Value.price</t>
  </si>
  <si>
    <t>Value.ask</t>
  </si>
  <si>
    <t>Value.usdt.ask</t>
  </si>
  <si>
    <t>Value.usdc.ask</t>
  </si>
  <si>
    <t>Value.al30.ci.price</t>
  </si>
  <si>
    <t>SPY</t>
  </si>
  <si>
    <t>MELI</t>
  </si>
  <si>
    <t>Silva, Alejandro</t>
  </si>
  <si>
    <t>3/6 - 4/6</t>
  </si>
  <si>
    <t>1ra fecha met. 2024</t>
  </si>
  <si>
    <t>2da fecha met. 2024</t>
  </si>
  <si>
    <t>6/2 - 4/6 - (10-8)</t>
  </si>
  <si>
    <t>4/6 - 4/6</t>
  </si>
  <si>
    <t>AL30</t>
  </si>
  <si>
    <t>Cedear</t>
  </si>
  <si>
    <t>PRECIOS DE BONOS AL: 28/6/2024 12:58:56</t>
  </si>
  <si>
    <t>BONOS</t>
  </si>
  <si>
    <t>Total USD:</t>
  </si>
  <si>
    <t>Alegre, Santiago</t>
  </si>
  <si>
    <t>4/6 - 6/0 - (10-2)</t>
  </si>
  <si>
    <t>3ra fecha met. 2024</t>
  </si>
  <si>
    <t>0/6 - 5/7</t>
  </si>
  <si>
    <t xml:space="preserve"> </t>
  </si>
  <si>
    <t>BYMA</t>
  </si>
  <si>
    <t>4ta fecha met. 2024</t>
  </si>
  <si>
    <t>Mora, Tobias</t>
  </si>
  <si>
    <t>6/4 - 3/6 - (10-3)</t>
  </si>
  <si>
    <t>Suarez, Enzo</t>
  </si>
  <si>
    <t>Buenbit</t>
  </si>
  <si>
    <t>Cierre</t>
  </si>
  <si>
    <t>CANTIDAD DE BONOS</t>
  </si>
  <si>
    <t>Gallardo, Gerónimo</t>
  </si>
  <si>
    <t>Rolon, Enzo</t>
  </si>
  <si>
    <t>Master met. 2024</t>
  </si>
  <si>
    <t>7/5 - 7/6</t>
  </si>
  <si>
    <t>Flores, P</t>
  </si>
  <si>
    <t>6/7 - 6/2 - (9-11)</t>
  </si>
  <si>
    <t>García, Mariano</t>
  </si>
  <si>
    <t>2/6 - 1/6</t>
  </si>
  <si>
    <t>NVDA</t>
  </si>
  <si>
    <t>Tarjeta Galicia Visa</t>
  </si>
  <si>
    <t>Tarjeta VISA</t>
  </si>
  <si>
    <t>Cuenta Galicia</t>
  </si>
  <si>
    <t>Tarjeta VISA USD</t>
  </si>
  <si>
    <t>Tarjeta Galicia Visa USD</t>
  </si>
  <si>
    <t>Insaurralde, Juan</t>
  </si>
  <si>
    <t>Ruggeri</t>
  </si>
  <si>
    <t>7/6 - 6/1</t>
  </si>
  <si>
    <t>6/3 - 6/4</t>
  </si>
  <si>
    <t>4/6 - 6/1 - (11-9)</t>
  </si>
  <si>
    <t>Aniversario 2025</t>
  </si>
  <si>
    <t>ÚltimoOperado</t>
  </si>
  <si>
    <t>ALUA</t>
  </si>
  <si>
    <t>HARG</t>
  </si>
  <si>
    <t>Símbolo.1.1.1</t>
  </si>
  <si>
    <t>BBAR</t>
  </si>
  <si>
    <t>COME</t>
  </si>
  <si>
    <t>CVH</t>
  </si>
  <si>
    <t>EDN</t>
  </si>
  <si>
    <t>MIRG</t>
  </si>
  <si>
    <t>SUPV</t>
  </si>
  <si>
    <t>TECO</t>
  </si>
  <si>
    <t>TGNO</t>
  </si>
  <si>
    <t>TGSU</t>
  </si>
  <si>
    <t>TRAN</t>
  </si>
  <si>
    <t>TXAR</t>
  </si>
  <si>
    <t>VALO</t>
  </si>
  <si>
    <t>YPFD</t>
  </si>
  <si>
    <t>Símbolo.1.1</t>
  </si>
  <si>
    <t>A3</t>
  </si>
  <si>
    <t>AGRO</t>
  </si>
  <si>
    <t>AUSO</t>
  </si>
  <si>
    <t>BHIP</t>
  </si>
  <si>
    <t>BOLT</t>
  </si>
  <si>
    <t>BPAT</t>
  </si>
  <si>
    <t>CADO</t>
  </si>
  <si>
    <t>CAPX</t>
  </si>
  <si>
    <t>CARC</t>
  </si>
  <si>
    <t>CECO2</t>
  </si>
  <si>
    <t>CELU</t>
  </si>
  <si>
    <t>CGPA2</t>
  </si>
  <si>
    <t>CTIO</t>
  </si>
  <si>
    <t>DGCU2</t>
  </si>
  <si>
    <t>DOME</t>
  </si>
  <si>
    <t>FERR</t>
  </si>
  <si>
    <t>FIPL</t>
  </si>
  <si>
    <t>GAMI</t>
  </si>
  <si>
    <t>GARO</t>
  </si>
  <si>
    <t>GBAN</t>
  </si>
  <si>
    <t>GCDI</t>
  </si>
  <si>
    <t>GCLA</t>
  </si>
  <si>
    <t>GRIM</t>
  </si>
  <si>
    <t>IEB</t>
  </si>
  <si>
    <t>INTR</t>
  </si>
  <si>
    <t>INVJ</t>
  </si>
  <si>
    <t>LEDE</t>
  </si>
  <si>
    <t>LONG</t>
  </si>
  <si>
    <t>MOLA</t>
  </si>
  <si>
    <t>MOLI</t>
  </si>
  <si>
    <t>MORI</t>
  </si>
  <si>
    <t>OEST</t>
  </si>
  <si>
    <t>PATA</t>
  </si>
  <si>
    <t>POLL</t>
  </si>
  <si>
    <t>RICH</t>
  </si>
  <si>
    <t>RIGO</t>
  </si>
  <si>
    <t>ROSE</t>
  </si>
  <si>
    <t>SAMI</t>
  </si>
  <si>
    <t>SEMI</t>
  </si>
  <si>
    <t>Especie
							▼ ▲</t>
  </si>
  <si>
    <t>Último
							▼ ▲</t>
  </si>
  <si>
    <t>IRSA</t>
  </si>
  <si>
    <t>METR</t>
  </si>
  <si>
    <t>2ta fecha met. 2025</t>
  </si>
  <si>
    <t>Alvarez, Gerónimo</t>
  </si>
  <si>
    <t>Fiorito, A.</t>
  </si>
  <si>
    <t>ALUAD</t>
  </si>
  <si>
    <t>BBARD</t>
  </si>
  <si>
    <t>BMA.D</t>
  </si>
  <si>
    <t>BYMAD</t>
  </si>
  <si>
    <t>CEPUD</t>
  </si>
  <si>
    <t>COMED</t>
  </si>
  <si>
    <t>CRESD</t>
  </si>
  <si>
    <t>ECOGD</t>
  </si>
  <si>
    <t>EDND</t>
  </si>
  <si>
    <t>GGALD</t>
  </si>
  <si>
    <t>IRSAD</t>
  </si>
  <si>
    <t>LOMAD</t>
  </si>
  <si>
    <t>METRD</t>
  </si>
  <si>
    <t>PAMPD</t>
  </si>
  <si>
    <t>SUPVD</t>
  </si>
  <si>
    <t>TECOD</t>
  </si>
  <si>
    <t>TGN</t>
  </si>
  <si>
    <t>TGSUD</t>
  </si>
  <si>
    <t>TRAND</t>
  </si>
  <si>
    <t>TXARD</t>
  </si>
  <si>
    <t>VALOD</t>
  </si>
  <si>
    <t>YPFDD</t>
  </si>
  <si>
    <t>Caceres, A.</t>
  </si>
  <si>
    <t>3ra fecha met. 2025</t>
  </si>
  <si>
    <t>lll</t>
  </si>
  <si>
    <t>Préstamo 2M</t>
  </si>
  <si>
    <t>Préstamos</t>
  </si>
  <si>
    <t>Tarjeta COMPARTIDA</t>
  </si>
  <si>
    <t>Total ARS:</t>
  </si>
  <si>
    <t>Tarjeta COMPARTIDA USD</t>
  </si>
  <si>
    <t>Total cuenta GALICIA:</t>
  </si>
  <si>
    <t>Tarjeta Galicia VISA</t>
  </si>
  <si>
    <t>Tarjeta Galicia COMP.</t>
  </si>
  <si>
    <t>Tarjeta COMP. USD</t>
  </si>
  <si>
    <t>Tarjeta COMP.</t>
  </si>
  <si>
    <t>Expensas:</t>
  </si>
  <si>
    <t>Departamento</t>
  </si>
  <si>
    <t>Total departamento:</t>
  </si>
  <si>
    <t>MERA</t>
  </si>
  <si>
    <t>48,00</t>
  </si>
  <si>
    <t>Expensas</t>
  </si>
  <si>
    <t>AAL</t>
  </si>
  <si>
    <t>AALD</t>
  </si>
  <si>
    <t>AAP</t>
  </si>
  <si>
    <t>ABBV</t>
  </si>
  <si>
    <t>ABEV</t>
  </si>
  <si>
    <t>ABEV3</t>
  </si>
  <si>
    <t>ABNB</t>
  </si>
  <si>
    <t>ABT</t>
  </si>
  <si>
    <t>ACN</t>
  </si>
  <si>
    <t>ACND</t>
  </si>
  <si>
    <t>ADBE</t>
  </si>
  <si>
    <t>ADGO</t>
  </si>
  <si>
    <t>AEM</t>
  </si>
  <si>
    <t>AIG</t>
  </si>
  <si>
    <t>AMAT</t>
  </si>
  <si>
    <t>AMD</t>
  </si>
  <si>
    <t>AMDD</t>
  </si>
  <si>
    <t>AMGN</t>
  </si>
  <si>
    <t>ANF</t>
  </si>
  <si>
    <t>ARCO</t>
  </si>
  <si>
    <t>ARKK</t>
  </si>
  <si>
    <t>ARM</t>
  </si>
  <si>
    <t>AVGO</t>
  </si>
  <si>
    <t>AXP</t>
  </si>
  <si>
    <t>AXPD</t>
  </si>
  <si>
    <t>B</t>
  </si>
  <si>
    <t>B.D</t>
  </si>
  <si>
    <t>BA</t>
  </si>
  <si>
    <t>BA.C</t>
  </si>
  <si>
    <t>BABA</t>
  </si>
  <si>
    <t>BAK</t>
  </si>
  <si>
    <t>BB</t>
  </si>
  <si>
    <t>BBAS3</t>
  </si>
  <si>
    <t>BBD</t>
  </si>
  <si>
    <t>BBDD</t>
  </si>
  <si>
    <t>BIDU</t>
  </si>
  <si>
    <t>BIOX</t>
  </si>
  <si>
    <t>BRKB</t>
  </si>
  <si>
    <t>C</t>
  </si>
  <si>
    <t>CAT</t>
  </si>
  <si>
    <t>CDE</t>
  </si>
  <si>
    <t>COIN</t>
  </si>
  <si>
    <t>CRM</t>
  </si>
  <si>
    <t>CSCO</t>
  </si>
  <si>
    <t>CVS</t>
  </si>
  <si>
    <t>CVX</t>
  </si>
  <si>
    <t>CVXD</t>
  </si>
  <si>
    <t>DE</t>
  </si>
  <si>
    <t>DIA</t>
  </si>
  <si>
    <t>DIAD</t>
  </si>
  <si>
    <t>DISN</t>
  </si>
  <si>
    <t>DOCU</t>
  </si>
  <si>
    <t>DOW</t>
  </si>
  <si>
    <t>EBAY</t>
  </si>
  <si>
    <t>EEM</t>
  </si>
  <si>
    <t>EEMD</t>
  </si>
  <si>
    <t>ETHA</t>
  </si>
  <si>
    <t>EWZ</t>
  </si>
  <si>
    <t>EWZD</t>
  </si>
  <si>
    <t>FCX</t>
  </si>
  <si>
    <t>FCXD</t>
  </si>
  <si>
    <t>FSLR</t>
  </si>
  <si>
    <t>FXI</t>
  </si>
  <si>
    <t>FXID</t>
  </si>
  <si>
    <t>GE</t>
  </si>
  <si>
    <t>GLD</t>
  </si>
  <si>
    <t>GLDD</t>
  </si>
  <si>
    <t>GLOB</t>
  </si>
  <si>
    <t>GM</t>
  </si>
  <si>
    <t>GPRK</t>
  </si>
  <si>
    <t>GS</t>
  </si>
  <si>
    <t>HAL</t>
  </si>
  <si>
    <t>HD</t>
  </si>
  <si>
    <t>HL</t>
  </si>
  <si>
    <t>HMY</t>
  </si>
  <si>
    <t>HMYD</t>
  </si>
  <si>
    <t>HOG</t>
  </si>
  <si>
    <t>HPQ</t>
  </si>
  <si>
    <t>HSY</t>
  </si>
  <si>
    <t>HUT</t>
  </si>
  <si>
    <t>IBB</t>
  </si>
  <si>
    <t>IBBD</t>
  </si>
  <si>
    <t>IBIT</t>
  </si>
  <si>
    <t>IBM</t>
  </si>
  <si>
    <t>IBMD</t>
  </si>
  <si>
    <t>IEUR</t>
  </si>
  <si>
    <t>INTC</t>
  </si>
  <si>
    <t>ISRG</t>
  </si>
  <si>
    <t>ITUB</t>
  </si>
  <si>
    <t>IVE</t>
  </si>
  <si>
    <t>IVED</t>
  </si>
  <si>
    <t>IVW</t>
  </si>
  <si>
    <t>IWM</t>
  </si>
  <si>
    <t>JD</t>
  </si>
  <si>
    <t>JDD</t>
  </si>
  <si>
    <t>JMIA</t>
  </si>
  <si>
    <t>JNJ</t>
  </si>
  <si>
    <t>JNJD</t>
  </si>
  <si>
    <t>JPM</t>
  </si>
  <si>
    <t>JPMD</t>
  </si>
  <si>
    <t>KOD</t>
  </si>
  <si>
    <t>LAC</t>
  </si>
  <si>
    <t>LACD</t>
  </si>
  <si>
    <t>LAR</t>
  </si>
  <si>
    <t>LARD</t>
  </si>
  <si>
    <t>LLY</t>
  </si>
  <si>
    <t>LLYD</t>
  </si>
  <si>
    <t>LMT</t>
  </si>
  <si>
    <t>LMTD</t>
  </si>
  <si>
    <t>LRCX</t>
  </si>
  <si>
    <t>MA</t>
  </si>
  <si>
    <t>MAD</t>
  </si>
  <si>
    <t>MCD</t>
  </si>
  <si>
    <t>MCDD</t>
  </si>
  <si>
    <t>MDLZ</t>
  </si>
  <si>
    <t>META</t>
  </si>
  <si>
    <t>MMM</t>
  </si>
  <si>
    <t>MMMD</t>
  </si>
  <si>
    <t>MO</t>
  </si>
  <si>
    <t>MOD</t>
  </si>
  <si>
    <t>MOS</t>
  </si>
  <si>
    <t>MRK</t>
  </si>
  <si>
    <t>MRVL</t>
  </si>
  <si>
    <t>MSI</t>
  </si>
  <si>
    <t>MSTR</t>
  </si>
  <si>
    <t>MU</t>
  </si>
  <si>
    <t>MUD</t>
  </si>
  <si>
    <t>MUX</t>
  </si>
  <si>
    <t>NFLX</t>
  </si>
  <si>
    <t>NIO</t>
  </si>
  <si>
    <t>NIOD</t>
  </si>
  <si>
    <t>NKED</t>
  </si>
  <si>
    <t>NU</t>
  </si>
  <si>
    <t>NUD</t>
  </si>
  <si>
    <t>ORCL</t>
  </si>
  <si>
    <t>ORLY</t>
  </si>
  <si>
    <t>OXY</t>
  </si>
  <si>
    <t>PAAS</t>
  </si>
  <si>
    <t>PAGS</t>
  </si>
  <si>
    <t>PANW</t>
  </si>
  <si>
    <t>PBR</t>
  </si>
  <si>
    <t>PBRD</t>
  </si>
  <si>
    <t>PEP</t>
  </si>
  <si>
    <t>PEPD</t>
  </si>
  <si>
    <t>PETR3</t>
  </si>
  <si>
    <t>PFE</t>
  </si>
  <si>
    <t>PFED</t>
  </si>
  <si>
    <t>PG</t>
  </si>
  <si>
    <t>PGD</t>
  </si>
  <si>
    <t>PINS</t>
  </si>
  <si>
    <t>PKS</t>
  </si>
  <si>
    <t>PLTR</t>
  </si>
  <si>
    <t>PM</t>
  </si>
  <si>
    <t>QCOM</t>
  </si>
  <si>
    <t>QQQ</t>
  </si>
  <si>
    <t>QQQD</t>
  </si>
  <si>
    <t>RACE</t>
  </si>
  <si>
    <t>RBLX</t>
  </si>
  <si>
    <t>RIO</t>
  </si>
  <si>
    <t>RIOD</t>
  </si>
  <si>
    <t>RIOT</t>
  </si>
  <si>
    <t>ROKU</t>
  </si>
  <si>
    <t>SATL</t>
  </si>
  <si>
    <t>SBUX</t>
  </si>
  <si>
    <t>SCCO</t>
  </si>
  <si>
    <t>SDA</t>
  </si>
  <si>
    <t>SE</t>
  </si>
  <si>
    <t>SH</t>
  </si>
  <si>
    <t>SHD</t>
  </si>
  <si>
    <t>SHEL</t>
  </si>
  <si>
    <t>SHOP</t>
  </si>
  <si>
    <t>SID</t>
  </si>
  <si>
    <t>SLB</t>
  </si>
  <si>
    <t>SNAP</t>
  </si>
  <si>
    <t>SNOW</t>
  </si>
  <si>
    <t>SONY</t>
  </si>
  <si>
    <t>SPCE</t>
  </si>
  <si>
    <t>SPOT</t>
  </si>
  <si>
    <t>SPYD</t>
  </si>
  <si>
    <t>STLA</t>
  </si>
  <si>
    <t>T</t>
  </si>
  <si>
    <t>TD</t>
  </si>
  <si>
    <t>TGT</t>
  </si>
  <si>
    <t>TGTD</t>
  </si>
  <si>
    <t>TM</t>
  </si>
  <si>
    <t>TRIP</t>
  </si>
  <si>
    <t>TSM</t>
  </si>
  <si>
    <t>TSMD</t>
  </si>
  <si>
    <t>TWLO</t>
  </si>
  <si>
    <t>TXR</t>
  </si>
  <si>
    <t>UBER</t>
  </si>
  <si>
    <t>UNH</t>
  </si>
  <si>
    <t>UNHD</t>
  </si>
  <si>
    <t>UNP</t>
  </si>
  <si>
    <t>V</t>
  </si>
  <si>
    <t>VALE</t>
  </si>
  <si>
    <t>VD</t>
  </si>
  <si>
    <t>VEA</t>
  </si>
  <si>
    <t>VZ</t>
  </si>
  <si>
    <t>VZD</t>
  </si>
  <si>
    <t>WFC</t>
  </si>
  <si>
    <t>WMT</t>
  </si>
  <si>
    <t>WMTD</t>
  </si>
  <si>
    <t>XLE</t>
  </si>
  <si>
    <t>XLED</t>
  </si>
  <si>
    <t>XLF</t>
  </si>
  <si>
    <t>XLFD</t>
  </si>
  <si>
    <t>XLI</t>
  </si>
  <si>
    <t>XLK</t>
  </si>
  <si>
    <t>XLP</t>
  </si>
  <si>
    <t>XLPD</t>
  </si>
  <si>
    <t>XLRE</t>
  </si>
  <si>
    <t>XLV</t>
  </si>
  <si>
    <t>XLY</t>
  </si>
  <si>
    <t>XOM</t>
  </si>
  <si>
    <t>XP</t>
  </si>
  <si>
    <t>XYZ</t>
  </si>
  <si>
    <t>AMZN</t>
  </si>
  <si>
    <t>NKE</t>
  </si>
  <si>
    <t>XOMD</t>
  </si>
  <si>
    <t>Rasta</t>
  </si>
  <si>
    <t>Gula</t>
  </si>
  <si>
    <t>Terrabussi</t>
  </si>
  <si>
    <t>Alfajor</t>
  </si>
  <si>
    <t>Paquete</t>
  </si>
  <si>
    <t>Textura</t>
  </si>
  <si>
    <t>Sabor</t>
  </si>
  <si>
    <t>Chocolate</t>
  </si>
  <si>
    <t>Precio</t>
  </si>
  <si>
    <t>Marca</t>
  </si>
  <si>
    <t>Aguila</t>
  </si>
  <si>
    <t>Minitorta Brownie</t>
  </si>
  <si>
    <t>Torta</t>
  </si>
  <si>
    <t>Clásico Negro</t>
  </si>
  <si>
    <t>$$$$</t>
  </si>
  <si>
    <t>$$$</t>
  </si>
  <si>
    <t>$$</t>
  </si>
  <si>
    <t>Marley</t>
  </si>
  <si>
    <t>Blanco</t>
  </si>
  <si>
    <t>Blanco Triple</t>
  </si>
  <si>
    <t>Clásico Triple</t>
  </si>
  <si>
    <t>ECONOMÍA</t>
  </si>
  <si>
    <t>OTROS</t>
  </si>
  <si>
    <t>Foto</t>
  </si>
  <si>
    <t>ENTRADA DE GAMA</t>
  </si>
  <si>
    <t>TIERLIST</t>
  </si>
  <si>
    <t>ECONÓMICOS</t>
  </si>
  <si>
    <t>Modelo</t>
  </si>
  <si>
    <t>Casio</t>
  </si>
  <si>
    <t>MTP-1302D</t>
  </si>
  <si>
    <t>Seiko</t>
  </si>
  <si>
    <t>5 SRPE</t>
  </si>
  <si>
    <t>INTERMEDIOS</t>
  </si>
  <si>
    <t>Tissot</t>
  </si>
  <si>
    <t>Gentleman</t>
  </si>
  <si>
    <t>MTP-1370D</t>
  </si>
  <si>
    <t>BK</t>
  </si>
  <si>
    <t>C.D</t>
  </si>
  <si>
    <t>IVWD</t>
  </si>
  <si>
    <t>IWMD</t>
  </si>
  <si>
    <t>MGLU3</t>
  </si>
  <si>
    <t>Edifice EFR-S108D</t>
  </si>
  <si>
    <t>Master met. 2025</t>
  </si>
  <si>
    <t>Torales I.</t>
  </si>
  <si>
    <t>6/1 - 6/0</t>
  </si>
  <si>
    <t>Rossi F.</t>
  </si>
  <si>
    <t>LND</t>
  </si>
  <si>
    <t>TTE</t>
  </si>
  <si>
    <t>12.790,00</t>
  </si>
  <si>
    <t>5.750,00</t>
  </si>
  <si>
    <t>j</t>
  </si>
  <si>
    <t>1/6 - 6/4 - (11-13)</t>
  </si>
  <si>
    <t>Edifice EFV-640D</t>
  </si>
  <si>
    <t>460,00</t>
  </si>
  <si>
    <t>1.880,00</t>
  </si>
  <si>
    <t>356,00</t>
  </si>
  <si>
    <t>21,10</t>
  </si>
  <si>
    <t>0,22</t>
  </si>
  <si>
    <t>1,57</t>
  </si>
  <si>
    <t>12.810,00</t>
  </si>
  <si>
    <t>20.370,00</t>
  </si>
  <si>
    <t>61.000,00</t>
  </si>
  <si>
    <t>3.900,00</t>
  </si>
  <si>
    <t>14.170,00</t>
  </si>
  <si>
    <t>9.395,00</t>
  </si>
  <si>
    <t>16,40</t>
  </si>
  <si>
    <t>8.000,00</t>
  </si>
  <si>
    <t>12.400,00</t>
  </si>
  <si>
    <t>7.000,00</t>
  </si>
  <si>
    <t>43.680,00</t>
  </si>
  <si>
    <t>XLID</t>
  </si>
  <si>
    <t>20.070,00</t>
  </si>
  <si>
    <t>Diciembre</t>
  </si>
  <si>
    <t>Si</t>
  </si>
  <si>
    <t>Enero</t>
  </si>
  <si>
    <t>PRECIOS DE DIVISAS AL: 3/3/2026 16:31:53</t>
  </si>
  <si>
    <t>PRECIOS DE ACCIONES AL: 3/3/2026 16:31:53</t>
  </si>
  <si>
    <t>PRECIOS DE CEDEARS AL: 3/3/2026 16:31:53</t>
  </si>
  <si>
    <t>PRECIOS DE CRYPTO AL: 3/3/2026 16:31:53</t>
  </si>
  <si>
    <t>9.200,00</t>
  </si>
  <si>
    <t>6,39</t>
  </si>
  <si>
    <t>5.465,00</t>
  </si>
  <si>
    <t>19.470,00</t>
  </si>
  <si>
    <t>34.660,00</t>
  </si>
  <si>
    <t>13.160,00</t>
  </si>
  <si>
    <t>4.342,50</t>
  </si>
  <si>
    <t>13.120,00</t>
  </si>
  <si>
    <t>42.120,00</t>
  </si>
  <si>
    <t>4.185,00</t>
  </si>
  <si>
    <t>2,85</t>
  </si>
  <si>
    <t>9.170,00</t>
  </si>
  <si>
    <t>13.740,00</t>
  </si>
  <si>
    <t>ADI</t>
  </si>
  <si>
    <t>33.660,00</t>
  </si>
  <si>
    <t>ADP</t>
  </si>
  <si>
    <t>53.675,00</t>
  </si>
  <si>
    <t>AEG</t>
  </si>
  <si>
    <t>10.530,00</t>
  </si>
  <si>
    <t>57.300,00</t>
  </si>
  <si>
    <t>AEMD</t>
  </si>
  <si>
    <t>40,00</t>
  </si>
  <si>
    <t>23.230,00</t>
  </si>
  <si>
    <t>103.925,00</t>
  </si>
  <si>
    <t>28.320,00</t>
  </si>
  <si>
    <t>19,76</t>
  </si>
  <si>
    <t>18.680,00</t>
  </si>
  <si>
    <t>AMX</t>
  </si>
  <si>
    <t>36.580,00</t>
  </si>
  <si>
    <t>2.139,00</t>
  </si>
  <si>
    <t>144.825,00</t>
  </si>
  <si>
    <t>ANFD</t>
  </si>
  <si>
    <t>100,00</t>
  </si>
  <si>
    <t>25.300,00</t>
  </si>
  <si>
    <t>10.810,00</t>
  </si>
  <si>
    <t>6.650,00</t>
  </si>
  <si>
    <t>ARMD</t>
  </si>
  <si>
    <t>4,33</t>
  </si>
  <si>
    <t>ASR</t>
  </si>
  <si>
    <t>25.120,00</t>
  </si>
  <si>
    <t>11.830,00</t>
  </si>
  <si>
    <t>AVY</t>
  </si>
  <si>
    <t>15.600,00</t>
  </si>
  <si>
    <t>30.380,00</t>
  </si>
  <si>
    <t>21,09</t>
  </si>
  <si>
    <t>AZN</t>
  </si>
  <si>
    <t>74.200,00</t>
  </si>
  <si>
    <t>34.000,00</t>
  </si>
  <si>
    <t>23,72</t>
  </si>
  <si>
    <t>13.760,00</t>
  </si>
  <si>
    <t>18.600,00</t>
  </si>
  <si>
    <t>22.300,00</t>
  </si>
  <si>
    <t>BAD</t>
  </si>
  <si>
    <t>9,66</t>
  </si>
  <si>
    <t>2.692,50</t>
  </si>
  <si>
    <t>BAKD</t>
  </si>
  <si>
    <t>1,86</t>
  </si>
  <si>
    <t>1.680,00</t>
  </si>
  <si>
    <t>3.600,00</t>
  </si>
  <si>
    <t>5.630,00</t>
  </si>
  <si>
    <t>BBDC3</t>
  </si>
  <si>
    <t>4.892,50</t>
  </si>
  <si>
    <t>3,90</t>
  </si>
  <si>
    <t>BBV</t>
  </si>
  <si>
    <t>31.080,00</t>
  </si>
  <si>
    <t>BBVD</t>
  </si>
  <si>
    <t>21,83</t>
  </si>
  <si>
    <t>BCS</t>
  </si>
  <si>
    <t>BHP</t>
  </si>
  <si>
    <t>57.900,00</t>
  </si>
  <si>
    <t>BHPD</t>
  </si>
  <si>
    <t>40,89</t>
  </si>
  <si>
    <t>15.910,00</t>
  </si>
  <si>
    <t>BIIB</t>
  </si>
  <si>
    <t>21.030,00</t>
  </si>
  <si>
    <t>725,00</t>
  </si>
  <si>
    <t>14.910,00</t>
  </si>
  <si>
    <t>87.825,00</t>
  </si>
  <si>
    <t>BKNG</t>
  </si>
  <si>
    <t>8.820,00</t>
  </si>
  <si>
    <t>BKR</t>
  </si>
  <si>
    <t>13.500,00</t>
  </si>
  <si>
    <t>BKRD</t>
  </si>
  <si>
    <t>9,48</t>
  </si>
  <si>
    <t>BMY</t>
  </si>
  <si>
    <t>30.400,00</t>
  </si>
  <si>
    <t>BMYD</t>
  </si>
  <si>
    <t>21,00</t>
  </si>
  <si>
    <t>BNG</t>
  </si>
  <si>
    <t>34.600,00</t>
  </si>
  <si>
    <t>BP</t>
  </si>
  <si>
    <t>11.600,00</t>
  </si>
  <si>
    <t>BPA11</t>
  </si>
  <si>
    <t>15.810,00</t>
  </si>
  <si>
    <t>BPD</t>
  </si>
  <si>
    <t>8,21</t>
  </si>
  <si>
    <t>32.440,00</t>
  </si>
  <si>
    <t>BSBR</t>
  </si>
  <si>
    <t>9.115,00</t>
  </si>
  <si>
    <t>55.100,00</t>
  </si>
  <si>
    <t>38,44</t>
  </si>
  <si>
    <t>CAAP</t>
  </si>
  <si>
    <t>159.075,00</t>
  </si>
  <si>
    <t>CAH</t>
  </si>
  <si>
    <t>112.450,00</t>
  </si>
  <si>
    <t>CAR</t>
  </si>
  <si>
    <t>5.490,00</t>
  </si>
  <si>
    <t>53.150,00</t>
  </si>
  <si>
    <t>CATD</t>
  </si>
  <si>
    <t>37,09</t>
  </si>
  <si>
    <t>CCL</t>
  </si>
  <si>
    <t>13.880,00</t>
  </si>
  <si>
    <t>35.260,00</t>
  </si>
  <si>
    <t>CL</t>
  </si>
  <si>
    <t>47.400,00</t>
  </si>
  <si>
    <t>10.130,00</t>
  </si>
  <si>
    <t>COST</t>
  </si>
  <si>
    <t>31.180,00</t>
  </si>
  <si>
    <t>16.270,00</t>
  </si>
  <si>
    <t>CRMD</t>
  </si>
  <si>
    <t>11,20</t>
  </si>
  <si>
    <t>23.390,00</t>
  </si>
  <si>
    <t>CSNA3</t>
  </si>
  <si>
    <t>2.200,00</t>
  </si>
  <si>
    <t>7.910,00</t>
  </si>
  <si>
    <t>CVSD</t>
  </si>
  <si>
    <t>5,39</t>
  </si>
  <si>
    <t>17.570,00</t>
  </si>
  <si>
    <t>12,33</t>
  </si>
  <si>
    <t>CX</t>
  </si>
  <si>
    <t>16.820,00</t>
  </si>
  <si>
    <t>DAL</t>
  </si>
  <si>
    <t>11.790,00</t>
  </si>
  <si>
    <t>DD</t>
  </si>
  <si>
    <t>14.230,00</t>
  </si>
  <si>
    <t>22.850,00</t>
  </si>
  <si>
    <t>DED</t>
  </si>
  <si>
    <t>15,95</t>
  </si>
  <si>
    <t>DEO</t>
  </si>
  <si>
    <t>20.740,00</t>
  </si>
  <si>
    <t>DEOD</t>
  </si>
  <si>
    <t>14,47</t>
  </si>
  <si>
    <t>DHR</t>
  </si>
  <si>
    <t>5.540,00</t>
  </si>
  <si>
    <t>DHRD</t>
  </si>
  <si>
    <t>3,82</t>
  </si>
  <si>
    <t>35.980,00</t>
  </si>
  <si>
    <t>25,10</t>
  </si>
  <si>
    <t>3.180,00</t>
  </si>
  <si>
    <t>7.620,00</t>
  </si>
  <si>
    <t>DOWD</t>
  </si>
  <si>
    <t>5,32</t>
  </si>
  <si>
    <t>E</t>
  </si>
  <si>
    <t>17.180,00</t>
  </si>
  <si>
    <t>EA</t>
  </si>
  <si>
    <t>21.150,00</t>
  </si>
  <si>
    <t>65.625,00</t>
  </si>
  <si>
    <t>17.320,00</t>
  </si>
  <si>
    <t>12,10</t>
  </si>
  <si>
    <t>EFX</t>
  </si>
  <si>
    <t>19.160,00</t>
  </si>
  <si>
    <t>EQNR</t>
  </si>
  <si>
    <t>7.605,00</t>
  </si>
  <si>
    <t>ERIC</t>
  </si>
  <si>
    <t>8.250,00</t>
  </si>
  <si>
    <t>4.445,00</t>
  </si>
  <si>
    <t>ETSY</t>
  </si>
  <si>
    <t>4.960,00</t>
  </si>
  <si>
    <t>27.240,00</t>
  </si>
  <si>
    <t>19,06</t>
  </si>
  <si>
    <t>18.940,00</t>
  </si>
  <si>
    <t>31.860,00</t>
  </si>
  <si>
    <t>22,49</t>
  </si>
  <si>
    <t>FD</t>
  </si>
  <si>
    <t>13,37</t>
  </si>
  <si>
    <t>FDX</t>
  </si>
  <si>
    <t>56.550,00</t>
  </si>
  <si>
    <t>FDXD</t>
  </si>
  <si>
    <t>40,08</t>
  </si>
  <si>
    <t>FMX</t>
  </si>
  <si>
    <t>26.820,00</t>
  </si>
  <si>
    <t>16.290,00</t>
  </si>
  <si>
    <t>10.630,00</t>
  </si>
  <si>
    <t>7,43</t>
  </si>
  <si>
    <t>61.750,00</t>
  </si>
  <si>
    <t>GED</t>
  </si>
  <si>
    <t>43,10</t>
  </si>
  <si>
    <t>GFI</t>
  </si>
  <si>
    <t>75.300,00</t>
  </si>
  <si>
    <t>GGB</t>
  </si>
  <si>
    <t>21.900,00</t>
  </si>
  <si>
    <t>GGBD</t>
  </si>
  <si>
    <t>15,52</t>
  </si>
  <si>
    <t>GILD</t>
  </si>
  <si>
    <t>54.375,00</t>
  </si>
  <si>
    <t>13.900,00</t>
  </si>
  <si>
    <t>9,72</t>
  </si>
  <si>
    <t>4.110,00</t>
  </si>
  <si>
    <t>GLW</t>
  </si>
  <si>
    <t>55.075,00</t>
  </si>
  <si>
    <t>18.900,00</t>
  </si>
  <si>
    <t>7.670,00</t>
  </si>
  <si>
    <t>12.410,00</t>
  </si>
  <si>
    <t>GRMN</t>
  </si>
  <si>
    <t>121.800,00</t>
  </si>
  <si>
    <t>97.950,00</t>
  </si>
  <si>
    <t>GSK</t>
  </si>
  <si>
    <t>21.010,00</t>
  </si>
  <si>
    <t>GT</t>
  </si>
  <si>
    <t>5.840,00</t>
  </si>
  <si>
    <t>GTD</t>
  </si>
  <si>
    <t>4,10</t>
  </si>
  <si>
    <t>25.980,00</t>
  </si>
  <si>
    <t>HALD</t>
  </si>
  <si>
    <t>18,12</t>
  </si>
  <si>
    <t>HAPV3</t>
  </si>
  <si>
    <t>2.860,00</t>
  </si>
  <si>
    <t>16.980,00</t>
  </si>
  <si>
    <t>HDB</t>
  </si>
  <si>
    <t>22.650,00</t>
  </si>
  <si>
    <t>HDD</t>
  </si>
  <si>
    <t>11,78</t>
  </si>
  <si>
    <t>31.760,00</t>
  </si>
  <si>
    <t>HLD</t>
  </si>
  <si>
    <t>22,25</t>
  </si>
  <si>
    <t>HMC</t>
  </si>
  <si>
    <t>41.600,00</t>
  </si>
  <si>
    <t>30.080,00</t>
  </si>
  <si>
    <t>9.035,00</t>
  </si>
  <si>
    <t>HON</t>
  </si>
  <si>
    <t>45.500,00</t>
  </si>
  <si>
    <t>28.120,00</t>
  </si>
  <si>
    <t>HSBC</t>
  </si>
  <si>
    <t>63.200,00</t>
  </si>
  <si>
    <t>16.630,00</t>
  </si>
  <si>
    <t>HSYD</t>
  </si>
  <si>
    <t>11,50</t>
  </si>
  <si>
    <t>366.050,00</t>
  </si>
  <si>
    <t>HUTD</t>
  </si>
  <si>
    <t>257,75</t>
  </si>
  <si>
    <t>HWM</t>
  </si>
  <si>
    <t>381.600,00</t>
  </si>
  <si>
    <t>HWMD</t>
  </si>
  <si>
    <t>263,25</t>
  </si>
  <si>
    <t>6,49</t>
  </si>
  <si>
    <t>24.150,00</t>
  </si>
  <si>
    <t>17,00</t>
  </si>
  <si>
    <t>IBN</t>
  </si>
  <si>
    <t>9.770,00</t>
  </si>
  <si>
    <t>IFF</t>
  </si>
  <si>
    <t>9.520,00</t>
  </si>
  <si>
    <t>INFY</t>
  </si>
  <si>
    <t>21.100,00</t>
  </si>
  <si>
    <t>ING</t>
  </si>
  <si>
    <t>13.230,00</t>
  </si>
  <si>
    <t>IP</t>
  </si>
  <si>
    <t>15.490,00</t>
  </si>
  <si>
    <t>ITUB3</t>
  </si>
  <si>
    <t>11.840,00</t>
  </si>
  <si>
    <t>8.165,00</t>
  </si>
  <si>
    <t>5,70</t>
  </si>
  <si>
    <t>8.735,00</t>
  </si>
  <si>
    <t>6,15</t>
  </si>
  <si>
    <t>38.520,00</t>
  </si>
  <si>
    <t>26,93</t>
  </si>
  <si>
    <t>9.480,00</t>
  </si>
  <si>
    <t>6,61</t>
  </si>
  <si>
    <t>11.230,00</t>
  </si>
  <si>
    <t>24.330,00</t>
  </si>
  <si>
    <t>16,95</t>
  </si>
  <si>
    <t>JOYY</t>
  </si>
  <si>
    <t>17.500,00</t>
  </si>
  <si>
    <t>29.640,00</t>
  </si>
  <si>
    <t>20,70</t>
  </si>
  <si>
    <t>KB</t>
  </si>
  <si>
    <t>76.275,00</t>
  </si>
  <si>
    <t>KEP</t>
  </si>
  <si>
    <t>26.220,00</t>
  </si>
  <si>
    <t>KGC</t>
  </si>
  <si>
    <t>49.800,00</t>
  </si>
  <si>
    <t>KMB</t>
  </si>
  <si>
    <t>26.020,00</t>
  </si>
  <si>
    <t>KMBD</t>
  </si>
  <si>
    <t>18,57</t>
  </si>
  <si>
    <t>23.520,00</t>
  </si>
  <si>
    <t>KOFM</t>
  </si>
  <si>
    <t>78.350,00</t>
  </si>
  <si>
    <t>7.100,00</t>
  </si>
  <si>
    <t>4,95</t>
  </si>
  <si>
    <t>10.220,00</t>
  </si>
  <si>
    <t>7,25</t>
  </si>
  <si>
    <t>26.660,00</t>
  </si>
  <si>
    <t>18,45</t>
  </si>
  <si>
    <t>49.300,00</t>
  </si>
  <si>
    <t>34,61</t>
  </si>
  <si>
    <t>6.065,00</t>
  </si>
  <si>
    <t>5.745,00</t>
  </si>
  <si>
    <t>LREN3</t>
  </si>
  <si>
    <t>4.172,50</t>
  </si>
  <si>
    <t>LVS</t>
  </si>
  <si>
    <t>41.120,00</t>
  </si>
  <si>
    <t>LYG</t>
  </si>
  <si>
    <t>3.912,50</t>
  </si>
  <si>
    <t>23.540,00</t>
  </si>
  <si>
    <t>16,47</t>
  </si>
  <si>
    <t>14,20</t>
  </si>
  <si>
    <t>MDT</t>
  </si>
  <si>
    <t>35.920,00</t>
  </si>
  <si>
    <t>21.120,00</t>
  </si>
  <si>
    <t>40.440,00</t>
  </si>
  <si>
    <t>MFG</t>
  </si>
  <si>
    <t>12.120,00</t>
  </si>
  <si>
    <t>2.500,00</t>
  </si>
  <si>
    <t>15,93</t>
  </si>
  <si>
    <t>25.480,00</t>
  </si>
  <si>
    <t>17,69</t>
  </si>
  <si>
    <t>7.965,00</t>
  </si>
  <si>
    <t>35.440,00</t>
  </si>
  <si>
    <t>MRKD</t>
  </si>
  <si>
    <t>24,72</t>
  </si>
  <si>
    <t>MRNA</t>
  </si>
  <si>
    <t>8.190,00</t>
  </si>
  <si>
    <t>35.580,00</t>
  </si>
  <si>
    <t>9.985,00</t>
  </si>
  <si>
    <t>112.275,00</t>
  </si>
  <si>
    <t>78,60</t>
  </si>
  <si>
    <t>MUFG</t>
  </si>
  <si>
    <t>25.660,00</t>
  </si>
  <si>
    <t>18.810,00</t>
  </si>
  <si>
    <t>MUXD</t>
  </si>
  <si>
    <t>13,34</t>
  </si>
  <si>
    <t>NEM</t>
  </si>
  <si>
    <t>57.650,00</t>
  </si>
  <si>
    <t>NEMD</t>
  </si>
  <si>
    <t>40,47</t>
  </si>
  <si>
    <t>2.980,00</t>
  </si>
  <si>
    <t>NG</t>
  </si>
  <si>
    <t>74.750,00</t>
  </si>
  <si>
    <t>NGG</t>
  </si>
  <si>
    <t>66.400,00</t>
  </si>
  <si>
    <t>1.670,00</t>
  </si>
  <si>
    <t>1,17</t>
  </si>
  <si>
    <t>7.350,00</t>
  </si>
  <si>
    <t>5,14</t>
  </si>
  <si>
    <t>NMR</t>
  </si>
  <si>
    <t>12.080,00</t>
  </si>
  <si>
    <t>NOKA</t>
  </si>
  <si>
    <t>12.000,00</t>
  </si>
  <si>
    <t>NTES</t>
  </si>
  <si>
    <t>12.270,00</t>
  </si>
  <si>
    <t>11.060,00</t>
  </si>
  <si>
    <t>7,72</t>
  </si>
  <si>
    <t>NUE</t>
  </si>
  <si>
    <t>16.330,00</t>
  </si>
  <si>
    <t>11.090,00</t>
  </si>
  <si>
    <t>NVS</t>
  </si>
  <si>
    <t>60.250,00</t>
  </si>
  <si>
    <t>NVSD</t>
  </si>
  <si>
    <t>42,60</t>
  </si>
  <si>
    <t>NXE</t>
  </si>
  <si>
    <t>NXED</t>
  </si>
  <si>
    <t>12,56</t>
  </si>
  <si>
    <t>73.950,00</t>
  </si>
  <si>
    <t>637,00</t>
  </si>
  <si>
    <t>16.030,00</t>
  </si>
  <si>
    <t>OXYD</t>
  </si>
  <si>
    <t>11,15</t>
  </si>
  <si>
    <t>30.100,00</t>
  </si>
  <si>
    <t>PAC</t>
  </si>
  <si>
    <t>22.400,00</t>
  </si>
  <si>
    <t>4.915,00</t>
  </si>
  <si>
    <t>4.627,50</t>
  </si>
  <si>
    <t>PBI</t>
  </si>
  <si>
    <t>15.630,00</t>
  </si>
  <si>
    <t>25.140,00</t>
  </si>
  <si>
    <t>17,50</t>
  </si>
  <si>
    <t>PCAR</t>
  </si>
  <si>
    <t>60.125,00</t>
  </si>
  <si>
    <t>13.600,00</t>
  </si>
  <si>
    <t>9,44</t>
  </si>
  <si>
    <t>12.480,00</t>
  </si>
  <si>
    <t>9.870,00</t>
  </si>
  <si>
    <t>6,86</t>
  </si>
  <si>
    <t>15.770,00</t>
  </si>
  <si>
    <t>10,97</t>
  </si>
  <si>
    <t>PHG</t>
  </si>
  <si>
    <t>8.935,00</t>
  </si>
  <si>
    <t>4.025,00</t>
  </si>
  <si>
    <t>31.380,00</t>
  </si>
  <si>
    <t>71.925,00</t>
  </si>
  <si>
    <t>14.550,00</t>
  </si>
  <si>
    <t>PMD</t>
  </si>
  <si>
    <t>10,39</t>
  </si>
  <si>
    <t>PRIO3</t>
  </si>
  <si>
    <t>7.785,00</t>
  </si>
  <si>
    <t>PSX</t>
  </si>
  <si>
    <t>39.120,00</t>
  </si>
  <si>
    <t>8.630,00</t>
  </si>
  <si>
    <t>18.580,00</t>
  </si>
  <si>
    <t>44.460,00</t>
  </si>
  <si>
    <t>31,07</t>
  </si>
  <si>
    <t>6.365,00</t>
  </si>
  <si>
    <t>49.440,00</t>
  </si>
  <si>
    <t>RENT3</t>
  </si>
  <si>
    <t>6.800,00</t>
  </si>
  <si>
    <t>17.540,00</t>
  </si>
  <si>
    <t>12,25</t>
  </si>
  <si>
    <t>10.830,00</t>
  </si>
  <si>
    <t>RTX</t>
  </si>
  <si>
    <t>61.225,00</t>
  </si>
  <si>
    <t>RTXD</t>
  </si>
  <si>
    <t>43,67</t>
  </si>
  <si>
    <t>SAN</t>
  </si>
  <si>
    <t>66.150,00</t>
  </si>
  <si>
    <t>SAND</t>
  </si>
  <si>
    <t>45,05</t>
  </si>
  <si>
    <t>SAP</t>
  </si>
  <si>
    <t>48.380,00</t>
  </si>
  <si>
    <t>SAPD</t>
  </si>
  <si>
    <t>32,83</t>
  </si>
  <si>
    <t>4.690,00</t>
  </si>
  <si>
    <t>SBSP3</t>
  </si>
  <si>
    <t>40.520,00</t>
  </si>
  <si>
    <t>11.850,00</t>
  </si>
  <si>
    <t>151.250,00</t>
  </si>
  <si>
    <t>1.387,00</t>
  </si>
  <si>
    <t>4.055,00</t>
  </si>
  <si>
    <t>SED</t>
  </si>
  <si>
    <t>2,83</t>
  </si>
  <si>
    <t>6.730,00</t>
  </si>
  <si>
    <t>4,74</t>
  </si>
  <si>
    <t>1.660,00</t>
  </si>
  <si>
    <t>17.770,00</t>
  </si>
  <si>
    <t>SIDD</t>
  </si>
  <si>
    <t>12,80</t>
  </si>
  <si>
    <t>24.200,00</t>
  </si>
  <si>
    <t>SLBD</t>
  </si>
  <si>
    <t>17,10</t>
  </si>
  <si>
    <t>SNA</t>
  </si>
  <si>
    <t>94.000,00</t>
  </si>
  <si>
    <t>7.805,00</t>
  </si>
  <si>
    <t>8.270,00</t>
  </si>
  <si>
    <t>3.962,50</t>
  </si>
  <si>
    <t>7.610,00</t>
  </si>
  <si>
    <t>SPGI</t>
  </si>
  <si>
    <t>14.690,00</t>
  </si>
  <si>
    <t>27.660,00</t>
  </si>
  <si>
    <t>50.400,00</t>
  </si>
  <si>
    <t>35,07</t>
  </si>
  <si>
    <t>2.156,00</t>
  </si>
  <si>
    <t>STNE</t>
  </si>
  <si>
    <t>7.005,00</t>
  </si>
  <si>
    <t>SUZ</t>
  </si>
  <si>
    <t>15.950,00</t>
  </si>
  <si>
    <t>SUZB3</t>
  </si>
  <si>
    <t>15.650,00</t>
  </si>
  <si>
    <t>SWKS</t>
  </si>
  <si>
    <t>SYY</t>
  </si>
  <si>
    <t>16.340,00</t>
  </si>
  <si>
    <t>TCOM</t>
  </si>
  <si>
    <t>9,85</t>
  </si>
  <si>
    <t>TEN</t>
  </si>
  <si>
    <t>78.400,00</t>
  </si>
  <si>
    <t>TEND</t>
  </si>
  <si>
    <t>54,50</t>
  </si>
  <si>
    <t>7.460,00</t>
  </si>
  <si>
    <t>5,22</t>
  </si>
  <si>
    <t>TIMB</t>
  </si>
  <si>
    <t>36.860,00</t>
  </si>
  <si>
    <t>TJX</t>
  </si>
  <si>
    <t>10.450,00</t>
  </si>
  <si>
    <t>22.880,00</t>
  </si>
  <si>
    <t>TMD</t>
  </si>
  <si>
    <t>15,94</t>
  </si>
  <si>
    <t>TMO</t>
  </si>
  <si>
    <t>34.120,00</t>
  </si>
  <si>
    <t>TMUS</t>
  </si>
  <si>
    <t>9.685,00</t>
  </si>
  <si>
    <t>7.295,00</t>
  </si>
  <si>
    <t>38.640,00</t>
  </si>
  <si>
    <t>58.125,00</t>
  </si>
  <si>
    <t>40,55</t>
  </si>
  <si>
    <t>38.840,00</t>
  </si>
  <si>
    <t>TV</t>
  </si>
  <si>
    <t>1.351,00</t>
  </si>
  <si>
    <t>TVD</t>
  </si>
  <si>
    <t>0,93</t>
  </si>
  <si>
    <t>5.080,00</t>
  </si>
  <si>
    <t>TXN</t>
  </si>
  <si>
    <t>60.225,00</t>
  </si>
  <si>
    <t>TXND</t>
  </si>
  <si>
    <t>42,63</t>
  </si>
  <si>
    <t>15.180,00</t>
  </si>
  <si>
    <t>TXRD</t>
  </si>
  <si>
    <t>UAL</t>
  </si>
  <si>
    <t>30.420,00</t>
  </si>
  <si>
    <t>UALD</t>
  </si>
  <si>
    <t>21,34</t>
  </si>
  <si>
    <t>56.850,00</t>
  </si>
  <si>
    <t>UGP</t>
  </si>
  <si>
    <t>7.090,00</t>
  </si>
  <si>
    <t>UL</t>
  </si>
  <si>
    <t>33.960,00</t>
  </si>
  <si>
    <t>ULD</t>
  </si>
  <si>
    <t>23,68</t>
  </si>
  <si>
    <t>12.950,00</t>
  </si>
  <si>
    <t>9,00</t>
  </si>
  <si>
    <t>19.560,00</t>
  </si>
  <si>
    <t>UNPD</t>
  </si>
  <si>
    <t>13,14</t>
  </si>
  <si>
    <t>UPST</t>
  </si>
  <si>
    <t>8.550,00</t>
  </si>
  <si>
    <t>URBN</t>
  </si>
  <si>
    <t>48.360,00</t>
  </si>
  <si>
    <t>USB</t>
  </si>
  <si>
    <t>16.130,00</t>
  </si>
  <si>
    <t>26.440,00</t>
  </si>
  <si>
    <t>11.670,00</t>
  </si>
  <si>
    <t>VALE3</t>
  </si>
  <si>
    <t>23.830,00</t>
  </si>
  <si>
    <t>9.865,00</t>
  </si>
  <si>
    <t>VEAD</t>
  </si>
  <si>
    <t>6,90</t>
  </si>
  <si>
    <t>29.140,00</t>
  </si>
  <si>
    <t>VIV</t>
  </si>
  <si>
    <t>23.280,00</t>
  </si>
  <si>
    <t>VIVT3</t>
  </si>
  <si>
    <t>11.450,00</t>
  </si>
  <si>
    <t>VOD</t>
  </si>
  <si>
    <t>22.030,00</t>
  </si>
  <si>
    <t>VODD</t>
  </si>
  <si>
    <t>15,39</t>
  </si>
  <si>
    <t>VRSN</t>
  </si>
  <si>
    <t>57.875,00</t>
  </si>
  <si>
    <t>18.820,00</t>
  </si>
  <si>
    <t>13,13</t>
  </si>
  <si>
    <t>WBO</t>
  </si>
  <si>
    <t>2.367,00</t>
  </si>
  <si>
    <t>WBOD</t>
  </si>
  <si>
    <t>WEGE3</t>
  </si>
  <si>
    <t>13.280,00</t>
  </si>
  <si>
    <t>24.530,00</t>
  </si>
  <si>
    <t>WFCD</t>
  </si>
  <si>
    <t>10.520,00</t>
  </si>
  <si>
    <t>7,28</t>
  </si>
  <si>
    <t>XLB</t>
  </si>
  <si>
    <t>4.265,00</t>
  </si>
  <si>
    <t>XLBD</t>
  </si>
  <si>
    <t>2,95</t>
  </si>
  <si>
    <t>XLC</t>
  </si>
  <si>
    <t>9.140,00</t>
  </si>
  <si>
    <t>XLCD</t>
  </si>
  <si>
    <t>6,33</t>
  </si>
  <si>
    <t>42.000,00</t>
  </si>
  <si>
    <t>29,30</t>
  </si>
  <si>
    <t>38.040,00</t>
  </si>
  <si>
    <t>26,78</t>
  </si>
  <si>
    <t>9.255,00</t>
  </si>
  <si>
    <t>6,34</t>
  </si>
  <si>
    <t>4.440,00</t>
  </si>
  <si>
    <t>XLKD</t>
  </si>
  <si>
    <t>3,12</t>
  </si>
  <si>
    <t>8.140,00</t>
  </si>
  <si>
    <t>5,62</t>
  </si>
  <si>
    <t>7.175,00</t>
  </si>
  <si>
    <t>7.995,00</t>
  </si>
  <si>
    <t>XLVD</t>
  </si>
  <si>
    <t>5,63</t>
  </si>
  <si>
    <t>XLYD</t>
  </si>
  <si>
    <t>2,70</t>
  </si>
  <si>
    <t>22.490,00</t>
  </si>
  <si>
    <t>15,63</t>
  </si>
  <si>
    <t>7.455,00</t>
  </si>
  <si>
    <t>XPD</t>
  </si>
  <si>
    <t>5,31</t>
  </si>
  <si>
    <t>XROX</t>
  </si>
  <si>
    <t>2.493,00</t>
  </si>
  <si>
    <t>4.732,50</t>
  </si>
  <si>
    <t>XYZD</t>
  </si>
  <si>
    <t>3,24</t>
  </si>
  <si>
    <t>YELP</t>
  </si>
  <si>
    <t>17.100,00</t>
  </si>
  <si>
    <t>ZM</t>
  </si>
  <si>
    <t>2.330,00</t>
  </si>
  <si>
    <t>2.720,00</t>
  </si>
  <si>
    <t>39,70</t>
  </si>
  <si>
    <t>3.500,00</t>
  </si>
  <si>
    <t>339,00</t>
  </si>
  <si>
    <t>37,90</t>
  </si>
  <si>
    <t>2.040,00</t>
  </si>
  <si>
    <t>552,00</t>
  </si>
  <si>
    <t>3.750,00</t>
  </si>
  <si>
    <t>25,20</t>
  </si>
  <si>
    <t>270,00</t>
  </si>
  <si>
    <t>1.970,00</t>
  </si>
  <si>
    <t>1.740,00</t>
  </si>
  <si>
    <t>6.520,00</t>
  </si>
  <si>
    <t>1.565,00</t>
  </si>
  <si>
    <t>66,00</t>
  </si>
  <si>
    <t>19,75</t>
  </si>
  <si>
    <t>195,00</t>
  </si>
  <si>
    <t>203,50</t>
  </si>
  <si>
    <t>200,00</t>
  </si>
  <si>
    <t>15,60</t>
  </si>
  <si>
    <t>2.925,00</t>
  </si>
  <si>
    <t>2.670,00</t>
  </si>
  <si>
    <t>1.500,00</t>
  </si>
  <si>
    <t>5.430,00</t>
  </si>
  <si>
    <t>790,00</t>
  </si>
  <si>
    <t>INAG</t>
  </si>
  <si>
    <t>325,00</t>
  </si>
  <si>
    <t>2.195,00</t>
  </si>
  <si>
    <t>677,00</t>
  </si>
  <si>
    <t>18.400,00</t>
  </si>
  <si>
    <t>25.850,00</t>
  </si>
  <si>
    <t>2.710,00</t>
  </si>
  <si>
    <t>27,40</t>
  </si>
  <si>
    <t>794,00</t>
  </si>
  <si>
    <t>1.100,00</t>
  </si>
  <si>
    <t>259,00</t>
  </si>
  <si>
    <t>1.620,00</t>
  </si>
  <si>
    <t>473,00</t>
  </si>
  <si>
    <t>203,00</t>
  </si>
  <si>
    <t>476,00</t>
  </si>
  <si>
    <t>16,70</t>
  </si>
  <si>
    <t>0,51</t>
  </si>
  <si>
    <t>6.950,00</t>
  </si>
  <si>
    <t>4,85</t>
  </si>
  <si>
    <t>11.000,00</t>
  </si>
  <si>
    <t>7,67</t>
  </si>
  <si>
    <t>305,00</t>
  </si>
  <si>
    <t>1,55</t>
  </si>
  <si>
    <t>39,60</t>
  </si>
  <si>
    <t>0,03</t>
  </si>
  <si>
    <t>1.627,00</t>
  </si>
  <si>
    <t>1,13</t>
  </si>
  <si>
    <t>1,88</t>
  </si>
  <si>
    <t>1.944,00</t>
  </si>
  <si>
    <t>1,36</t>
  </si>
  <si>
    <t>6.505,00</t>
  </si>
  <si>
    <t>4,57</t>
  </si>
  <si>
    <t>1,53</t>
  </si>
  <si>
    <t>2,07</t>
  </si>
  <si>
    <t>1.850,00</t>
  </si>
  <si>
    <t>1,30</t>
  </si>
  <si>
    <t>4.482,50</t>
  </si>
  <si>
    <t>3,14</t>
  </si>
  <si>
    <t>2.625,00</t>
  </si>
  <si>
    <t>1,84</t>
  </si>
  <si>
    <t>3.257,50</t>
  </si>
  <si>
    <t>2,28</t>
  </si>
  <si>
    <t>2,58</t>
  </si>
  <si>
    <t>3.817,50</t>
  </si>
  <si>
    <t>8.665,00</t>
  </si>
  <si>
    <t>6,11</t>
  </si>
  <si>
    <t>3.845,00</t>
  </si>
  <si>
    <t>2,69</t>
  </si>
  <si>
    <t>572,00</t>
  </si>
  <si>
    <t>0,40</t>
  </si>
  <si>
    <t>511,50</t>
  </si>
  <si>
    <t>0,36</t>
  </si>
  <si>
    <t>52.175,00</t>
  </si>
  <si>
    <t>36,54</t>
  </si>
  <si>
    <t>27/02/2026</t>
  </si>
  <si>
    <t>febrero</t>
  </si>
  <si>
    <t>1ra fecha met. 2026</t>
  </si>
  <si>
    <t>6/2 1/6 7-10</t>
  </si>
  <si>
    <t>Fernandez, Rodrigo</t>
  </si>
  <si>
    <t>2da fecha met. 2026</t>
  </si>
  <si>
    <t>Soto, Santiago</t>
  </si>
  <si>
    <t>1/6 - 4/6</t>
  </si>
  <si>
    <t>2/6 - 6/4 - (8/10)</t>
  </si>
  <si>
    <t>GOAT</t>
  </si>
  <si>
    <t>Bon o bon</t>
  </si>
  <si>
    <t>Oreo</t>
  </si>
  <si>
    <t>Milka</t>
  </si>
  <si>
    <t>Mousse Blanco</t>
  </si>
  <si>
    <t>Superd Dulce de Leche</t>
  </si>
  <si>
    <t>Cofler</t>
  </si>
  <si>
    <t>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</si>
</sst>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.00_);\(&quot;$&quot;#,##0.00\)"/>
    <numFmt numFmtId="165" formatCode="&quot;$&quot;#,##0.00"/>
    <numFmt numFmtId="166" formatCode="&quot;$&quot;#,##0.0000"/>
    <numFmt numFmtId="167" formatCode="mmmm"/>
    <numFmt numFmtId="168" formatCode="[$-1540A]dddd\,\ dd\ mmmm\,\ yyyy;@"/>
    <numFmt numFmtId="169" formatCode="&quot;$&quot;\ #,##0.00"/>
    <numFmt numFmtId="170" formatCode="0.00000000"/>
    <numFmt numFmtId="171" formatCode="m/d/yyyy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862E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242C5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05">
    <xf numFmtId="0" fontId="0" fillId="0" borderId="0" xfId="0"/>
    <xf numFmtId="165" fontId="0" fillId="0" borderId="1" xfId="0" applyNumberFormat="1" applyBorder="1" applyAlignment="1">
      <alignment horizontal="center"/>
    </xf>
    <xf numFmtId="0" fontId="0" fillId="0" borderId="4" xfId="0" applyBorder="1"/>
    <xf numFmtId="165" fontId="0" fillId="0" borderId="5" xfId="0" applyNumberFormat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0" xfId="0" applyNumberFormat="1"/>
    <xf numFmtId="0" fontId="1" fillId="4" borderId="23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165" fontId="0" fillId="7" borderId="22" xfId="0" applyNumberFormat="1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165" fontId="1" fillId="2" borderId="13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7" borderId="6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1" fillId="3" borderId="11" xfId="0" applyNumberFormat="1" applyFont="1" applyFill="1" applyBorder="1" applyAlignment="1">
      <alignment horizontal="center"/>
    </xf>
    <xf numFmtId="0" fontId="0" fillId="10" borderId="4" xfId="0" applyFill="1" applyBorder="1"/>
    <xf numFmtId="165" fontId="5" fillId="0" borderId="10" xfId="0" applyNumberFormat="1" applyFont="1" applyBorder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165" fontId="5" fillId="10" borderId="18" xfId="0" applyNumberFormat="1" applyFont="1" applyFill="1" applyBorder="1" applyAlignment="1">
      <alignment horizontal="center"/>
    </xf>
    <xf numFmtId="165" fontId="5" fillId="11" borderId="9" xfId="0" applyNumberFormat="1" applyFont="1" applyFill="1" applyBorder="1" applyAlignment="1">
      <alignment horizontal="center"/>
    </xf>
    <xf numFmtId="165" fontId="5" fillId="11" borderId="1" xfId="0" applyNumberFormat="1" applyFont="1" applyFill="1" applyBorder="1" applyAlignment="1">
      <alignment horizontal="center"/>
    </xf>
    <xf numFmtId="0" fontId="0" fillId="0" borderId="6" xfId="0" applyBorder="1"/>
    <xf numFmtId="0" fontId="0" fillId="14" borderId="4" xfId="0" applyFill="1" applyBorder="1"/>
    <xf numFmtId="0" fontId="0" fillId="0" borderId="16" xfId="0" applyBorder="1"/>
    <xf numFmtId="0" fontId="7" fillId="5" borderId="11" xfId="0" applyFont="1" applyFill="1" applyBorder="1" applyAlignment="1">
      <alignment horizontal="center"/>
    </xf>
    <xf numFmtId="165" fontId="6" fillId="5" borderId="12" xfId="0" applyNumberFormat="1" applyFont="1" applyFill="1" applyBorder="1" applyAlignment="1">
      <alignment horizontal="center"/>
    </xf>
    <xf numFmtId="165" fontId="6" fillId="5" borderId="13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2" borderId="12" xfId="0" applyFont="1" applyFill="1" applyBorder="1" applyAlignment="1">
      <alignment horizontal="center" vertical="top"/>
    </xf>
    <xf numFmtId="0" fontId="0" fillId="0" borderId="35" xfId="0" applyBorder="1"/>
    <xf numFmtId="0" fontId="0" fillId="0" borderId="33" xfId="0" applyBorder="1"/>
    <xf numFmtId="0" fontId="0" fillId="0" borderId="36" xfId="0" applyBorder="1"/>
    <xf numFmtId="0" fontId="0" fillId="13" borderId="6" xfId="0" applyFill="1" applyBorder="1"/>
    <xf numFmtId="2" fontId="5" fillId="10" borderId="18" xfId="0" applyNumberFormat="1" applyFont="1" applyFill="1" applyBorder="1" applyAlignment="1">
      <alignment horizontal="center"/>
    </xf>
    <xf numFmtId="0" fontId="1" fillId="3" borderId="39" xfId="0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5" xfId="0" applyBorder="1"/>
    <xf numFmtId="14" fontId="0" fillId="0" borderId="4" xfId="0" applyNumberFormat="1" applyBorder="1"/>
    <xf numFmtId="0" fontId="0" fillId="0" borderId="24" xfId="0" applyBorder="1"/>
    <xf numFmtId="0" fontId="0" fillId="0" borderId="34" xfId="0" applyBorder="1"/>
    <xf numFmtId="0" fontId="0" fillId="0" borderId="25" xfId="0" applyBorder="1"/>
    <xf numFmtId="0" fontId="0" fillId="0" borderId="40" xfId="0" applyBorder="1"/>
    <xf numFmtId="165" fontId="0" fillId="0" borderId="35" xfId="0" applyNumberFormat="1" applyBorder="1"/>
    <xf numFmtId="0" fontId="0" fillId="0" borderId="32" xfId="0" applyBorder="1"/>
    <xf numFmtId="0" fontId="0" fillId="0" borderId="19" xfId="0" applyBorder="1" applyAlignment="1">
      <alignment horizontal="center"/>
    </xf>
    <xf numFmtId="0" fontId="0" fillId="0" borderId="30" xfId="0" applyBorder="1" applyAlignment="1">
      <alignment horizontal="center"/>
    </xf>
    <xf numFmtId="10" fontId="0" fillId="0" borderId="30" xfId="0" applyNumberFormat="1" applyBorder="1" applyAlignment="1">
      <alignment horizontal="center"/>
    </xf>
    <xf numFmtId="10" fontId="0" fillId="0" borderId="20" xfId="0" applyNumberFormat="1" applyBorder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4" fillId="12" borderId="12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/>
    </xf>
    <xf numFmtId="165" fontId="0" fillId="13" borderId="1" xfId="0" applyNumberFormat="1" applyFill="1" applyBorder="1" applyAlignment="1">
      <alignment horizontal="center"/>
    </xf>
    <xf numFmtId="14" fontId="5" fillId="10" borderId="1" xfId="0" applyNumberFormat="1" applyFont="1" applyFill="1" applyBorder="1" applyAlignment="1">
      <alignment horizontal="center"/>
    </xf>
    <xf numFmtId="14" fontId="6" fillId="3" borderId="1" xfId="0" applyNumberFormat="1" applyFont="1" applyFill="1" applyBorder="1" applyAlignment="1">
      <alignment horizontal="center"/>
    </xf>
    <xf numFmtId="165" fontId="5" fillId="11" borderId="18" xfId="0" applyNumberFormat="1" applyFont="1" applyFill="1" applyBorder="1" applyAlignment="1">
      <alignment horizontal="center"/>
    </xf>
    <xf numFmtId="0" fontId="1" fillId="5" borderId="11" xfId="0" applyFont="1" applyFill="1" applyBorder="1" applyAlignment="1">
      <alignment horizontal="right"/>
    </xf>
    <xf numFmtId="165" fontId="4" fillId="10" borderId="42" xfId="0" applyNumberFormat="1" applyFont="1" applyFill="1" applyBorder="1" applyAlignment="1">
      <alignment horizontal="center"/>
    </xf>
    <xf numFmtId="0" fontId="0" fillId="0" borderId="18" xfId="0" applyBorder="1"/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center"/>
    </xf>
    <xf numFmtId="0" fontId="1" fillId="3" borderId="12" xfId="0" applyFont="1" applyFill="1" applyBorder="1" applyAlignment="1">
      <alignment horizontal="center" vertical="top"/>
    </xf>
    <xf numFmtId="10" fontId="0" fillId="0" borderId="5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7" xfId="0" applyNumberFormat="1" applyBorder="1"/>
    <xf numFmtId="0" fontId="5" fillId="9" borderId="1" xfId="0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/>
    </xf>
    <xf numFmtId="0" fontId="5" fillId="9" borderId="45" xfId="0" applyFont="1" applyFill="1" applyBorder="1" applyAlignment="1">
      <alignment horizontal="center" vertical="center"/>
    </xf>
    <xf numFmtId="0" fontId="6" fillId="0" borderId="18" xfId="0" applyFont="1" applyBorder="1"/>
    <xf numFmtId="0" fontId="6" fillId="0" borderId="49" xfId="0" applyFont="1" applyBorder="1" applyAlignment="1">
      <alignment horizontal="center" vertical="center"/>
    </xf>
    <xf numFmtId="0" fontId="5" fillId="12" borderId="45" xfId="0" applyFont="1" applyFill="1" applyBorder="1" applyAlignment="1">
      <alignment horizontal="center" vertical="center"/>
    </xf>
    <xf numFmtId="14" fontId="0" fillId="0" borderId="44" xfId="0" applyNumberFormat="1" applyBorder="1" applyAlignment="1">
      <alignment horizontal="center"/>
    </xf>
    <xf numFmtId="14" fontId="0" fillId="0" borderId="48" xfId="0" applyNumberFormat="1" applyBorder="1"/>
    <xf numFmtId="165" fontId="0" fillId="0" borderId="45" xfId="0" applyNumberFormat="1" applyBorder="1" applyAlignment="1">
      <alignment horizontal="center"/>
    </xf>
    <xf numFmtId="165" fontId="1" fillId="2" borderId="7" xfId="0" applyNumberFormat="1" applyFont="1" applyFill="1" applyBorder="1" applyAlignment="1">
      <alignment horizontal="left"/>
    </xf>
    <xf numFmtId="14" fontId="0" fillId="15" borderId="22" xfId="0" applyNumberForma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left"/>
    </xf>
    <xf numFmtId="0" fontId="5" fillId="18" borderId="1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38" xfId="0" applyFont="1" applyFill="1" applyBorder="1" applyAlignment="1">
      <alignment horizontal="center"/>
    </xf>
    <xf numFmtId="0" fontId="7" fillId="4" borderId="0" xfId="0" applyFont="1" applyFill="1" applyAlignment="1">
      <alignment horizontal="center" vertical="top"/>
    </xf>
    <xf numFmtId="0" fontId="7" fillId="4" borderId="29" xfId="0" applyFont="1" applyFill="1" applyBorder="1" applyAlignment="1">
      <alignment horizontal="center"/>
    </xf>
    <xf numFmtId="0" fontId="7" fillId="4" borderId="19" xfId="0" applyFont="1" applyFill="1" applyBorder="1" applyAlignment="1">
      <alignment horizontal="center"/>
    </xf>
    <xf numFmtId="0" fontId="7" fillId="4" borderId="30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right"/>
    </xf>
    <xf numFmtId="0" fontId="7" fillId="4" borderId="6" xfId="0" applyFont="1" applyFill="1" applyBorder="1" applyAlignment="1">
      <alignment horizontal="center"/>
    </xf>
    <xf numFmtId="0" fontId="7" fillId="4" borderId="22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7" fillId="4" borderId="41" xfId="0" applyFont="1" applyFill="1" applyBorder="1" applyAlignment="1">
      <alignment horizontal="center"/>
    </xf>
    <xf numFmtId="0" fontId="7" fillId="4" borderId="46" xfId="0" applyFont="1" applyFill="1" applyBorder="1" applyAlignment="1">
      <alignment horizontal="center"/>
    </xf>
    <xf numFmtId="0" fontId="7" fillId="4" borderId="47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165" fontId="5" fillId="9" borderId="18" xfId="0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 vertical="top"/>
    </xf>
    <xf numFmtId="0" fontId="1" fillId="4" borderId="3" xfId="0" applyFont="1" applyFill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165" fontId="5" fillId="10" borderId="5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right"/>
    </xf>
    <xf numFmtId="0" fontId="1" fillId="2" borderId="6" xfId="0" applyFont="1" applyFill="1" applyBorder="1" applyAlignment="1">
      <alignment horizontal="right"/>
    </xf>
    <xf numFmtId="0" fontId="0" fillId="0" borderId="6" xfId="0" applyBorder="1" applyAlignment="1">
      <alignment horizontal="center"/>
    </xf>
    <xf numFmtId="166" fontId="0" fillId="0" borderId="22" xfId="0" applyNumberFormat="1" applyBorder="1" applyAlignment="1">
      <alignment horizontal="center"/>
    </xf>
    <xf numFmtId="0" fontId="0" fillId="17" borderId="6" xfId="0" applyFill="1" applyBorder="1"/>
    <xf numFmtId="165" fontId="6" fillId="0" borderId="18" xfId="0" applyNumberFormat="1" applyFont="1" applyBorder="1" applyAlignment="1">
      <alignment horizontal="center"/>
    </xf>
    <xf numFmtId="0" fontId="11" fillId="0" borderId="54" xfId="0" applyFont="1" applyBorder="1" applyAlignment="1">
      <alignment horizontal="center"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0" fontId="15" fillId="3" borderId="4" xfId="0" applyFont="1" applyFill="1" applyBorder="1" applyAlignment="1">
      <alignment horizontal="center" vertical="center"/>
    </xf>
    <xf numFmtId="0" fontId="10" fillId="24" borderId="4" xfId="0" applyFont="1" applyFill="1" applyBorder="1" applyAlignment="1">
      <alignment horizontal="center" vertical="center"/>
    </xf>
    <xf numFmtId="165" fontId="6" fillId="0" borderId="17" xfId="0" applyNumberFormat="1" applyFont="1" applyBorder="1" applyAlignment="1">
      <alignment horizontal="center"/>
    </xf>
    <xf numFmtId="0" fontId="0" fillId="0" borderId="22" xfId="0" applyBorder="1"/>
    <xf numFmtId="0" fontId="0" fillId="0" borderId="7" xfId="0" applyBorder="1"/>
    <xf numFmtId="165" fontId="0" fillId="0" borderId="5" xfId="0" applyNumberFormat="1" applyBorder="1" applyAlignment="1">
      <alignment horizontal="left"/>
    </xf>
    <xf numFmtId="165" fontId="0" fillId="0" borderId="17" xfId="0" applyNumberFormat="1" applyBorder="1" applyAlignment="1">
      <alignment horizontal="left"/>
    </xf>
    <xf numFmtId="165" fontId="0" fillId="17" borderId="7" xfId="0" applyNumberFormat="1" applyFill="1" applyBorder="1" applyAlignment="1">
      <alignment horizontal="left"/>
    </xf>
    <xf numFmtId="0" fontId="0" fillId="27" borderId="0" xfId="0" applyFill="1"/>
    <xf numFmtId="0" fontId="8" fillId="27" borderId="0" xfId="0" applyFont="1" applyFill="1"/>
    <xf numFmtId="168" fontId="8" fillId="27" borderId="0" xfId="0" applyNumberFormat="1" applyFont="1" applyFill="1"/>
    <xf numFmtId="0" fontId="0" fillId="8" borderId="4" xfId="0" applyFill="1" applyBorder="1" applyAlignment="1">
      <alignment horizontal="center"/>
    </xf>
    <xf numFmtId="0" fontId="0" fillId="19" borderId="16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1" xfId="0" applyBorder="1" applyAlignment="1">
      <alignment vertical="center"/>
    </xf>
    <xf numFmtId="165" fontId="10" fillId="0" borderId="23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25" borderId="4" xfId="0" applyFont="1" applyFill="1" applyBorder="1" applyAlignment="1">
      <alignment horizontal="center" vertical="center"/>
    </xf>
    <xf numFmtId="0" fontId="9" fillId="26" borderId="4" xfId="0" applyFont="1" applyFill="1" applyBorder="1" applyAlignment="1">
      <alignment horizontal="center" vertical="center"/>
    </xf>
    <xf numFmtId="0" fontId="15" fillId="28" borderId="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165" fontId="10" fillId="0" borderId="23" xfId="0" applyNumberFormat="1" applyFont="1" applyBorder="1" applyAlignment="1">
      <alignment horizontal="center"/>
    </xf>
    <xf numFmtId="165" fontId="10" fillId="0" borderId="3" xfId="0" applyNumberFormat="1" applyFont="1" applyBorder="1" applyAlignment="1">
      <alignment horizontal="center"/>
    </xf>
    <xf numFmtId="0" fontId="0" fillId="0" borderId="2" xfId="0" applyBorder="1"/>
    <xf numFmtId="165" fontId="0" fillId="13" borderId="2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13" borderId="22" xfId="0" applyNumberFormat="1" applyFill="1" applyBorder="1" applyAlignment="1">
      <alignment horizontal="center"/>
    </xf>
    <xf numFmtId="0" fontId="0" fillId="0" borderId="20" xfId="0" applyBorder="1" applyAlignment="1">
      <alignment horizontal="center"/>
    </xf>
    <xf numFmtId="165" fontId="1" fillId="5" borderId="13" xfId="0" applyNumberFormat="1" applyFont="1" applyFill="1" applyBorder="1" applyAlignment="1">
      <alignment horizontal="center"/>
    </xf>
    <xf numFmtId="165" fontId="1" fillId="5" borderId="20" xfId="0" applyNumberFormat="1" applyFont="1" applyFill="1" applyBorder="1" applyAlignment="1">
      <alignment horizontal="center"/>
    </xf>
    <xf numFmtId="0" fontId="15" fillId="30" borderId="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5" fillId="14" borderId="4" xfId="0" applyFont="1" applyFill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165" fontId="10" fillId="0" borderId="22" xfId="0" applyNumberFormat="1" applyFont="1" applyBorder="1" applyAlignment="1">
      <alignment horizontal="center" vertical="center"/>
    </xf>
    <xf numFmtId="165" fontId="10" fillId="0" borderId="7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/>
    </xf>
    <xf numFmtId="0" fontId="9" fillId="29" borderId="4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/>
    </xf>
    <xf numFmtId="0" fontId="15" fillId="0" borderId="18" xfId="0" applyFont="1" applyBorder="1" applyAlignment="1">
      <alignment horizontal="center" vertical="center"/>
    </xf>
    <xf numFmtId="165" fontId="10" fillId="0" borderId="18" xfId="0" applyNumberFormat="1" applyFont="1" applyBorder="1" applyAlignment="1">
      <alignment horizontal="center" vertical="center"/>
    </xf>
    <xf numFmtId="165" fontId="10" fillId="0" borderId="30" xfId="0" applyNumberFormat="1" applyFont="1" applyBorder="1" applyAlignment="1">
      <alignment horizontal="center" vertical="center"/>
    </xf>
    <xf numFmtId="165" fontId="10" fillId="0" borderId="20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5" fillId="12" borderId="4" xfId="0" applyFont="1" applyFill="1" applyBorder="1" applyAlignment="1">
      <alignment horizontal="center"/>
    </xf>
    <xf numFmtId="0" fontId="5" fillId="0" borderId="0" xfId="0" applyFont="1"/>
    <xf numFmtId="165" fontId="0" fillId="13" borderId="9" xfId="0" applyNumberFormat="1" applyFill="1" applyBorder="1" applyAlignment="1">
      <alignment horizontal="center"/>
    </xf>
    <xf numFmtId="14" fontId="5" fillId="10" borderId="9" xfId="0" applyNumberFormat="1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165" fontId="6" fillId="5" borderId="20" xfId="0" applyNumberFormat="1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 vertical="center"/>
    </xf>
    <xf numFmtId="0" fontId="9" fillId="31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165" fontId="5" fillId="10" borderId="9" xfId="0" applyNumberFormat="1" applyFont="1" applyFill="1" applyBorder="1" applyAlignment="1">
      <alignment horizontal="center"/>
    </xf>
    <xf numFmtId="0" fontId="0" fillId="0" borderId="4" xfId="0" applyBorder="1" applyAlignment="1">
      <alignment horizontal="right"/>
    </xf>
    <xf numFmtId="169" fontId="0" fillId="0" borderId="0" xfId="0" applyNumberFormat="1"/>
    <xf numFmtId="0" fontId="0" fillId="0" borderId="0" xfId="0" applyAlignment="1">
      <alignment horizontal="center"/>
    </xf>
    <xf numFmtId="0" fontId="1" fillId="5" borderId="19" xfId="0" applyFont="1" applyFill="1" applyBorder="1" applyAlignment="1">
      <alignment horizontal="right"/>
    </xf>
    <xf numFmtId="169" fontId="0" fillId="0" borderId="5" xfId="0" applyNumberForma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5" fontId="5" fillId="10" borderId="22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right"/>
    </xf>
    <xf numFmtId="0" fontId="0" fillId="0" borderId="6" xfId="0" applyBorder="1" applyAlignment="1">
      <alignment horizontal="right"/>
    </xf>
    <xf numFmtId="0" fontId="1" fillId="4" borderId="31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165" fontId="15" fillId="0" borderId="23" xfId="0" applyNumberFormat="1" applyFont="1" applyBorder="1" applyAlignment="1">
      <alignment horizontal="center" vertical="center"/>
    </xf>
    <xf numFmtId="0" fontId="5" fillId="21" borderId="4" xfId="0" applyFont="1" applyFill="1" applyBorder="1" applyAlignment="1">
      <alignment horizontal="center"/>
    </xf>
    <xf numFmtId="170" fontId="5" fillId="10" borderId="1" xfId="0" applyNumberFormat="1" applyFont="1" applyFill="1" applyBorder="1" applyAlignment="1">
      <alignment horizontal="center"/>
    </xf>
    <xf numFmtId="0" fontId="15" fillId="32" borderId="4" xfId="0" applyFont="1" applyFill="1" applyBorder="1" applyAlignment="1">
      <alignment horizontal="center" vertical="center"/>
    </xf>
    <xf numFmtId="14" fontId="0" fillId="27" borderId="0" xfId="0" applyNumberFormat="1" applyFill="1"/>
    <xf numFmtId="165" fontId="4" fillId="10" borderId="20" xfId="0" applyNumberFormat="1" applyFont="1" applyFill="1" applyBorder="1" applyAlignment="1">
      <alignment horizontal="center"/>
    </xf>
    <xf numFmtId="165" fontId="1" fillId="3" borderId="20" xfId="0" applyNumberFormat="1" applyFont="1" applyFill="1" applyBorder="1" applyAlignment="1">
      <alignment horizontal="center"/>
    </xf>
    <xf numFmtId="165" fontId="5" fillId="11" borderId="22" xfId="0" applyNumberFormat="1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165" fontId="0" fillId="0" borderId="57" xfId="0" applyNumberFormat="1" applyBorder="1" applyAlignment="1">
      <alignment horizontal="center"/>
    </xf>
    <xf numFmtId="165" fontId="1" fillId="3" borderId="42" xfId="0" applyNumberFormat="1" applyFont="1" applyFill="1" applyBorder="1" applyAlignment="1">
      <alignment horizontal="center"/>
    </xf>
    <xf numFmtId="165" fontId="0" fillId="0" borderId="40" xfId="0" applyNumberFormat="1" applyBorder="1"/>
    <xf numFmtId="14" fontId="6" fillId="0" borderId="0" xfId="0" applyNumberFormat="1" applyFont="1" applyAlignment="1">
      <alignment horizontal="center"/>
    </xf>
    <xf numFmtId="0" fontId="15" fillId="0" borderId="44" xfId="0" applyFont="1" applyBorder="1" applyAlignment="1">
      <alignment horizontal="center" vertical="center"/>
    </xf>
    <xf numFmtId="165" fontId="10" fillId="0" borderId="27" xfId="0" applyNumberFormat="1" applyFont="1" applyBorder="1" applyAlignment="1">
      <alignment horizontal="center" vertical="center"/>
    </xf>
    <xf numFmtId="165" fontId="10" fillId="0" borderId="43" xfId="0" applyNumberFormat="1" applyFont="1" applyBorder="1" applyAlignment="1">
      <alignment horizontal="center" vertical="center"/>
    </xf>
    <xf numFmtId="0" fontId="7" fillId="4" borderId="56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2" borderId="57" xfId="0" applyFont="1" applyFill="1" applyBorder="1" applyAlignment="1">
      <alignment horizontal="center"/>
    </xf>
    <xf numFmtId="0" fontId="15" fillId="0" borderId="48" xfId="0" applyFont="1" applyBorder="1" applyAlignment="1">
      <alignment horizontal="center" vertical="center"/>
    </xf>
    <xf numFmtId="0" fontId="9" fillId="9" borderId="44" xfId="0" applyFont="1" applyFill="1" applyBorder="1" applyAlignment="1">
      <alignment horizontal="center" vertical="center"/>
    </xf>
    <xf numFmtId="165" fontId="10" fillId="0" borderId="27" xfId="0" applyNumberFormat="1" applyFont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2" borderId="47" xfId="0" applyFont="1" applyFill="1" applyBorder="1" applyAlignment="1">
      <alignment horizontal="center"/>
    </xf>
    <xf numFmtId="0" fontId="10" fillId="8" borderId="58" xfId="0" applyFont="1" applyFill="1" applyBorder="1" applyAlignment="1">
      <alignment horizontal="center" vertical="center"/>
    </xf>
    <xf numFmtId="0" fontId="0" fillId="0" borderId="44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49" xfId="0" applyBorder="1" applyAlignment="1">
      <alignment vertical="center"/>
    </xf>
    <xf numFmtId="0" fontId="9" fillId="28" borderId="58" xfId="0" applyFont="1" applyFill="1" applyBorder="1" applyAlignment="1">
      <alignment horizontal="center" vertical="center"/>
    </xf>
    <xf numFmtId="0" fontId="9" fillId="20" borderId="58" xfId="0" applyFont="1" applyFill="1" applyBorder="1" applyAlignment="1">
      <alignment horizontal="center" vertical="center"/>
    </xf>
    <xf numFmtId="0" fontId="10" fillId="2" borderId="44" xfId="0" applyFont="1" applyFill="1" applyBorder="1" applyAlignment="1">
      <alignment horizontal="center" vertical="center"/>
    </xf>
    <xf numFmtId="0" fontId="10" fillId="17" borderId="44" xfId="0" applyFont="1" applyFill="1" applyBorder="1" applyAlignment="1">
      <alignment horizontal="center" vertical="center"/>
    </xf>
    <xf numFmtId="0" fontId="10" fillId="19" borderId="44" xfId="0" applyFont="1" applyFill="1" applyBorder="1" applyAlignment="1">
      <alignment horizontal="center" vertical="center"/>
    </xf>
    <xf numFmtId="0" fontId="10" fillId="22" borderId="44" xfId="0" applyFont="1" applyFill="1" applyBorder="1" applyAlignment="1">
      <alignment horizontal="center" vertical="center"/>
    </xf>
    <xf numFmtId="0" fontId="9" fillId="16" borderId="2" xfId="0" applyFont="1" applyFill="1" applyBorder="1" applyAlignment="1">
      <alignment horizontal="center" vertical="center"/>
    </xf>
    <xf numFmtId="0" fontId="9" fillId="23" borderId="4" xfId="0" applyFont="1" applyFill="1" applyBorder="1" applyAlignment="1">
      <alignment horizontal="center" vertical="center"/>
    </xf>
    <xf numFmtId="165" fontId="10" fillId="0" borderId="49" xfId="0" applyNumberFormat="1" applyFont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15" fillId="13" borderId="2" xfId="0" applyFont="1" applyFill="1" applyBorder="1" applyAlignment="1">
      <alignment horizontal="center" vertical="center"/>
    </xf>
    <xf numFmtId="0" fontId="9" fillId="12" borderId="4" xfId="0" applyFont="1" applyFill="1" applyBorder="1" applyAlignment="1">
      <alignment horizontal="center" vertical="center"/>
    </xf>
    <xf numFmtId="165" fontId="10" fillId="0" borderId="7" xfId="0" applyNumberFormat="1" applyFont="1" applyBorder="1" applyAlignment="1">
      <alignment horizontal="center"/>
    </xf>
    <xf numFmtId="165" fontId="3" fillId="0" borderId="4" xfId="0" applyNumberFormat="1" applyFont="1" applyBorder="1" applyAlignment="1">
      <alignment horizontal="center"/>
    </xf>
    <xf numFmtId="0" fontId="7" fillId="4" borderId="31" xfId="0" applyFont="1" applyFill="1" applyBorder="1" applyAlignment="1">
      <alignment horizontal="center"/>
    </xf>
    <xf numFmtId="0" fontId="1" fillId="3" borderId="59" xfId="0" applyFont="1" applyFill="1" applyBorder="1" applyAlignment="1">
      <alignment horizontal="center" vertical="top"/>
    </xf>
    <xf numFmtId="0" fontId="1" fillId="2" borderId="59" xfId="0" applyFont="1" applyFill="1" applyBorder="1" applyAlignment="1">
      <alignment horizontal="center" vertical="top"/>
    </xf>
    <xf numFmtId="0" fontId="7" fillId="4" borderId="53" xfId="0" applyFon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23" xfId="0" applyNumberFormat="1" applyBorder="1" applyAlignment="1">
      <alignment horizontal="center"/>
    </xf>
    <xf numFmtId="10" fontId="0" fillId="0" borderId="22" xfId="0" applyNumberFormat="1" applyBorder="1"/>
    <xf numFmtId="10" fontId="0" fillId="0" borderId="9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" fontId="5" fillId="18" borderId="1" xfId="0" applyNumberFormat="1" applyFont="1" applyFill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1" fillId="0" borderId="0" xfId="0" applyFont="1"/>
    <xf numFmtId="165" fontId="0" fillId="0" borderId="9" xfId="0" applyNumberFormat="1" applyBorder="1" applyAlignment="1">
      <alignment horizontal="left"/>
    </xf>
    <xf numFmtId="165" fontId="0" fillId="0" borderId="1" xfId="0" applyNumberFormat="1" applyBorder="1" applyAlignment="1">
      <alignment horizontal="left"/>
    </xf>
    <xf numFmtId="165" fontId="0" fillId="0" borderId="18" xfId="0" applyNumberFormat="1" applyBorder="1" applyAlignment="1">
      <alignment horizontal="left"/>
    </xf>
    <xf numFmtId="0" fontId="0" fillId="33" borderId="24" xfId="0" applyFill="1" applyBorder="1"/>
    <xf numFmtId="0" fontId="0" fillId="33" borderId="34" xfId="0" applyFill="1" applyBorder="1"/>
    <xf numFmtId="0" fontId="0" fillId="33" borderId="25" xfId="0" applyFill="1" applyBorder="1"/>
    <xf numFmtId="0" fontId="0" fillId="33" borderId="40" xfId="0" applyFill="1" applyBorder="1"/>
    <xf numFmtId="0" fontId="0" fillId="33" borderId="0" xfId="0" applyFill="1"/>
    <xf numFmtId="0" fontId="0" fillId="33" borderId="35" xfId="0" applyFill="1" applyBorder="1"/>
    <xf numFmtId="165" fontId="0" fillId="33" borderId="0" xfId="0" applyNumberFormat="1" applyFill="1"/>
    <xf numFmtId="4" fontId="0" fillId="33" borderId="0" xfId="0" applyNumberFormat="1" applyFill="1"/>
    <xf numFmtId="0" fontId="0" fillId="33" borderId="32" xfId="0" applyFill="1" applyBorder="1"/>
    <xf numFmtId="0" fontId="0" fillId="33" borderId="33" xfId="0" applyFill="1" applyBorder="1"/>
    <xf numFmtId="0" fontId="0" fillId="33" borderId="36" xfId="0" applyFill="1" applyBorder="1"/>
    <xf numFmtId="169" fontId="0" fillId="33" borderId="40" xfId="0" applyNumberFormat="1" applyFill="1" applyBorder="1"/>
    <xf numFmtId="0" fontId="5" fillId="18" borderId="45" xfId="0" applyFont="1" applyFill="1" applyBorder="1" applyAlignment="1">
      <alignment horizontal="center" vertical="center"/>
    </xf>
    <xf numFmtId="49" fontId="5" fillId="12" borderId="1" xfId="0" applyNumberFormat="1" applyFont="1" applyFill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23" xfId="0" applyBorder="1" applyAlignment="1">
      <alignment horizontal="left"/>
    </xf>
    <xf numFmtId="0" fontId="0" fillId="0" borderId="1" xfId="0" applyBorder="1" applyAlignment="1">
      <alignment horizontal="left"/>
    </xf>
    <xf numFmtId="165" fontId="5" fillId="10" borderId="59" xfId="0" applyNumberFormat="1" applyFont="1" applyFill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165" fontId="0" fillId="0" borderId="53" xfId="0" applyNumberFormat="1" applyBorder="1" applyAlignment="1">
      <alignment horizontal="center"/>
    </xf>
    <xf numFmtId="14" fontId="6" fillId="3" borderId="22" xfId="0" applyNumberFormat="1" applyFont="1" applyFill="1" applyBorder="1" applyAlignment="1">
      <alignment horizontal="center"/>
    </xf>
    <xf numFmtId="14" fontId="5" fillId="10" borderId="59" xfId="0" applyNumberFormat="1" applyFont="1" applyFill="1" applyBorder="1" applyAlignment="1">
      <alignment horizontal="center"/>
    </xf>
    <xf numFmtId="165" fontId="5" fillId="10" borderId="17" xfId="0" applyNumberFormat="1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165" fontId="5" fillId="10" borderId="2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0" fillId="0" borderId="39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6" borderId="31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4" fillId="16" borderId="59" xfId="0" applyFont="1" applyFill="1" applyBorder="1" applyAlignment="1">
      <alignment horizontal="center"/>
    </xf>
    <xf numFmtId="0" fontId="4" fillId="16" borderId="53" xfId="0" applyFont="1" applyFill="1" applyBorder="1" applyAlignment="1">
      <alignment horizontal="center"/>
    </xf>
    <xf numFmtId="0" fontId="0" fillId="13" borderId="3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18" fillId="27" borderId="0" xfId="0" applyFont="1" applyFill="1"/>
    <xf numFmtId="169" fontId="0" fillId="0" borderId="3" xfId="0" applyNumberFormat="1" applyBorder="1" applyAlignment="1">
      <alignment horizontal="center" vertical="center"/>
    </xf>
    <xf numFmtId="169" fontId="0" fillId="0" borderId="5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0" fontId="4" fillId="16" borderId="42" xfId="0" applyFont="1" applyFill="1" applyBorder="1" applyAlignment="1">
      <alignment horizontal="center"/>
    </xf>
    <xf numFmtId="0" fontId="9" fillId="10" borderId="23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9" fillId="10" borderId="23" xfId="0" applyFont="1" applyFill="1" applyBorder="1" applyAlignment="1">
      <alignment horizontal="center"/>
    </xf>
    <xf numFmtId="0" fontId="5" fillId="12" borderId="9" xfId="0" applyFont="1" applyFill="1" applyBorder="1" applyAlignment="1">
      <alignment horizontal="center"/>
    </xf>
    <xf numFmtId="0" fontId="5" fillId="12" borderId="43" xfId="0" applyFont="1" applyFill="1" applyBorder="1" applyAlignment="1">
      <alignment horizontal="center" vertical="center"/>
    </xf>
    <xf numFmtId="165" fontId="0" fillId="13" borderId="29" xfId="0" applyNumberFormat="1" applyFill="1" applyBorder="1" applyAlignment="1">
      <alignment horizontal="center"/>
    </xf>
    <xf numFmtId="17" fontId="5" fillId="21" borderId="8" xfId="0" applyNumberFormat="1" applyFont="1" applyFill="1" applyBorder="1" applyAlignment="1">
      <alignment horizontal="center"/>
    </xf>
    <xf numFmtId="165" fontId="5" fillId="10" borderId="1" xfId="0" applyNumberFormat="1" applyFont="1" applyFill="1" applyBorder="1" applyAlignment="1">
      <alignment horizontal="center"/>
    </xf>
    <xf numFmtId="171" fontId="0" fillId="0" borderId="44" xfId="0" applyNumberFormat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6" fillId="8" borderId="45" xfId="0" applyFont="1" applyFill="1" applyBorder="1" applyAlignment="1">
      <alignment horizontal="center" vertical="center"/>
    </xf>
    <xf numFmtId="17" fontId="0" fillId="0" borderId="0" xfId="0" applyNumberFormat="1"/>
    <xf numFmtId="2" fontId="0" fillId="0" borderId="9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quotePrefix="1"/>
    <xf numFmtId="14" fontId="19" fillId="0" borderId="0" xfId="0" applyNumberFormat="1" applyFont="1"/>
    <xf numFmtId="2" fontId="19" fillId="0" borderId="62" xfId="0" applyNumberFormat="1" applyFont="1" applyBorder="1" applyAlignment="1">
      <alignment horizontal="right" wrapText="1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4" fillId="16" borderId="60" xfId="0" applyFont="1" applyFill="1" applyBorder="1" applyAlignment="1">
      <alignment horizontal="center"/>
    </xf>
    <xf numFmtId="0" fontId="4" fillId="16" borderId="61" xfId="0" applyFont="1" applyFill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0" fontId="4" fillId="16" borderId="14" xfId="0" applyFont="1" applyFill="1" applyBorder="1" applyAlignment="1">
      <alignment horizontal="center"/>
    </xf>
    <xf numFmtId="0" fontId="4" fillId="16" borderId="15" xfId="0" applyFont="1" applyFill="1" applyBorder="1" applyAlignment="1">
      <alignment horizontal="center"/>
    </xf>
    <xf numFmtId="0" fontId="4" fillId="16" borderId="21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right"/>
    </xf>
    <xf numFmtId="0" fontId="1" fillId="5" borderId="15" xfId="0" applyFont="1" applyFill="1" applyBorder="1" applyAlignment="1">
      <alignment horizontal="right"/>
    </xf>
    <xf numFmtId="0" fontId="1" fillId="0" borderId="50" xfId="0" applyFont="1" applyBorder="1" applyAlignment="1">
      <alignment horizontal="left" indent="1"/>
    </xf>
    <xf numFmtId="0" fontId="1" fillId="0" borderId="51" xfId="0" applyFont="1" applyBorder="1" applyAlignment="1">
      <alignment horizontal="left" indent="1"/>
    </xf>
    <xf numFmtId="0" fontId="1" fillId="0" borderId="52" xfId="0" applyFont="1" applyBorder="1" applyAlignment="1">
      <alignment horizontal="left" indent="1"/>
    </xf>
    <xf numFmtId="165" fontId="12" fillId="0" borderId="14" xfId="0" applyNumberFormat="1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10" fontId="12" fillId="0" borderId="14" xfId="0" applyNumberFormat="1" applyFont="1" applyBorder="1" applyAlignment="1">
      <alignment horizontal="center"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165" fontId="12" fillId="0" borderId="15" xfId="0" applyNumberFormat="1" applyFont="1" applyBorder="1" applyAlignment="1">
      <alignment horizontal="center" vertical="center" wrapText="1"/>
    </xf>
    <xf numFmtId="165" fontId="12" fillId="0" borderId="21" xfId="0" applyNumberFormat="1" applyFont="1" applyBorder="1" applyAlignment="1">
      <alignment horizontal="center" vertical="center" wrapText="1"/>
    </xf>
    <xf numFmtId="165" fontId="14" fillId="0" borderId="14" xfId="0" applyNumberFormat="1" applyFont="1" applyBorder="1" applyAlignment="1">
      <alignment horizontal="center" vertical="center"/>
    </xf>
    <xf numFmtId="165" fontId="14" fillId="0" borderId="21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21" xfId="0" applyNumberFormat="1" applyFont="1" applyBorder="1" applyAlignment="1">
      <alignment horizontal="center" vertical="center"/>
    </xf>
    <xf numFmtId="10" fontId="17" fillId="0" borderId="24" xfId="0" applyNumberFormat="1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0" fontId="4" fillId="16" borderId="34" xfId="0" applyFont="1" applyFill="1" applyBorder="1" applyAlignment="1">
      <alignment horizontal="center"/>
    </xf>
    <xf numFmtId="0" fontId="4" fillId="16" borderId="25" xfId="0" applyFont="1" applyFill="1" applyBorder="1" applyAlignment="1">
      <alignment horizontal="center"/>
    </xf>
    <xf numFmtId="0" fontId="4" fillId="16" borderId="24" xfId="0" applyFont="1" applyFill="1" applyBorder="1" applyAlignment="1">
      <alignment horizontal="center"/>
    </xf>
    <xf numFmtId="0" fontId="1" fillId="5" borderId="19" xfId="0" applyFont="1" applyFill="1" applyBorder="1" applyAlignment="1">
      <alignment horizontal="right"/>
    </xf>
    <xf numFmtId="0" fontId="1" fillId="5" borderId="30" xfId="0" applyFont="1" applyFill="1" applyBorder="1" applyAlignment="1">
      <alignment horizontal="right"/>
    </xf>
    <xf numFmtId="0" fontId="1" fillId="5" borderId="14" xfId="0" applyFont="1" applyFill="1" applyBorder="1" applyAlignment="1">
      <alignment horizontal="center"/>
    </xf>
    <xf numFmtId="0" fontId="1" fillId="5" borderId="55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7" fillId="4" borderId="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31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/>
    </xf>
    <xf numFmtId="0" fontId="7" fillId="4" borderId="26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 vertical="center"/>
    </xf>
    <xf numFmtId="0" fontId="16" fillId="0" borderId="32" xfId="0" applyFont="1" applyBorder="1" applyAlignment="1">
      <alignment horizontal="right" vertical="center"/>
    </xf>
    <xf numFmtId="0" fontId="16" fillId="0" borderId="46" xfId="0" applyFont="1" applyBorder="1" applyAlignment="1">
      <alignment horizontal="right" vertical="center"/>
    </xf>
    <xf numFmtId="0" fontId="16" fillId="0" borderId="19" xfId="0" applyFont="1" applyBorder="1" applyAlignment="1">
      <alignment horizontal="right" vertical="center"/>
    </xf>
    <xf numFmtId="0" fontId="16" fillId="0" borderId="30" xfId="0" applyFont="1" applyBorder="1" applyAlignment="1">
      <alignment horizontal="right" vertical="center"/>
    </xf>
  </cellXfs>
  <cellStyles count="1">
    <cellStyle name="Normal" xfId="0" builtinId="0"/>
  </cellStyles>
  <dxfs count="71">
    <dxf>
      <font>
        <color theme="0" tint="-4.9989318521683403E-2"/>
      </font>
      <fill>
        <patternFill>
          <bgColor rgb="FF00B050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ont>
        <color auto="1"/>
      </font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m/d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B862E8"/>
      <color rgb="FF663300"/>
      <color rgb="FF242C51"/>
      <color rgb="FFEB99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0/relationships/richValueRel" Target="richData/richValueRel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AHORRO en 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AHORRO ARS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accent5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Ahorros!$C$48:$C$83</c:f>
              <c:numCache>
                <c:formatCode>"$"#,##0.00</c:formatCode>
                <c:ptCount val="36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959546</c:v>
                </c:pt>
                <c:pt idx="13">
                  <c:v>1808049.79</c:v>
                </c:pt>
                <c:pt idx="14">
                  <c:v>1772588.18</c:v>
                </c:pt>
                <c:pt idx="15">
                  <c:v>2180412.2200000002</c:v>
                </c:pt>
                <c:pt idx="16">
                  <c:v>2114393.9500000002</c:v>
                </c:pt>
                <c:pt idx="17">
                  <c:v>1499757.64</c:v>
                </c:pt>
                <c:pt idx="18">
                  <c:v>2569644.36</c:v>
                </c:pt>
                <c:pt idx="19">
                  <c:v>3494031.57</c:v>
                </c:pt>
                <c:pt idx="20">
                  <c:v>3583585.52</c:v>
                </c:pt>
                <c:pt idx="21">
                  <c:v>3568178.14</c:v>
                </c:pt>
                <c:pt idx="22">
                  <c:v>3812616.44</c:v>
                </c:pt>
                <c:pt idx="23">
                  <c:v>2459482.8199999998</c:v>
                </c:pt>
                <c:pt idx="24">
                  <c:v>1985320.64</c:v>
                </c:pt>
                <c:pt idx="25">
                  <c:v>2474446.8199999998</c:v>
                </c:pt>
                <c:pt idx="26">
                  <c:v>2302420.36</c:v>
                </c:pt>
                <c:pt idx="27">
                  <c:v>2430851.37</c:v>
                </c:pt>
                <c:pt idx="28">
                  <c:v>2076300.45</c:v>
                </c:pt>
                <c:pt idx="29">
                  <c:v>1195873.56</c:v>
                </c:pt>
                <c:pt idx="30">
                  <c:v>916031.65</c:v>
                </c:pt>
                <c:pt idx="31">
                  <c:v>596771.11</c:v>
                </c:pt>
                <c:pt idx="32">
                  <c:v>602569.73</c:v>
                </c:pt>
                <c:pt idx="33">
                  <c:v>681825.32</c:v>
                </c:pt>
                <c:pt idx="34">
                  <c:v>825696.63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16A-451D-A1B6-29E584F52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AHORRO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AHORRO USD</c:v>
          </c:tx>
          <c:spPr>
            <a:ln w="28575" cap="flat">
              <a:solidFill>
                <a:schemeClr val="accent6">
                  <a:lumMod val="75000"/>
                </a:schemeClr>
              </a:solidFill>
              <a:bevel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name>USD</c:name>
            <c:spPr>
              <a:ln w="19050" cap="sq">
                <a:solidFill>
                  <a:schemeClr val="accent6">
                    <a:lumMod val="75000"/>
                  </a:schemeClr>
                </a:solidFill>
                <a:prstDash val="dashDot"/>
                <a:tailEnd w="med" len="med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Ahorros!$B$48:$B$83</c15:sqref>
                  </c15:fullRef>
                </c:ext>
              </c:extLst>
              <c:f>Ahorros!$B$49:$B$82</c:f>
              <c:strCache>
                <c:ptCount val="34"/>
                <c:pt idx="0">
                  <c:v>marzo</c:v>
                </c:pt>
                <c:pt idx="1">
                  <c:v>febrero</c:v>
                </c:pt>
                <c:pt idx="2">
                  <c:v>enero</c:v>
                </c:pt>
                <c:pt idx="3">
                  <c:v>diciembre</c:v>
                </c:pt>
                <c:pt idx="4">
                  <c:v>noviembre</c:v>
                </c:pt>
                <c:pt idx="5">
                  <c:v>octubre</c:v>
                </c:pt>
                <c:pt idx="6">
                  <c:v>septiembre</c:v>
                </c:pt>
                <c:pt idx="7">
                  <c:v>agosto</c:v>
                </c:pt>
                <c:pt idx="8">
                  <c:v>julio</c:v>
                </c:pt>
                <c:pt idx="9">
                  <c:v>junio</c:v>
                </c:pt>
                <c:pt idx="10">
                  <c:v>mayo</c:v>
                </c:pt>
                <c:pt idx="11">
                  <c:v>abril</c:v>
                </c:pt>
                <c:pt idx="12">
                  <c:v>marzo</c:v>
                </c:pt>
                <c:pt idx="13">
                  <c:v>febrero</c:v>
                </c:pt>
                <c:pt idx="14">
                  <c:v>enero</c:v>
                </c:pt>
                <c:pt idx="15">
                  <c:v>diciembre</c:v>
                </c:pt>
                <c:pt idx="16">
                  <c:v>noviembre</c:v>
                </c:pt>
                <c:pt idx="17">
                  <c:v>octubre</c:v>
                </c:pt>
                <c:pt idx="18">
                  <c:v>septiembre</c:v>
                </c:pt>
                <c:pt idx="19">
                  <c:v>agosto</c:v>
                </c:pt>
                <c:pt idx="20">
                  <c:v>julio</c:v>
                </c:pt>
                <c:pt idx="21">
                  <c:v>junio</c:v>
                </c:pt>
                <c:pt idx="22">
                  <c:v>mayo</c:v>
                </c:pt>
                <c:pt idx="23">
                  <c:v>abril</c:v>
                </c:pt>
                <c:pt idx="24">
                  <c:v>marzo</c:v>
                </c:pt>
                <c:pt idx="25">
                  <c:v>febrero</c:v>
                </c:pt>
                <c:pt idx="26">
                  <c:v>enero</c:v>
                </c:pt>
                <c:pt idx="27">
                  <c:v>diciembre</c:v>
                </c:pt>
                <c:pt idx="28">
                  <c:v>noviembre</c:v>
                </c:pt>
                <c:pt idx="29">
                  <c:v>octubre</c:v>
                </c:pt>
                <c:pt idx="30">
                  <c:v>septiembre</c:v>
                </c:pt>
                <c:pt idx="31">
                  <c:v>agosto</c:v>
                </c:pt>
                <c:pt idx="32">
                  <c:v>julio</c:v>
                </c:pt>
                <c:pt idx="33">
                  <c:v>junio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Ahorros!$D$48:$D$83</c15:sqref>
                  </c15:fullRef>
                </c:ext>
              </c:extLst>
              <c:f>Ahorros!$D$49:$D$82</c:f>
              <c:numCache>
                <c:formatCode>"$"#,##0.00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700</c:v>
                </c:pt>
                <c:pt idx="12">
                  <c:v>1404.36</c:v>
                </c:pt>
                <c:pt idx="13">
                  <c:v>1460.78</c:v>
                </c:pt>
                <c:pt idx="14">
                  <c:v>1874.52</c:v>
                </c:pt>
                <c:pt idx="15">
                  <c:v>1782.71</c:v>
                </c:pt>
                <c:pt idx="16">
                  <c:v>1359.76</c:v>
                </c:pt>
                <c:pt idx="17">
                  <c:v>2221.64</c:v>
                </c:pt>
                <c:pt idx="18">
                  <c:v>2829.68</c:v>
                </c:pt>
                <c:pt idx="19">
                  <c:v>2731.6</c:v>
                </c:pt>
                <c:pt idx="20">
                  <c:v>2664.59</c:v>
                </c:pt>
                <c:pt idx="21">
                  <c:v>2812.05</c:v>
                </c:pt>
                <c:pt idx="22">
                  <c:v>1991</c:v>
                </c:pt>
                <c:pt idx="23">
                  <c:v>1927.56</c:v>
                </c:pt>
                <c:pt idx="24">
                  <c:v>2410.77</c:v>
                </c:pt>
                <c:pt idx="25">
                  <c:v>2214.1999999999998</c:v>
                </c:pt>
                <c:pt idx="26">
                  <c:v>2022.49</c:v>
                </c:pt>
                <c:pt idx="27">
                  <c:v>2078.14</c:v>
                </c:pt>
                <c:pt idx="28">
                  <c:v>1361.69</c:v>
                </c:pt>
                <c:pt idx="29">
                  <c:v>1049.45</c:v>
                </c:pt>
                <c:pt idx="30">
                  <c:v>799.2</c:v>
                </c:pt>
                <c:pt idx="31">
                  <c:v>827.7</c:v>
                </c:pt>
                <c:pt idx="32">
                  <c:v>1391.9</c:v>
                </c:pt>
                <c:pt idx="33">
                  <c:v>1717.71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8A-4836-88D3-17A357935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41089961196199E-3"/>
          <c:y val="1.2237840652145426E-2"/>
          <c:w val="0.75768116098461336"/>
          <c:h val="0.98776215934785461"/>
        </c:manualLayout>
      </c:layout>
      <c:doughnutChart>
        <c:varyColors val="1"/>
        <c:ser>
          <c:idx val="0"/>
          <c:order val="0"/>
          <c:tx>
            <c:v>Ahorro a USD</c:v>
          </c:tx>
          <c:dPt>
            <c:idx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7F-4D13-A684-38ED84962B5A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54-4D6C-ACEC-6ED5A579172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454-4D6C-ACEC-6ED5A579172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(Ahorros!$B$6,Ahorros!$B$23,Ahorros!$B$25)</c:f>
              <c:strCache>
                <c:ptCount val="3"/>
                <c:pt idx="0">
                  <c:v>USDC</c:v>
                </c:pt>
                <c:pt idx="2">
                  <c:v>USD</c:v>
                </c:pt>
              </c:strCache>
            </c:strRef>
          </c:cat>
          <c:val>
            <c:numRef>
              <c:f>(Ahorros!$F$6,Ahorros!$F$23,Ahorros!$F$25)</c:f>
              <c:numCache>
                <c:formatCode>"$"#,##0.00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4-4D6C-ACEC-6ED5A5791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89721842938941"/>
          <c:y val="0.35700503145428464"/>
          <c:w val="0.21580581355813289"/>
          <c:h val="0.3232781934256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582953300484071E-3"/>
          <c:y val="0"/>
          <c:w val="0.81893846474974497"/>
          <c:h val="1"/>
        </c:manualLayout>
      </c:layout>
      <c:doughnutChart>
        <c:varyColors val="1"/>
        <c:ser>
          <c:idx val="0"/>
          <c:order val="0"/>
          <c:tx>
            <c:v>Ahorro variable</c:v>
          </c:tx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31-44A6-A71F-033D25F2BAEA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531-44A6-A71F-033D25F2BAEA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5531-44A6-A71F-033D25F2BAEA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894E-4814-870E-0766C771474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(Ahorros!$B$5,Ahorros!$B$8,Ahorros!$B$9,Ahorros!$B$10)</c:f>
              <c:strCache>
                <c:ptCount val="4"/>
                <c:pt idx="0">
                  <c:v>BTC</c:v>
                </c:pt>
                <c:pt idx="1">
                  <c:v>ACCIONES</c:v>
                </c:pt>
                <c:pt idx="2">
                  <c:v>CEDEARS</c:v>
                </c:pt>
                <c:pt idx="3">
                  <c:v>BONOS</c:v>
                </c:pt>
              </c:strCache>
            </c:strRef>
          </c:cat>
          <c:val>
            <c:numRef>
              <c:f>(Ahorros!$F$5,Ahorros!$F$8,Ahorros!$F$9,Ahorros!$F$10)</c:f>
              <c:numCache>
                <c:formatCode>"$"#,##0.00</c:formatCode>
                <c:ptCount val="4"/>
                <c:pt idx="0" formatCode="&quot;$&quot;\ #,##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31-44A6-A71F-033D25F2B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455116806922382"/>
          <c:y val="3.6918245297517627E-3"/>
          <c:w val="0.2702493816379542"/>
          <c:h val="0.48295199328826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EVOLUCIÓN DEL AHORRO en USD</a:t>
            </a:r>
          </a:p>
        </c:rich>
      </c:tx>
      <c:layout>
        <c:manualLayout>
          <c:xMode val="edge"/>
          <c:yMode val="edge"/>
          <c:x val="0.40436579240544573"/>
          <c:y val="1.76881642160430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32"/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7279-4BF9-83C9-121D9137ACA5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Ahorros!$F$48:$F$83</c:f>
              <c:numCache>
                <c:formatCode>"$"#,##0.00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-700</c:v>
                </c:pt>
                <c:pt idx="12">
                  <c:v>-704.3599999999999</c:v>
                </c:pt>
                <c:pt idx="13">
                  <c:v>-56.420000000000073</c:v>
                </c:pt>
                <c:pt idx="14">
                  <c:v>-413.74</c:v>
                </c:pt>
                <c:pt idx="15">
                  <c:v>91.809999999999945</c:v>
                </c:pt>
                <c:pt idx="16">
                  <c:v>422.95000000000005</c:v>
                </c:pt>
                <c:pt idx="17">
                  <c:v>-861.87999999999988</c:v>
                </c:pt>
                <c:pt idx="18">
                  <c:v>-608.04</c:v>
                </c:pt>
                <c:pt idx="19">
                  <c:v>98.079999999999927</c:v>
                </c:pt>
                <c:pt idx="20">
                  <c:v>67.009999999999764</c:v>
                </c:pt>
                <c:pt idx="21">
                  <c:v>-147.46000000000004</c:v>
                </c:pt>
                <c:pt idx="22">
                  <c:v>821.05000000000018</c:v>
                </c:pt>
                <c:pt idx="23">
                  <c:v>63.440000000000055</c:v>
                </c:pt>
                <c:pt idx="24">
                  <c:v>-483.21000000000004</c:v>
                </c:pt>
                <c:pt idx="25">
                  <c:v>196.57000000000016</c:v>
                </c:pt>
                <c:pt idx="26">
                  <c:v>191.70999999999981</c:v>
                </c:pt>
                <c:pt idx="27">
                  <c:v>-55.649999999999864</c:v>
                </c:pt>
                <c:pt idx="28">
                  <c:v>716.44999999999982</c:v>
                </c:pt>
                <c:pt idx="29">
                  <c:v>312.24</c:v>
                </c:pt>
                <c:pt idx="30">
                  <c:v>250.25</c:v>
                </c:pt>
                <c:pt idx="31">
                  <c:v>-28.5</c:v>
                </c:pt>
                <c:pt idx="32">
                  <c:v>-564.20000000000005</c:v>
                </c:pt>
                <c:pt idx="33">
                  <c:v>-325.80999999999995</c:v>
                </c:pt>
                <c:pt idx="3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4469-45A4-96DA-55D7A022D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 baseline="0">
                <a:solidFill>
                  <a:sysClr val="windowText" lastClr="000000"/>
                </a:solidFill>
              </a:rPr>
              <a:t>EVOLUCIÓN DEL AHORRO en ARS</a:t>
            </a:r>
          </a:p>
        </c:rich>
      </c:tx>
      <c:layout>
        <c:manualLayout>
          <c:xMode val="edge"/>
          <c:yMode val="edge"/>
          <c:x val="0.41203965331671666"/>
          <c:y val="1.76881642160430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15"/>
              <c:layout>
                <c:manualLayout>
                  <c:x val="9.6793712097544889E-3"/>
                  <c:y val="-5.7970961569360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8D-4409-BFA9-853917291B9D}"/>
                </c:ext>
              </c:extLst>
            </c:dLbl>
            <c:dLbl>
              <c:idx val="18"/>
              <c:layout>
                <c:manualLayout>
                  <c:x val="0"/>
                  <c:y val="0.2434780385913148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8D-4409-BFA9-853917291B9D}"/>
                </c:ext>
              </c:extLst>
            </c:dLbl>
            <c:dLbl>
              <c:idx val="22"/>
              <c:layout>
                <c:manualLayout>
                  <c:x val="1.1615245451705315E-2"/>
                  <c:y val="1.15941923138721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8D-4409-BFA9-853917291B9D}"/>
                </c:ext>
              </c:extLst>
            </c:dLbl>
            <c:dLbl>
              <c:idx val="27"/>
              <c:layout>
                <c:manualLayout>
                  <c:x val="1.935874241950827E-3"/>
                  <c:y val="-6.95651538832327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8D-4409-BFA9-853917291B9D}"/>
                </c:ext>
              </c:extLst>
            </c:dLbl>
            <c:dLbl>
              <c:idx val="28"/>
              <c:layout>
                <c:manualLayout>
                  <c:x val="-9.6793712097545254E-3"/>
                  <c:y val="-5.7970961569360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8D-4409-BFA9-853917291B9D}"/>
                </c:ext>
              </c:extLst>
            </c:dLbl>
            <c:dLbl>
              <c:idx val="29"/>
              <c:layout>
                <c:manualLayout>
                  <c:x val="-9.6793712097544894E-4"/>
                  <c:y val="0.2782606155329311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8D-4409-BFA9-853917291B9D}"/>
                </c:ext>
              </c:extLst>
            </c:dLbl>
            <c:dLbl>
              <c:idx val="32"/>
              <c:layout>
                <c:manualLayout>
                  <c:x val="5.8076227258526932E-3"/>
                  <c:y val="0.35942087465856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8D-4409-BFA9-853917291B9D}"/>
                </c:ext>
              </c:extLst>
            </c:dLbl>
            <c:dLbl>
              <c:idx val="33"/>
              <c:layout>
                <c:manualLayout>
                  <c:x val="1.9358742419508979E-3"/>
                  <c:y val="-8.1159346197104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8D-4409-BFA9-853917291B9D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Ahorros!$E$48:$E$83</c:f>
              <c:numCache>
                <c:formatCode>"$"#,##0.00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-959545</c:v>
                </c:pt>
                <c:pt idx="12">
                  <c:v>-848503.79</c:v>
                </c:pt>
                <c:pt idx="13">
                  <c:v>35461.610000000102</c:v>
                </c:pt>
                <c:pt idx="14">
                  <c:v>-407824.04000000027</c:v>
                </c:pt>
                <c:pt idx="15">
                  <c:v>66018.270000000019</c:v>
                </c:pt>
                <c:pt idx="16">
                  <c:v>614636.31000000029</c:v>
                </c:pt>
                <c:pt idx="17">
                  <c:v>-1069886.72</c:v>
                </c:pt>
                <c:pt idx="18">
                  <c:v>-924387.21</c:v>
                </c:pt>
                <c:pt idx="19">
                  <c:v>-89553.950000000186</c:v>
                </c:pt>
                <c:pt idx="20">
                  <c:v>15407.379999999888</c:v>
                </c:pt>
                <c:pt idx="21">
                  <c:v>-244438.29999999981</c:v>
                </c:pt>
                <c:pt idx="22">
                  <c:v>1353133.62</c:v>
                </c:pt>
                <c:pt idx="23">
                  <c:v>474162.17999999993</c:v>
                </c:pt>
                <c:pt idx="24">
                  <c:v>-489126.17999999993</c:v>
                </c:pt>
                <c:pt idx="25">
                  <c:v>172026.45999999996</c:v>
                </c:pt>
                <c:pt idx="26">
                  <c:v>-128431.01000000024</c:v>
                </c:pt>
                <c:pt idx="27">
                  <c:v>354550.92000000016</c:v>
                </c:pt>
                <c:pt idx="28">
                  <c:v>880426.8899999999</c:v>
                </c:pt>
                <c:pt idx="29">
                  <c:v>279841.91000000003</c:v>
                </c:pt>
                <c:pt idx="30">
                  <c:v>319260.54000000004</c:v>
                </c:pt>
                <c:pt idx="31">
                  <c:v>-5798.6199999999953</c:v>
                </c:pt>
                <c:pt idx="32">
                  <c:v>-79255.589999999967</c:v>
                </c:pt>
                <c:pt idx="33">
                  <c:v>-143871.31000000006</c:v>
                </c:pt>
                <c:pt idx="3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258-44F9-8879-83ACF97D6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solidFill>
                  <a:sysClr val="windowText" lastClr="000000"/>
                </a:solidFill>
              </a:rPr>
              <a:t>INGRESOS - GASTOS</a:t>
            </a:r>
          </a:p>
        </c:rich>
      </c:tx>
      <c:layout>
        <c:manualLayout>
          <c:xMode val="edge"/>
          <c:yMode val="edge"/>
          <c:x val="0.44657204453112359"/>
          <c:y val="1.768844930332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Ingresos</c:v>
          </c:tx>
          <c:spPr>
            <a:solidFill>
              <a:srgbClr val="00B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&quot;$&quot;#,##0.00" sourceLinked="0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'Balance mensual'!$B$45:$B$79</c15:sqref>
                  </c15:fullRef>
                </c:ext>
              </c:extLst>
              <c:f>'Balance mensual'!$B$46:$B$79</c:f>
              <c:numCache>
                <c:formatCode>mmmm</c:formatCode>
                <c:ptCount val="34"/>
                <c:pt idx="0">
                  <c:v>46100</c:v>
                </c:pt>
                <c:pt idx="1">
                  <c:v>46058</c:v>
                </c:pt>
                <c:pt idx="2">
                  <c:v>46049</c:v>
                </c:pt>
                <c:pt idx="3">
                  <c:v>46018</c:v>
                </c:pt>
                <c:pt idx="4">
                  <c:v>45988</c:v>
                </c:pt>
                <c:pt idx="5">
                  <c:v>45953</c:v>
                </c:pt>
                <c:pt idx="6">
                  <c:v>45922</c:v>
                </c:pt>
                <c:pt idx="7">
                  <c:v>45891</c:v>
                </c:pt>
                <c:pt idx="8">
                  <c:v>45866</c:v>
                </c:pt>
                <c:pt idx="9">
                  <c:v>45827</c:v>
                </c:pt>
                <c:pt idx="10">
                  <c:v>45803</c:v>
                </c:pt>
                <c:pt idx="11">
                  <c:v>45776</c:v>
                </c:pt>
                <c:pt idx="12">
                  <c:v>45746</c:v>
                </c:pt>
                <c:pt idx="13">
                  <c:v>45715</c:v>
                </c:pt>
                <c:pt idx="14">
                  <c:v>45687</c:v>
                </c:pt>
                <c:pt idx="15">
                  <c:v>45656</c:v>
                </c:pt>
                <c:pt idx="16">
                  <c:v>45607</c:v>
                </c:pt>
                <c:pt idx="17">
                  <c:v>45596</c:v>
                </c:pt>
                <c:pt idx="18">
                  <c:v>45565</c:v>
                </c:pt>
                <c:pt idx="19">
                  <c:v>45523</c:v>
                </c:pt>
                <c:pt idx="20">
                  <c:v>45504</c:v>
                </c:pt>
                <c:pt idx="21">
                  <c:v>45473</c:v>
                </c:pt>
                <c:pt idx="22">
                  <c:v>45439</c:v>
                </c:pt>
                <c:pt idx="23">
                  <c:v>45412</c:v>
                </c:pt>
                <c:pt idx="24">
                  <c:v>45382</c:v>
                </c:pt>
                <c:pt idx="25">
                  <c:v>45351</c:v>
                </c:pt>
                <c:pt idx="26">
                  <c:v>45322</c:v>
                </c:pt>
                <c:pt idx="27">
                  <c:v>45290</c:v>
                </c:pt>
                <c:pt idx="28">
                  <c:v>45260</c:v>
                </c:pt>
                <c:pt idx="29">
                  <c:v>45230</c:v>
                </c:pt>
                <c:pt idx="30">
                  <c:v>45197</c:v>
                </c:pt>
                <c:pt idx="31">
                  <c:v>45166</c:v>
                </c:pt>
                <c:pt idx="32">
                  <c:v>45138</c:v>
                </c:pt>
                <c:pt idx="33">
                  <c:v>45107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mensual'!$C$45:$C$79</c15:sqref>
                  </c15:fullRef>
                </c:ext>
              </c:extLst>
              <c:f>'Balance mensual'!$C$46:$C$79</c:f>
              <c:numCache>
                <c:formatCode>"$"#,##0.00_);\("$"#,##0.00\)</c:formatCode>
                <c:ptCount val="34"/>
                <c:pt idx="0">
                  <c:v>4834101</c:v>
                </c:pt>
                <c:pt idx="1">
                  <c:v>1972904</c:v>
                </c:pt>
                <c:pt idx="2">
                  <c:v>1813018</c:v>
                </c:pt>
                <c:pt idx="3">
                  <c:v>2614481</c:v>
                </c:pt>
                <c:pt idx="4">
                  <c:v>1936621</c:v>
                </c:pt>
                <c:pt idx="5">
                  <c:v>1736621</c:v>
                </c:pt>
                <c:pt idx="6">
                  <c:v>1694494</c:v>
                </c:pt>
                <c:pt idx="7">
                  <c:v>1608461</c:v>
                </c:pt>
                <c:pt idx="8">
                  <c:v>1608461</c:v>
                </c:pt>
                <c:pt idx="9">
                  <c:v>2421295</c:v>
                </c:pt>
                <c:pt idx="10">
                  <c:v>3780540</c:v>
                </c:pt>
                <c:pt idx="11">
                  <c:v>1464565</c:v>
                </c:pt>
                <c:pt idx="12">
                  <c:v>1484092</c:v>
                </c:pt>
                <c:pt idx="13">
                  <c:v>1464565</c:v>
                </c:pt>
                <c:pt idx="14">
                  <c:v>1437166</c:v>
                </c:pt>
                <c:pt idx="15">
                  <c:v>2187587</c:v>
                </c:pt>
                <c:pt idx="16">
                  <c:v>1369304</c:v>
                </c:pt>
                <c:pt idx="17">
                  <c:v>1285565</c:v>
                </c:pt>
                <c:pt idx="18">
                  <c:v>1291369</c:v>
                </c:pt>
                <c:pt idx="19">
                  <c:v>1254936</c:v>
                </c:pt>
                <c:pt idx="20">
                  <c:v>1202885</c:v>
                </c:pt>
                <c:pt idx="21">
                  <c:v>1764342</c:v>
                </c:pt>
                <c:pt idx="22">
                  <c:v>1102885</c:v>
                </c:pt>
                <c:pt idx="23">
                  <c:v>747652</c:v>
                </c:pt>
                <c:pt idx="24">
                  <c:v>834805</c:v>
                </c:pt>
                <c:pt idx="25">
                  <c:v>1014652</c:v>
                </c:pt>
                <c:pt idx="26">
                  <c:v>518427</c:v>
                </c:pt>
                <c:pt idx="27">
                  <c:v>757361</c:v>
                </c:pt>
                <c:pt idx="28">
                  <c:v>584331</c:v>
                </c:pt>
                <c:pt idx="29">
                  <c:v>317189</c:v>
                </c:pt>
                <c:pt idx="30">
                  <c:v>307218</c:v>
                </c:pt>
                <c:pt idx="31">
                  <c:v>315775</c:v>
                </c:pt>
                <c:pt idx="32">
                  <c:v>217042</c:v>
                </c:pt>
                <c:pt idx="33" formatCode="&quot;$&quot;#,##0.00">
                  <c:v>305542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9-4348-9FD5-ED982C5FB0B7}"/>
            </c:ext>
          </c:extLst>
        </c:ser>
        <c:ser>
          <c:idx val="1"/>
          <c:order val="1"/>
          <c:tx>
            <c:v>Gastos</c:v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&quot;$&quot;#,##0.00" sourceLinked="0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'Balance mensual'!$B$45:$B$79</c15:sqref>
                  </c15:fullRef>
                </c:ext>
              </c:extLst>
              <c:f>'Balance mensual'!$B$46:$B$79</c:f>
              <c:numCache>
                <c:formatCode>mmmm</c:formatCode>
                <c:ptCount val="34"/>
                <c:pt idx="0">
                  <c:v>46100</c:v>
                </c:pt>
                <c:pt idx="1">
                  <c:v>46058</c:v>
                </c:pt>
                <c:pt idx="2">
                  <c:v>46049</c:v>
                </c:pt>
                <c:pt idx="3">
                  <c:v>46018</c:v>
                </c:pt>
                <c:pt idx="4">
                  <c:v>45988</c:v>
                </c:pt>
                <c:pt idx="5">
                  <c:v>45953</c:v>
                </c:pt>
                <c:pt idx="6">
                  <c:v>45922</c:v>
                </c:pt>
                <c:pt idx="7">
                  <c:v>45891</c:v>
                </c:pt>
                <c:pt idx="8">
                  <c:v>45866</c:v>
                </c:pt>
                <c:pt idx="9">
                  <c:v>45827</c:v>
                </c:pt>
                <c:pt idx="10">
                  <c:v>45803</c:v>
                </c:pt>
                <c:pt idx="11">
                  <c:v>45776</c:v>
                </c:pt>
                <c:pt idx="12">
                  <c:v>45746</c:v>
                </c:pt>
                <c:pt idx="13">
                  <c:v>45715</c:v>
                </c:pt>
                <c:pt idx="14">
                  <c:v>45687</c:v>
                </c:pt>
                <c:pt idx="15">
                  <c:v>45656</c:v>
                </c:pt>
                <c:pt idx="16">
                  <c:v>45607</c:v>
                </c:pt>
                <c:pt idx="17">
                  <c:v>45596</c:v>
                </c:pt>
                <c:pt idx="18">
                  <c:v>45565</c:v>
                </c:pt>
                <c:pt idx="19">
                  <c:v>45523</c:v>
                </c:pt>
                <c:pt idx="20">
                  <c:v>45504</c:v>
                </c:pt>
                <c:pt idx="21">
                  <c:v>45473</c:v>
                </c:pt>
                <c:pt idx="22">
                  <c:v>45439</c:v>
                </c:pt>
                <c:pt idx="23">
                  <c:v>45412</c:v>
                </c:pt>
                <c:pt idx="24">
                  <c:v>45382</c:v>
                </c:pt>
                <c:pt idx="25">
                  <c:v>45351</c:v>
                </c:pt>
                <c:pt idx="26">
                  <c:v>45322</c:v>
                </c:pt>
                <c:pt idx="27">
                  <c:v>45290</c:v>
                </c:pt>
                <c:pt idx="28">
                  <c:v>45260</c:v>
                </c:pt>
                <c:pt idx="29">
                  <c:v>45230</c:v>
                </c:pt>
                <c:pt idx="30">
                  <c:v>45197</c:v>
                </c:pt>
                <c:pt idx="31">
                  <c:v>45166</c:v>
                </c:pt>
                <c:pt idx="32">
                  <c:v>45138</c:v>
                </c:pt>
                <c:pt idx="33">
                  <c:v>45107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mensual'!$E$45:$E$79</c15:sqref>
                  </c15:fullRef>
                </c:ext>
              </c:extLst>
              <c:f>'Balance mensual'!$E$46:$E$79</c:f>
              <c:numCache>
                <c:formatCode>"$"#,##0.00_);\("$"#,##0.00\)</c:formatCode>
                <c:ptCount val="34"/>
                <c:pt idx="0">
                  <c:v>3127173</c:v>
                </c:pt>
                <c:pt idx="1">
                  <c:v>3434876</c:v>
                </c:pt>
                <c:pt idx="2">
                  <c:v>1987752</c:v>
                </c:pt>
                <c:pt idx="3">
                  <c:v>2227813</c:v>
                </c:pt>
                <c:pt idx="4">
                  <c:v>2022351</c:v>
                </c:pt>
                <c:pt idx="5">
                  <c:v>1968203</c:v>
                </c:pt>
                <c:pt idx="6">
                  <c:v>1199006</c:v>
                </c:pt>
                <c:pt idx="7">
                  <c:v>2102665</c:v>
                </c:pt>
                <c:pt idx="8">
                  <c:v>1902661</c:v>
                </c:pt>
                <c:pt idx="9">
                  <c:v>2398696</c:v>
                </c:pt>
                <c:pt idx="10">
                  <c:v>3889113</c:v>
                </c:pt>
                <c:pt idx="11">
                  <c:v>2136325</c:v>
                </c:pt>
                <c:pt idx="12">
                  <c:v>1379423</c:v>
                </c:pt>
                <c:pt idx="13">
                  <c:v>1685605</c:v>
                </c:pt>
                <c:pt idx="14">
                  <c:v>1640015</c:v>
                </c:pt>
                <c:pt idx="15">
                  <c:v>1675337</c:v>
                </c:pt>
                <c:pt idx="16">
                  <c:v>2667425</c:v>
                </c:pt>
                <c:pt idx="17">
                  <c:v>1951502</c:v>
                </c:pt>
                <c:pt idx="18">
                  <c:v>1189796</c:v>
                </c:pt>
                <c:pt idx="19">
                  <c:v>1273143</c:v>
                </c:pt>
                <c:pt idx="20">
                  <c:v>1381264</c:v>
                </c:pt>
                <c:pt idx="21">
                  <c:v>624384</c:v>
                </c:pt>
                <c:pt idx="22">
                  <c:v>700282</c:v>
                </c:pt>
                <c:pt idx="23">
                  <c:v>1254890</c:v>
                </c:pt>
                <c:pt idx="24">
                  <c:v>769121</c:v>
                </c:pt>
                <c:pt idx="25">
                  <c:v>1105069</c:v>
                </c:pt>
                <c:pt idx="26">
                  <c:v>481116</c:v>
                </c:pt>
                <c:pt idx="27">
                  <c:v>613307</c:v>
                </c:pt>
                <c:pt idx="28">
                  <c:v>360123</c:v>
                </c:pt>
                <c:pt idx="29">
                  <c:v>336002</c:v>
                </c:pt>
                <c:pt idx="30">
                  <c:v>335913</c:v>
                </c:pt>
                <c:pt idx="31">
                  <c:v>400627</c:v>
                </c:pt>
                <c:pt idx="32">
                  <c:v>346065.48</c:v>
                </c:pt>
                <c:pt idx="33">
                  <c:v>292915.02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9-4348-9FD5-ED982C5FB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5898600"/>
        <c:crosses val="autoZero"/>
        <c:auto val="0"/>
        <c:lblOffset val="100"/>
        <c:baseTimeUnit val="months"/>
      </c:dateAx>
      <c:valAx>
        <c:axId val="4458986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INGRESO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INGRESOS USD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numRef>
              <c:f>'Balance mensual'!$B$45:$B$80</c:f>
              <c:numCache>
                <c:formatCode>mmmm</c:formatCode>
                <c:ptCount val="36"/>
                <c:pt idx="1">
                  <c:v>46100</c:v>
                </c:pt>
                <c:pt idx="2">
                  <c:v>46058</c:v>
                </c:pt>
                <c:pt idx="3">
                  <c:v>46049</c:v>
                </c:pt>
                <c:pt idx="4">
                  <c:v>46018</c:v>
                </c:pt>
                <c:pt idx="5">
                  <c:v>45988</c:v>
                </c:pt>
                <c:pt idx="6">
                  <c:v>45953</c:v>
                </c:pt>
                <c:pt idx="7">
                  <c:v>45922</c:v>
                </c:pt>
                <c:pt idx="8">
                  <c:v>45891</c:v>
                </c:pt>
                <c:pt idx="9">
                  <c:v>45866</c:v>
                </c:pt>
                <c:pt idx="10">
                  <c:v>45827</c:v>
                </c:pt>
                <c:pt idx="11">
                  <c:v>45803</c:v>
                </c:pt>
                <c:pt idx="12">
                  <c:v>45776</c:v>
                </c:pt>
                <c:pt idx="13">
                  <c:v>45746</c:v>
                </c:pt>
                <c:pt idx="14">
                  <c:v>45715</c:v>
                </c:pt>
                <c:pt idx="15">
                  <c:v>45687</c:v>
                </c:pt>
                <c:pt idx="16">
                  <c:v>45656</c:v>
                </c:pt>
                <c:pt idx="17">
                  <c:v>45607</c:v>
                </c:pt>
                <c:pt idx="18">
                  <c:v>45596</c:v>
                </c:pt>
                <c:pt idx="19">
                  <c:v>45565</c:v>
                </c:pt>
                <c:pt idx="20">
                  <c:v>45523</c:v>
                </c:pt>
                <c:pt idx="21">
                  <c:v>45504</c:v>
                </c:pt>
                <c:pt idx="22">
                  <c:v>45473</c:v>
                </c:pt>
                <c:pt idx="23">
                  <c:v>45439</c:v>
                </c:pt>
                <c:pt idx="24">
                  <c:v>45412</c:v>
                </c:pt>
                <c:pt idx="25">
                  <c:v>45382</c:v>
                </c:pt>
                <c:pt idx="26">
                  <c:v>45351</c:v>
                </c:pt>
                <c:pt idx="27">
                  <c:v>45322</c:v>
                </c:pt>
                <c:pt idx="28">
                  <c:v>45290</c:v>
                </c:pt>
                <c:pt idx="29">
                  <c:v>45260</c:v>
                </c:pt>
                <c:pt idx="30">
                  <c:v>45230</c:v>
                </c:pt>
                <c:pt idx="31">
                  <c:v>45197</c:v>
                </c:pt>
                <c:pt idx="32">
                  <c:v>45166</c:v>
                </c:pt>
                <c:pt idx="33">
                  <c:v>45138</c:v>
                </c:pt>
                <c:pt idx="34">
                  <c:v>45107</c:v>
                </c:pt>
              </c:numCache>
            </c:numRef>
          </c:cat>
          <c:val>
            <c:numRef>
              <c:f>'Balance mensual'!$D$45:$D$80</c:f>
              <c:numCache>
                <c:formatCode>"$"#,##0.00</c:formatCode>
                <c:ptCount val="36"/>
                <c:pt idx="1">
                  <c:v>3392.3515789473686</c:v>
                </c:pt>
                <c:pt idx="2">
                  <c:v>1310.8996677740863</c:v>
                </c:pt>
                <c:pt idx="3">
                  <c:v>1204.6631229235879</c:v>
                </c:pt>
                <c:pt idx="4">
                  <c:v>1809.3294117647058</c:v>
                </c:pt>
                <c:pt idx="5">
                  <c:v>1354.2804195804197</c:v>
                </c:pt>
                <c:pt idx="6">
                  <c:v>1120.4006451612904</c:v>
                </c:pt>
                <c:pt idx="7">
                  <c:v>1236.8569343065694</c:v>
                </c:pt>
                <c:pt idx="8">
                  <c:v>1200.3440298507462</c:v>
                </c:pt>
                <c:pt idx="9">
                  <c:v>1242.0548262548264</c:v>
                </c:pt>
                <c:pt idx="10">
                  <c:v>2043.2869198312237</c:v>
                </c:pt>
                <c:pt idx="11">
                  <c:v>3231.2307692307691</c:v>
                </c:pt>
                <c:pt idx="12">
                  <c:v>1092.9589552238806</c:v>
                </c:pt>
                <c:pt idx="13">
                  <c:v>1141.6092307692309</c:v>
                </c:pt>
                <c:pt idx="14">
                  <c:v>1195.5632653061225</c:v>
                </c:pt>
                <c:pt idx="15">
                  <c:v>1173.1967346938775</c:v>
                </c:pt>
                <c:pt idx="16">
                  <c:v>1807.9231404958678</c:v>
                </c:pt>
                <c:pt idx="17">
                  <c:v>1206.4352422907489</c:v>
                </c:pt>
                <c:pt idx="18">
                  <c:v>1089.4618644067796</c:v>
                </c:pt>
                <c:pt idx="19">
                  <c:v>1045.6429149797571</c:v>
                </c:pt>
                <c:pt idx="20">
                  <c:v>926.15202952029517</c:v>
                </c:pt>
                <c:pt idx="21">
                  <c:v>850.09540636042402</c:v>
                </c:pt>
                <c:pt idx="22">
                  <c:v>1292.5582417582418</c:v>
                </c:pt>
                <c:pt idx="23">
                  <c:v>915.25726141078837</c:v>
                </c:pt>
                <c:pt idx="24">
                  <c:v>736.60295566502464</c:v>
                </c:pt>
                <c:pt idx="25">
                  <c:v>826.53960396039599</c:v>
                </c:pt>
                <c:pt idx="26">
                  <c:v>985.09902912621362</c:v>
                </c:pt>
                <c:pt idx="27">
                  <c:v>433.83012552301255</c:v>
                </c:pt>
                <c:pt idx="28">
                  <c:v>738.88878048780487</c:v>
                </c:pt>
                <c:pt idx="29">
                  <c:v>645.66961325966804</c:v>
                </c:pt>
                <c:pt idx="30">
                  <c:v>374.83928149373668</c:v>
                </c:pt>
                <c:pt idx="31">
                  <c:v>420.443410428356</c:v>
                </c:pt>
                <c:pt idx="32">
                  <c:v>429.63</c:v>
                </c:pt>
                <c:pt idx="33">
                  <c:v>394.62</c:v>
                </c:pt>
                <c:pt idx="34">
                  <c:v>619.76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103-473C-8101-0304FDE96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m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186225789921235E-2"/>
          <c:y val="8.2693620673566864E-2"/>
          <c:w val="0.77869615463918018"/>
          <c:h val="0.83555789195546526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5732-4DBF-89FA-F5B9126BAE54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B91-47E1-80AF-F10DAAA6833A}"/>
              </c:ext>
            </c:extLst>
          </c:dPt>
          <c:dLbls>
            <c:dLbl>
              <c:idx val="1"/>
              <c:layout>
                <c:manualLayout>
                  <c:x val="0.13259670046509772"/>
                  <c:y val="5.878418566545318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91-47E1-80AF-F10DAAA6833A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'Balance mensual'!$C$19:$C$25</c15:sqref>
                  </c15:fullRef>
                </c:ext>
              </c:extLst>
              <c:f>('Balance mensual'!$C$19,'Balance mensual'!$C$25)</c:f>
              <c:strCache>
                <c:ptCount val="2"/>
                <c:pt idx="0">
                  <c:v>Sueldo</c:v>
                </c:pt>
                <c:pt idx="1">
                  <c:v>Otros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mensual'!$F$19:$F$25</c15:sqref>
                  </c15:fullRef>
                </c:ext>
              </c:extLst>
              <c:f>('Balance mensual'!$F$19,'Balance mensual'!$F$25)</c:f>
              <c:numCache>
                <c:formatCode>"$"#,##0.00</c:formatCode>
                <c:ptCount val="2"/>
                <c:pt idx="0">
                  <c:v>1934101</c:v>
                </c:pt>
                <c:pt idx="1">
                  <c:v>2900000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B-5732-4DBF-89FA-F5B9126BAE5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292982620266729"/>
          <c:y val="0.28225579205958684"/>
          <c:w val="0.23747508188129876"/>
          <c:h val="0.48114953339240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0873410054512417"/>
          <c:w val="0.74157386600946773"/>
          <c:h val="0.79243731072077528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05B7-4E67-AC8D-3417C41A116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05B7-4E67-AC8D-3417C41A1165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05B7-4E67-AC8D-3417C41A1165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05B7-4E67-AC8D-3417C41A1165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C1C4-487A-9D38-7FFD2CE8631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'Balance mensual'!$C$4:$C$13</c15:sqref>
                  </c15:fullRef>
                </c:ext>
              </c:extLst>
              <c:f>('Balance mensual'!$C$4:$C$7,'Balance mensual'!$C$13)</c:f>
              <c:strCache>
                <c:ptCount val="5"/>
                <c:pt idx="0">
                  <c:v>Departamento</c:v>
                </c:pt>
                <c:pt idx="1">
                  <c:v>Tarjeta Galicia VISA</c:v>
                </c:pt>
                <c:pt idx="2">
                  <c:v>Tarjeta Galicia COMP.</c:v>
                </c:pt>
                <c:pt idx="3">
                  <c:v>Préstamos</c:v>
                </c:pt>
                <c:pt idx="4">
                  <c:v>Otros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mensual'!$F$4:$F$14</c15:sqref>
                  </c15:fullRef>
                </c:ext>
              </c:extLst>
              <c:f>('Balance mensual'!$F$4:$F$7,'Balance mensual'!$F$13)</c:f>
              <c:numCache>
                <c:formatCode>"$"#,##0.00</c:formatCode>
                <c:ptCount val="5"/>
                <c:pt idx="0">
                  <c:v>106701.5</c:v>
                </c:pt>
                <c:pt idx="1">
                  <c:v>661905.15</c:v>
                </c:pt>
                <c:pt idx="2">
                  <c:v>759803</c:v>
                </c:pt>
                <c:pt idx="3">
                  <c:v>203339</c:v>
                </c:pt>
                <c:pt idx="4">
                  <c:v>1395424.35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'Balance mensual'!$F$12</c15:sqref>
                  <c15:bubble3D val="0"/>
                </c15:categoryFilterException>
                <c15:categoryFilterException>
                  <c15:sqref>'Balance mensual'!$F$14</c15:sqref>
                  <c15:spPr xmlns:c15="http://schemas.microsoft.com/office/drawing/2012/chart">
                    <a:solidFill>
                      <a:schemeClr val="accent4">
                        <a:lumMod val="80000"/>
                        <a:lumOff val="2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  <a:sp3d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05B7-4E67-AC8D-3417C41A116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479720034995615"/>
          <c:y val="0"/>
          <c:w val="0.33520279965004374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solidFill>
                  <a:sysClr val="windowText" lastClr="000000"/>
                </a:solidFill>
              </a:rPr>
              <a:t>GANANCIA</a:t>
            </a:r>
            <a:r>
              <a:rPr lang="es-US" baseline="0">
                <a:solidFill>
                  <a:sysClr val="windowText" lastClr="000000"/>
                </a:solidFill>
              </a:rPr>
              <a:t> - PERDIDA</a:t>
            </a:r>
            <a:endParaRPr lang="es-US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4657204453112359"/>
          <c:y val="1.768844930332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AB-4017-87EB-9100384DACFF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73-459D-987C-69EDD85CCC19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'Balance mensual'!$B$45:$B$80</c:f>
              <c:numCache>
                <c:formatCode>mmmm</c:formatCode>
                <c:ptCount val="36"/>
                <c:pt idx="1">
                  <c:v>46100</c:v>
                </c:pt>
                <c:pt idx="2">
                  <c:v>46058</c:v>
                </c:pt>
                <c:pt idx="3">
                  <c:v>46049</c:v>
                </c:pt>
                <c:pt idx="4">
                  <c:v>46018</c:v>
                </c:pt>
                <c:pt idx="5">
                  <c:v>45988</c:v>
                </c:pt>
                <c:pt idx="6">
                  <c:v>45953</c:v>
                </c:pt>
                <c:pt idx="7">
                  <c:v>45922</c:v>
                </c:pt>
                <c:pt idx="8">
                  <c:v>45891</c:v>
                </c:pt>
                <c:pt idx="9">
                  <c:v>45866</c:v>
                </c:pt>
                <c:pt idx="10">
                  <c:v>45827</c:v>
                </c:pt>
                <c:pt idx="11">
                  <c:v>45803</c:v>
                </c:pt>
                <c:pt idx="12">
                  <c:v>45776</c:v>
                </c:pt>
                <c:pt idx="13">
                  <c:v>45746</c:v>
                </c:pt>
                <c:pt idx="14">
                  <c:v>45715</c:v>
                </c:pt>
                <c:pt idx="15">
                  <c:v>45687</c:v>
                </c:pt>
                <c:pt idx="16">
                  <c:v>45656</c:v>
                </c:pt>
                <c:pt idx="17">
                  <c:v>45607</c:v>
                </c:pt>
                <c:pt idx="18">
                  <c:v>45596</c:v>
                </c:pt>
                <c:pt idx="19">
                  <c:v>45565</c:v>
                </c:pt>
                <c:pt idx="20">
                  <c:v>45523</c:v>
                </c:pt>
                <c:pt idx="21">
                  <c:v>45504</c:v>
                </c:pt>
                <c:pt idx="22">
                  <c:v>45473</c:v>
                </c:pt>
                <c:pt idx="23">
                  <c:v>45439</c:v>
                </c:pt>
                <c:pt idx="24">
                  <c:v>45412</c:v>
                </c:pt>
                <c:pt idx="25">
                  <c:v>45382</c:v>
                </c:pt>
                <c:pt idx="26">
                  <c:v>45351</c:v>
                </c:pt>
                <c:pt idx="27">
                  <c:v>45322</c:v>
                </c:pt>
                <c:pt idx="28">
                  <c:v>45290</c:v>
                </c:pt>
                <c:pt idx="29">
                  <c:v>45260</c:v>
                </c:pt>
                <c:pt idx="30">
                  <c:v>45230</c:v>
                </c:pt>
                <c:pt idx="31">
                  <c:v>45197</c:v>
                </c:pt>
                <c:pt idx="32">
                  <c:v>45166</c:v>
                </c:pt>
                <c:pt idx="33">
                  <c:v>45138</c:v>
                </c:pt>
                <c:pt idx="34">
                  <c:v>45107</c:v>
                </c:pt>
              </c:numCache>
            </c:numRef>
          </c:cat>
          <c:val>
            <c:numRef>
              <c:f>'Balance mensual'!$F$45:$F$80</c:f>
              <c:numCache>
                <c:formatCode>"$"#,##0.00</c:formatCode>
                <c:ptCount val="36"/>
                <c:pt idx="1">
                  <c:v>1706928</c:v>
                </c:pt>
                <c:pt idx="2">
                  <c:v>-1461972</c:v>
                </c:pt>
                <c:pt idx="3">
                  <c:v>-174734</c:v>
                </c:pt>
                <c:pt idx="4">
                  <c:v>386668</c:v>
                </c:pt>
                <c:pt idx="5">
                  <c:v>-85730</c:v>
                </c:pt>
                <c:pt idx="6">
                  <c:v>-231582</c:v>
                </c:pt>
                <c:pt idx="7">
                  <c:v>495488</c:v>
                </c:pt>
                <c:pt idx="8">
                  <c:v>-494204</c:v>
                </c:pt>
                <c:pt idx="9">
                  <c:v>-294200</c:v>
                </c:pt>
                <c:pt idx="10">
                  <c:v>22599</c:v>
                </c:pt>
                <c:pt idx="11">
                  <c:v>-108573</c:v>
                </c:pt>
                <c:pt idx="12">
                  <c:v>-671760</c:v>
                </c:pt>
                <c:pt idx="13">
                  <c:v>104669</c:v>
                </c:pt>
                <c:pt idx="14">
                  <c:v>-221040</c:v>
                </c:pt>
                <c:pt idx="15">
                  <c:v>-202849</c:v>
                </c:pt>
                <c:pt idx="16">
                  <c:v>512250</c:v>
                </c:pt>
                <c:pt idx="17">
                  <c:v>-1298121</c:v>
                </c:pt>
                <c:pt idx="18">
                  <c:v>-665937</c:v>
                </c:pt>
                <c:pt idx="19">
                  <c:v>101573</c:v>
                </c:pt>
                <c:pt idx="20">
                  <c:v>-18207</c:v>
                </c:pt>
                <c:pt idx="21">
                  <c:v>-178379</c:v>
                </c:pt>
                <c:pt idx="22">
                  <c:v>1139958</c:v>
                </c:pt>
                <c:pt idx="23">
                  <c:v>402603</c:v>
                </c:pt>
                <c:pt idx="24">
                  <c:v>-507238</c:v>
                </c:pt>
                <c:pt idx="25">
                  <c:v>65684</c:v>
                </c:pt>
                <c:pt idx="26">
                  <c:v>-90417</c:v>
                </c:pt>
                <c:pt idx="27">
                  <c:v>37311</c:v>
                </c:pt>
                <c:pt idx="28">
                  <c:v>144054</c:v>
                </c:pt>
                <c:pt idx="29">
                  <c:v>224208</c:v>
                </c:pt>
                <c:pt idx="30">
                  <c:v>-18813</c:v>
                </c:pt>
                <c:pt idx="31">
                  <c:v>-28695</c:v>
                </c:pt>
                <c:pt idx="32">
                  <c:v>-84852</c:v>
                </c:pt>
                <c:pt idx="33">
                  <c:v>-129023.47999999998</c:v>
                </c:pt>
                <c:pt idx="34">
                  <c:v>12626.979999999981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4EB8-4EB2-B88C-00D3CCE39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m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INGRESO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tx1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numRef>
              <c:f>Sueldos!$B$19:$B$67</c:f>
              <c:numCache>
                <c:formatCode>m/d/yyyy</c:formatCode>
                <c:ptCount val="49"/>
                <c:pt idx="1">
                  <c:v>45962</c:v>
                </c:pt>
                <c:pt idx="2">
                  <c:v>45931</c:v>
                </c:pt>
                <c:pt idx="3">
                  <c:v>45901</c:v>
                </c:pt>
                <c:pt idx="4">
                  <c:v>45870</c:v>
                </c:pt>
                <c:pt idx="5">
                  <c:v>45839</c:v>
                </c:pt>
                <c:pt idx="6">
                  <c:v>45809</c:v>
                </c:pt>
                <c:pt idx="7">
                  <c:v>45778</c:v>
                </c:pt>
                <c:pt idx="8">
                  <c:v>45748</c:v>
                </c:pt>
                <c:pt idx="9">
                  <c:v>45717</c:v>
                </c:pt>
                <c:pt idx="10">
                  <c:v>45689</c:v>
                </c:pt>
                <c:pt idx="11">
                  <c:v>45658</c:v>
                </c:pt>
                <c:pt idx="12">
                  <c:v>45627</c:v>
                </c:pt>
                <c:pt idx="13">
                  <c:v>45597</c:v>
                </c:pt>
                <c:pt idx="14">
                  <c:v>45566</c:v>
                </c:pt>
                <c:pt idx="15">
                  <c:v>45536</c:v>
                </c:pt>
                <c:pt idx="16">
                  <c:v>45505</c:v>
                </c:pt>
                <c:pt idx="17">
                  <c:v>45474</c:v>
                </c:pt>
                <c:pt idx="18">
                  <c:v>45444</c:v>
                </c:pt>
                <c:pt idx="19">
                  <c:v>45413</c:v>
                </c:pt>
                <c:pt idx="20">
                  <c:v>45383</c:v>
                </c:pt>
                <c:pt idx="21">
                  <c:v>45352</c:v>
                </c:pt>
                <c:pt idx="22">
                  <c:v>45323</c:v>
                </c:pt>
                <c:pt idx="23">
                  <c:v>45292</c:v>
                </c:pt>
                <c:pt idx="24">
                  <c:v>45261</c:v>
                </c:pt>
                <c:pt idx="25">
                  <c:v>45231</c:v>
                </c:pt>
                <c:pt idx="26">
                  <c:v>45200</c:v>
                </c:pt>
                <c:pt idx="27">
                  <c:v>45170</c:v>
                </c:pt>
                <c:pt idx="28">
                  <c:v>45139</c:v>
                </c:pt>
                <c:pt idx="29">
                  <c:v>45108</c:v>
                </c:pt>
                <c:pt idx="30">
                  <c:v>45078</c:v>
                </c:pt>
                <c:pt idx="31">
                  <c:v>45047</c:v>
                </c:pt>
                <c:pt idx="32">
                  <c:v>45017</c:v>
                </c:pt>
                <c:pt idx="33">
                  <c:v>44986</c:v>
                </c:pt>
                <c:pt idx="34">
                  <c:v>44958</c:v>
                </c:pt>
                <c:pt idx="35">
                  <c:v>44927</c:v>
                </c:pt>
                <c:pt idx="36">
                  <c:v>44896</c:v>
                </c:pt>
                <c:pt idx="37">
                  <c:v>44866</c:v>
                </c:pt>
                <c:pt idx="38">
                  <c:v>44835</c:v>
                </c:pt>
                <c:pt idx="39">
                  <c:v>44805</c:v>
                </c:pt>
                <c:pt idx="40">
                  <c:v>44774</c:v>
                </c:pt>
                <c:pt idx="41">
                  <c:v>44743</c:v>
                </c:pt>
                <c:pt idx="42">
                  <c:v>44713</c:v>
                </c:pt>
                <c:pt idx="43">
                  <c:v>44682</c:v>
                </c:pt>
                <c:pt idx="44">
                  <c:v>44652</c:v>
                </c:pt>
                <c:pt idx="45">
                  <c:v>44621</c:v>
                </c:pt>
                <c:pt idx="46">
                  <c:v>44593</c:v>
                </c:pt>
                <c:pt idx="47">
                  <c:v>44562</c:v>
                </c:pt>
              </c:numCache>
            </c:numRef>
          </c:cat>
          <c:val>
            <c:numRef>
              <c:f>Sueldos!$F$19:$F$67</c:f>
              <c:numCache>
                <c:formatCode>0.00</c:formatCode>
                <c:ptCount val="49"/>
                <c:pt idx="1">
                  <c:v>1223.4980836236934</c:v>
                </c:pt>
                <c:pt idx="2">
                  <c:v>1178.3354026845639</c:v>
                </c:pt>
                <c:pt idx="3">
                  <c:v>1210.8412068965517</c:v>
                </c:pt>
                <c:pt idx="4">
                  <c:v>1178.0196014492753</c:v>
                </c:pt>
                <c:pt idx="5">
                  <c:v>1217.7281273408241</c:v>
                </c:pt>
                <c:pt idx="6">
                  <c:v>1354.7225416666668</c:v>
                </c:pt>
                <c:pt idx="7">
                  <c:v>1389.4590170940171</c:v>
                </c:pt>
                <c:pt idx="8">
                  <c:v>1092.9582462686567</c:v>
                </c:pt>
                <c:pt idx="9">
                  <c:v>1113.7369201520912</c:v>
                </c:pt>
                <c:pt idx="10">
                  <c:v>1190.7024796747967</c:v>
                </c:pt>
                <c:pt idx="11">
                  <c:v>1200.4623360655737</c:v>
                </c:pt>
                <c:pt idx="12">
                  <c:v>1123.3017560975611</c:v>
                </c:pt>
                <c:pt idx="13">
                  <c:v>1239.1579910313901</c:v>
                </c:pt>
                <c:pt idx="14">
                  <c:v>1191.0872068965516</c:v>
                </c:pt>
                <c:pt idx="15">
                  <c:v>1017.0490688259109</c:v>
                </c:pt>
                <c:pt idx="16">
                  <c:v>958.82106870228995</c:v>
                </c:pt>
                <c:pt idx="17">
                  <c:v>910.18521739130438</c:v>
                </c:pt>
                <c:pt idx="18">
                  <c:v>753.0309352517985</c:v>
                </c:pt>
                <c:pt idx="19">
                  <c:v>827.44110671936755</c:v>
                </c:pt>
                <c:pt idx="20">
                  <c:v>1006.4548076923077</c:v>
                </c:pt>
                <c:pt idx="21">
                  <c:v>740.24988118811882</c:v>
                </c:pt>
                <c:pt idx="22">
                  <c:v>725.87609708737864</c:v>
                </c:pt>
                <c:pt idx="23">
                  <c:v>625.65052719665277</c:v>
                </c:pt>
                <c:pt idx="24">
                  <c:v>479.95472636815919</c:v>
                </c:pt>
                <c:pt idx="25">
                  <c:v>513.14308510638296</c:v>
                </c:pt>
                <c:pt idx="26">
                  <c:v>541.97134831460676</c:v>
                </c:pt>
                <c:pt idx="27">
                  <c:v>319.01568750000001</c:v>
                </c:pt>
                <c:pt idx="28">
                  <c:v>349.60623287671234</c:v>
                </c:pt>
                <c:pt idx="29">
                  <c:v>455.73669642857141</c:v>
                </c:pt>
                <c:pt idx="30">
                  <c:v>415.78808080808079</c:v>
                </c:pt>
                <c:pt idx="31">
                  <c:v>420.03081632653061</c:v>
                </c:pt>
                <c:pt idx="32">
                  <c:v>438.83816631130065</c:v>
                </c:pt>
                <c:pt idx="33">
                  <c:v>434.20556962025319</c:v>
                </c:pt>
                <c:pt idx="34">
                  <c:v>457.36320000000001</c:v>
                </c:pt>
                <c:pt idx="35">
                  <c:v>450.1606299212599</c:v>
                </c:pt>
                <c:pt idx="36">
                  <c:v>413.08092485549133</c:v>
                </c:pt>
                <c:pt idx="37">
                  <c:v>456.63258785942492</c:v>
                </c:pt>
                <c:pt idx="38">
                  <c:v>492.84827586206899</c:v>
                </c:pt>
                <c:pt idx="39">
                  <c:v>279.86197183098591</c:v>
                </c:pt>
                <c:pt idx="40">
                  <c:v>278.88</c:v>
                </c:pt>
                <c:pt idx="41">
                  <c:v>281.84680851063831</c:v>
                </c:pt>
                <c:pt idx="42">
                  <c:v>277.12970711297072</c:v>
                </c:pt>
                <c:pt idx="43">
                  <c:v>321.52427184466018</c:v>
                </c:pt>
                <c:pt idx="44">
                  <c:v>329.52238805970148</c:v>
                </c:pt>
                <c:pt idx="45">
                  <c:v>290.5</c:v>
                </c:pt>
                <c:pt idx="46">
                  <c:v>282.03883495145629</c:v>
                </c:pt>
                <c:pt idx="47">
                  <c:v>190.04672897196261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4D-4B01-8600-8B1CAA739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4744344"/>
        <c:axId val="1084744704"/>
      </c:barChart>
      <c:dateAx>
        <c:axId val="108474434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rnd">
          <a:solidFill>
            <a:sysClr val="windowText" lastClr="000000"/>
          </a:solidFill>
          <a:prstDash val="solid"/>
          <a:miter lim="800000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PORTAFOLIO</a:t>
            </a:r>
          </a:p>
        </c:rich>
      </c:tx>
      <c:layout>
        <c:manualLayout>
          <c:xMode val="edge"/>
          <c:yMode val="edge"/>
          <c:x val="0.44476068012140857"/>
          <c:y val="6.829944466366893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401262812926869"/>
          <c:y val="4.2060760960682779E-2"/>
          <c:w val="0.69668270971345037"/>
          <c:h val="0.90500716942497383"/>
        </c:manualLayout>
      </c:layout>
      <c:doughnutChart>
        <c:varyColors val="1"/>
        <c:ser>
          <c:idx val="0"/>
          <c:order val="0"/>
          <c:tx>
            <c:v>PORTAFOLIO</c:v>
          </c:tx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1FC-4A49-8A99-9A3C30E2EC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E0-44F1-BB70-73F7BB6FE70C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1FC-4A49-8A99-9A3C30E2ECD6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1FC-4A49-8A99-9A3C30E2ECD6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1FC-4A49-8A99-9A3C30E2ECD6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1FC-4A49-8A99-9A3C30E2ECD6}"/>
              </c:ext>
            </c:extLst>
          </c:dPt>
          <c:dPt>
            <c:idx val="6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1FC-4A49-8A99-9A3C30E2ECD6}"/>
              </c:ext>
            </c:extLst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1FC-4A49-8A99-9A3C30E2ECD6}"/>
              </c:ext>
            </c:extLst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1FC-4A49-8A99-9A3C30E2ECD6}"/>
              </c:ext>
            </c:extLst>
          </c:dPt>
          <c:dPt>
            <c:idx val="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1FC-4A49-8A99-9A3C30E2ECD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1FC-4A49-8A99-9A3C30E2ECD6}"/>
              </c:ext>
            </c:extLst>
          </c:dPt>
          <c:dPt>
            <c:idx val="1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FC-4A49-8A99-9A3C30E2ECD6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C1FC-4A49-8A99-9A3C30E2ECD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1FC-4A49-8A99-9A3C30E2ECD6}"/>
              </c:ext>
            </c:extLst>
          </c:dPt>
          <c:dPt>
            <c:idx val="1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68A-47E9-8CBA-1540F109DED9}"/>
              </c:ext>
            </c:extLst>
          </c:dPt>
          <c:dPt>
            <c:idx val="1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68A-47E9-8CBA-1540F109DED9}"/>
              </c:ext>
            </c:extLst>
          </c:dPt>
          <c:dPt>
            <c:idx val="1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A68A-47E9-8CBA-1540F109DED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A68A-47E9-8CBA-1540F109DED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A68A-47E9-8CBA-1540F109DED9}"/>
              </c:ext>
            </c:extLst>
          </c:dPt>
          <c:dPt>
            <c:idx val="19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A68A-47E9-8CBA-1540F109DED9}"/>
              </c:ext>
            </c:extLst>
          </c:dPt>
          <c:dPt>
            <c:idx val="2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A68A-47E9-8CBA-1540F109DED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A68A-47E9-8CBA-1540F109DED9}"/>
              </c:ext>
            </c:extLst>
          </c:dPt>
          <c:dPt>
            <c:idx val="2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A68A-47E9-8CBA-1540F109DED9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0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(Portafolio!$B$4:$B$14,Portafolio!$G$4:$G$14,Portafolio!$L$4:$L$6)</c15:sqref>
                  </c15:fullRef>
                </c:ext>
              </c:extLst>
              <c:f>(Portafolio!$B$4:$B$14,Portafolio!$G$4:$G$14,Portafolio!$L$4)</c:f>
              <c:strCache>
                <c:ptCount val="23"/>
                <c:pt idx="0">
                  <c:v>BMA</c:v>
                </c:pt>
                <c:pt idx="1">
                  <c:v>BYMA</c:v>
                </c:pt>
                <c:pt idx="2">
                  <c:v>CEPU</c:v>
                </c:pt>
                <c:pt idx="3">
                  <c:v>CRES</c:v>
                </c:pt>
                <c:pt idx="4">
                  <c:v>GGAL</c:v>
                </c:pt>
                <c:pt idx="5">
                  <c:v>HAVA</c:v>
                </c:pt>
                <c:pt idx="6">
                  <c:v>LOMA</c:v>
                </c:pt>
                <c:pt idx="7">
                  <c:v>PAMP</c:v>
                </c:pt>
                <c:pt idx="8">
                  <c:v>TGNO4</c:v>
                </c:pt>
                <c:pt idx="9">
                  <c:v>TGSU2</c:v>
                </c:pt>
                <c:pt idx="10">
                  <c:v>YPDF</c:v>
                </c:pt>
                <c:pt idx="11">
                  <c:v>AAPL</c:v>
                </c:pt>
                <c:pt idx="12">
                  <c:v>BITF</c:v>
                </c:pt>
                <c:pt idx="13">
                  <c:v>GOOGL</c:v>
                </c:pt>
                <c:pt idx="14">
                  <c:v>KO</c:v>
                </c:pt>
                <c:pt idx="15">
                  <c:v>MELI</c:v>
                </c:pt>
                <c:pt idx="16">
                  <c:v>MSFT</c:v>
                </c:pt>
                <c:pt idx="17">
                  <c:v>NVDA</c:v>
                </c:pt>
                <c:pt idx="18">
                  <c:v>PYPL</c:v>
                </c:pt>
                <c:pt idx="19">
                  <c:v>SPY</c:v>
                </c:pt>
                <c:pt idx="20">
                  <c:v>TSLA</c:v>
                </c:pt>
                <c:pt idx="21">
                  <c:v>VIST</c:v>
                </c:pt>
                <c:pt idx="22">
                  <c:v>AL30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(Portafolio!$D$4:$D$14,Portafolio!$I$4:$I$14,Portafolio!$N$4:$N$6)</c15:sqref>
                  </c15:fullRef>
                </c:ext>
              </c:extLst>
              <c:f>(Portafolio!$D$4:$D$14,Portafolio!$I$4:$I$14,Portafolio!$N$4)</c:f>
              <c:numCache>
                <c:formatCode>"$"#,##0.00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5417-44BF-B92B-B25813E6C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4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13" Type="http://schemas.openxmlformats.org/officeDocument/2006/relationships/image" Target="../media/image26.png"/><Relationship Id="rId18" Type="http://schemas.microsoft.com/office/2007/relationships/hdphoto" Target="../media/hdphoto8.wdp"/><Relationship Id="rId3" Type="http://schemas.openxmlformats.org/officeDocument/2006/relationships/image" Target="../media/image21.png"/><Relationship Id="rId7" Type="http://schemas.openxmlformats.org/officeDocument/2006/relationships/image" Target="../media/image23.png"/><Relationship Id="rId12" Type="http://schemas.microsoft.com/office/2007/relationships/hdphoto" Target="../media/hdphoto6.wdp"/><Relationship Id="rId17" Type="http://schemas.openxmlformats.org/officeDocument/2006/relationships/image" Target="../media/image29.png"/><Relationship Id="rId2" Type="http://schemas.microsoft.com/office/2007/relationships/hdphoto" Target="../media/hdphoto1.wdp"/><Relationship Id="rId16" Type="http://schemas.microsoft.com/office/2007/relationships/hdphoto" Target="../media/hdphoto7.wdp"/><Relationship Id="rId20" Type="http://schemas.microsoft.com/office/2007/relationships/hdphoto" Target="../media/hdphoto9.wdp"/><Relationship Id="rId1" Type="http://schemas.openxmlformats.org/officeDocument/2006/relationships/image" Target="../media/image20.png"/><Relationship Id="rId6" Type="http://schemas.microsoft.com/office/2007/relationships/hdphoto" Target="../media/hdphoto3.wdp"/><Relationship Id="rId11" Type="http://schemas.openxmlformats.org/officeDocument/2006/relationships/image" Target="../media/image25.png"/><Relationship Id="rId5" Type="http://schemas.openxmlformats.org/officeDocument/2006/relationships/image" Target="../media/image22.png"/><Relationship Id="rId15" Type="http://schemas.openxmlformats.org/officeDocument/2006/relationships/image" Target="../media/image28.png"/><Relationship Id="rId10" Type="http://schemas.microsoft.com/office/2007/relationships/hdphoto" Target="../media/hdphoto5.wdp"/><Relationship Id="rId19" Type="http://schemas.openxmlformats.org/officeDocument/2006/relationships/image" Target="../media/image30.png"/><Relationship Id="rId4" Type="http://schemas.microsoft.com/office/2007/relationships/hdphoto" Target="../media/hdphoto2.wdp"/><Relationship Id="rId9" Type="http://schemas.openxmlformats.org/officeDocument/2006/relationships/image" Target="../media/image24.png"/><Relationship Id="rId14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png"/><Relationship Id="rId1" Type="http://schemas.openxmlformats.org/officeDocument/2006/relationships/hyperlink" Target="file:///C:\Users\gonza\OneDrive\Documentos\Res&#250;menes%20bancarios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png"/><Relationship Id="rId1" Type="http://schemas.openxmlformats.org/officeDocument/2006/relationships/hyperlink" Target="file:///C:\Users\gonza\OneDrive\Documentos\Res&#250;menes%20bancarios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71436</xdr:colOff>
      <xdr:row>7</xdr:row>
      <xdr:rowOff>119064</xdr:rowOff>
    </xdr:from>
    <xdr:to>
      <xdr:col>6</xdr:col>
      <xdr:colOff>226217</xdr:colOff>
      <xdr:row>13</xdr:row>
      <xdr:rowOff>59533</xdr:rowOff>
    </xdr:to>
    <xdr:sp macro="[0]!A_Ahorr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9946C9B-3636-8350-BEAE-6F3D90395195}"/>
            </a:ext>
          </a:extLst>
        </xdr:cNvPr>
        <xdr:cNvSpPr/>
      </xdr:nvSpPr>
      <xdr:spPr>
        <a:xfrm>
          <a:off x="952499" y="2405064"/>
          <a:ext cx="3298031" cy="1083469"/>
        </a:xfrm>
        <a:prstGeom prst="roundRect">
          <a:avLst/>
        </a:prstGeom>
        <a:solidFill>
          <a:schemeClr val="accent4">
            <a:lumMod val="7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AHORROS</a:t>
          </a:r>
        </a:p>
      </xdr:txBody>
    </xdr:sp>
    <xdr:clientData/>
  </xdr:twoCellAnchor>
  <xdr:twoCellAnchor editAs="oneCell">
    <xdr:from>
      <xdr:col>2</xdr:col>
      <xdr:colOff>345280</xdr:colOff>
      <xdr:row>8</xdr:row>
      <xdr:rowOff>54769</xdr:rowOff>
    </xdr:from>
    <xdr:to>
      <xdr:col>3</xdr:col>
      <xdr:colOff>329563</xdr:colOff>
      <xdr:row>12</xdr:row>
      <xdr:rowOff>52388</xdr:rowOff>
    </xdr:to>
    <xdr:pic macro="[0]!A_Ahorros">
      <xdr:nvPicPr>
        <xdr:cNvPr id="8" name="Imagen 7" descr="Icono&#10;&#10;Descripción generada automáticamente">
          <a:extLst>
            <a:ext uri="{FF2B5EF4-FFF2-40B4-BE49-F238E27FC236}">
              <a16:creationId xmlns:a16="http://schemas.microsoft.com/office/drawing/2014/main" id="{84D2CCB1-97DA-DBBC-541C-34D12E23D1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343" y="2531269"/>
          <a:ext cx="758189" cy="759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71434</xdr:colOff>
      <xdr:row>14</xdr:row>
      <xdr:rowOff>35720</xdr:rowOff>
    </xdr:from>
    <xdr:to>
      <xdr:col>8</xdr:col>
      <xdr:colOff>559590</xdr:colOff>
      <xdr:row>19</xdr:row>
      <xdr:rowOff>166689</xdr:rowOff>
    </xdr:to>
    <xdr:sp macro="[0]!A_Balanc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870E97F2-34C3-4C7F-8844-486BB16A67CB}"/>
            </a:ext>
          </a:extLst>
        </xdr:cNvPr>
        <xdr:cNvSpPr/>
      </xdr:nvSpPr>
      <xdr:spPr>
        <a:xfrm>
          <a:off x="952497" y="3655220"/>
          <a:ext cx="5119687" cy="1083469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BALANCE MENSUAL</a:t>
          </a:r>
        </a:p>
      </xdr:txBody>
    </xdr:sp>
    <xdr:clientData/>
  </xdr:twoCellAnchor>
  <xdr:twoCellAnchor>
    <xdr:from>
      <xdr:col>6</xdr:col>
      <xdr:colOff>414335</xdr:colOff>
      <xdr:row>7</xdr:row>
      <xdr:rowOff>116683</xdr:rowOff>
    </xdr:from>
    <xdr:to>
      <xdr:col>14</xdr:col>
      <xdr:colOff>178593</xdr:colOff>
      <xdr:row>13</xdr:row>
      <xdr:rowOff>57152</xdr:rowOff>
    </xdr:to>
    <xdr:sp macro="[0]!A_Gastos_compartidos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0D6BDF52-6FE1-4B4A-8BC0-496DAD01734B}"/>
            </a:ext>
          </a:extLst>
        </xdr:cNvPr>
        <xdr:cNvSpPr/>
      </xdr:nvSpPr>
      <xdr:spPr>
        <a:xfrm>
          <a:off x="4438648" y="2402683"/>
          <a:ext cx="5895976" cy="1083469"/>
        </a:xfrm>
        <a:prstGeom prst="roundRect">
          <a:avLst/>
        </a:prstGeom>
        <a:solidFill>
          <a:srgbClr val="7030A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GASTOS COMPARTIDOS</a:t>
          </a:r>
        </a:p>
      </xdr:txBody>
    </xdr:sp>
    <xdr:clientData/>
  </xdr:twoCellAnchor>
  <xdr:twoCellAnchor>
    <xdr:from>
      <xdr:col>2</xdr:col>
      <xdr:colOff>83343</xdr:colOff>
      <xdr:row>20</xdr:row>
      <xdr:rowOff>142875</xdr:rowOff>
    </xdr:from>
    <xdr:to>
      <xdr:col>5</xdr:col>
      <xdr:colOff>750095</xdr:colOff>
      <xdr:row>26</xdr:row>
      <xdr:rowOff>83344</xdr:rowOff>
    </xdr:to>
    <xdr:sp macro="[0]!A_Sueldos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E1816026-3D9B-4F14-A696-4EB54B37206B}"/>
            </a:ext>
          </a:extLst>
        </xdr:cNvPr>
        <xdr:cNvSpPr/>
      </xdr:nvSpPr>
      <xdr:spPr>
        <a:xfrm>
          <a:off x="964406" y="4905375"/>
          <a:ext cx="3036095" cy="1083469"/>
        </a:xfrm>
        <a:prstGeom prst="roundRect">
          <a:avLst/>
        </a:prstGeom>
        <a:solidFill>
          <a:srgbClr val="00B05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SUELDOS</a:t>
          </a:r>
        </a:p>
      </xdr:txBody>
    </xdr:sp>
    <xdr:clientData/>
  </xdr:twoCellAnchor>
  <xdr:twoCellAnchor>
    <xdr:from>
      <xdr:col>8</xdr:col>
      <xdr:colOff>750094</xdr:colOff>
      <xdr:row>14</xdr:row>
      <xdr:rowOff>35720</xdr:rowOff>
    </xdr:from>
    <xdr:to>
      <xdr:col>15</xdr:col>
      <xdr:colOff>750093</xdr:colOff>
      <xdr:row>19</xdr:row>
      <xdr:rowOff>166689</xdr:rowOff>
    </xdr:to>
    <xdr:sp macro="[0]!A_Gastos_personales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7800C468-C336-4D34-835F-CFF47E3911E9}"/>
            </a:ext>
          </a:extLst>
        </xdr:cNvPr>
        <xdr:cNvSpPr/>
      </xdr:nvSpPr>
      <xdr:spPr>
        <a:xfrm>
          <a:off x="6262688" y="3655220"/>
          <a:ext cx="5417343" cy="1083469"/>
        </a:xfrm>
        <a:prstGeom prst="roundRect">
          <a:avLst/>
        </a:prstGeom>
        <a:solidFill>
          <a:srgbClr val="C0000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GASTOS PERSONALES</a:t>
          </a:r>
        </a:p>
      </xdr:txBody>
    </xdr:sp>
    <xdr:clientData/>
  </xdr:twoCellAnchor>
  <xdr:twoCellAnchor editAs="oneCell">
    <xdr:from>
      <xdr:col>2</xdr:col>
      <xdr:colOff>285748</xdr:colOff>
      <xdr:row>15</xdr:row>
      <xdr:rowOff>66675</xdr:rowOff>
    </xdr:from>
    <xdr:to>
      <xdr:col>3</xdr:col>
      <xdr:colOff>210024</xdr:colOff>
      <xdr:row>18</xdr:row>
      <xdr:rowOff>170022</xdr:rowOff>
    </xdr:to>
    <xdr:pic macro="[0]!A_Balance">
      <xdr:nvPicPr>
        <xdr:cNvPr id="12" name="Imagen 11" descr="Dibujo en blanco y negro&#10;&#10;Descripción generada automáticamente con confianza media">
          <a:extLst>
            <a:ext uri="{FF2B5EF4-FFF2-40B4-BE49-F238E27FC236}">
              <a16:creationId xmlns:a16="http://schemas.microsoft.com/office/drawing/2014/main" id="{FE6DC044-A707-C72F-1E73-5A45F286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811" y="3876675"/>
          <a:ext cx="698182" cy="6748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250030</xdr:colOff>
      <xdr:row>21</xdr:row>
      <xdr:rowOff>170798</xdr:rowOff>
    </xdr:from>
    <xdr:to>
      <xdr:col>3</xdr:col>
      <xdr:colOff>251457</xdr:colOff>
      <xdr:row>25</xdr:row>
      <xdr:rowOff>55721</xdr:rowOff>
    </xdr:to>
    <xdr:pic macro="[0]!A_Sueldos">
      <xdr:nvPicPr>
        <xdr:cNvPr id="25" name="Imagen 24" descr="Icono&#10;&#10;Descripción generada automáticamente">
          <a:extLst>
            <a:ext uri="{FF2B5EF4-FFF2-40B4-BE49-F238E27FC236}">
              <a16:creationId xmlns:a16="http://schemas.microsoft.com/office/drawing/2014/main" id="{54BA304B-E8AF-9FA5-4192-AC33BACB7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1093" y="5123798"/>
          <a:ext cx="775333" cy="646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80945</xdr:colOff>
      <xdr:row>7</xdr:row>
      <xdr:rowOff>116681</xdr:rowOff>
    </xdr:from>
    <xdr:to>
      <xdr:col>22</xdr:col>
      <xdr:colOff>119046</xdr:colOff>
      <xdr:row>13</xdr:row>
      <xdr:rowOff>57150</xdr:rowOff>
    </xdr:to>
    <xdr:sp macro="[0]!A_Tenis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9C78A0F2-6DA0-4738-ADFF-40033EF419D9}"/>
            </a:ext>
          </a:extLst>
        </xdr:cNvPr>
        <xdr:cNvSpPr/>
      </xdr:nvSpPr>
      <xdr:spPr>
        <a:xfrm>
          <a:off x="14106508" y="2402681"/>
          <a:ext cx="2359819" cy="1083469"/>
        </a:xfrm>
        <a:prstGeom prst="roundRect">
          <a:avLst/>
        </a:prstGeom>
        <a:solidFill>
          <a:schemeClr val="accent2">
            <a:lumMod val="7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TENIS</a:t>
          </a:r>
        </a:p>
      </xdr:txBody>
    </xdr:sp>
    <xdr:clientData/>
  </xdr:twoCellAnchor>
  <xdr:twoCellAnchor editAs="oneCell">
    <xdr:from>
      <xdr:col>19</xdr:col>
      <xdr:colOff>261920</xdr:colOff>
      <xdr:row>8</xdr:row>
      <xdr:rowOff>186245</xdr:rowOff>
    </xdr:from>
    <xdr:to>
      <xdr:col>20</xdr:col>
      <xdr:colOff>129523</xdr:colOff>
      <xdr:row>12</xdr:row>
      <xdr:rowOff>103344</xdr:rowOff>
    </xdr:to>
    <xdr:pic macro="[0]!A_Tenis">
      <xdr:nvPicPr>
        <xdr:cNvPr id="29" name="Imagen 28" descr="Imagen que contiene competencia de atletismo&#10;&#10;Descripción generada automáticamente">
          <a:extLst>
            <a:ext uri="{FF2B5EF4-FFF2-40B4-BE49-F238E27FC236}">
              <a16:creationId xmlns:a16="http://schemas.microsoft.com/office/drawing/2014/main" id="{7CDDDDB6-45F2-7B96-E4C9-C7C3AC176F1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0339" t="20338" r="20339" b="17797"/>
        <a:stretch/>
      </xdr:blipFill>
      <xdr:spPr bwMode="auto">
        <a:xfrm>
          <a:off x="14287483" y="2662745"/>
          <a:ext cx="641509" cy="67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161924</xdr:colOff>
      <xdr:row>20</xdr:row>
      <xdr:rowOff>138112</xdr:rowOff>
    </xdr:from>
    <xdr:to>
      <xdr:col>10</xdr:col>
      <xdr:colOff>11906</xdr:colOff>
      <xdr:row>26</xdr:row>
      <xdr:rowOff>78581</xdr:rowOff>
    </xdr:to>
    <xdr:sp macro="[0]!A_Precios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94620B95-ACB7-49B8-91D7-B4D3F5DB5D4A}"/>
            </a:ext>
          </a:extLst>
        </xdr:cNvPr>
        <xdr:cNvSpPr/>
      </xdr:nvSpPr>
      <xdr:spPr>
        <a:xfrm>
          <a:off x="4186237" y="4900612"/>
          <a:ext cx="2886075" cy="1083469"/>
        </a:xfrm>
        <a:prstGeom prst="roundRect">
          <a:avLst/>
        </a:prstGeom>
        <a:solidFill>
          <a:srgbClr val="00B0F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>
              <a:solidFill>
                <a:schemeClr val="bg1"/>
              </a:solidFill>
            </a:rPr>
            <a:t>         PRECIOS</a:t>
          </a:r>
        </a:p>
      </xdr:txBody>
    </xdr:sp>
    <xdr:clientData/>
  </xdr:twoCellAnchor>
  <xdr:twoCellAnchor editAs="oneCell">
    <xdr:from>
      <xdr:col>6</xdr:col>
      <xdr:colOff>333374</xdr:colOff>
      <xdr:row>21</xdr:row>
      <xdr:rowOff>119063</xdr:rowOff>
    </xdr:from>
    <xdr:to>
      <xdr:col>7</xdr:col>
      <xdr:colOff>468152</xdr:colOff>
      <xdr:row>26</xdr:row>
      <xdr:rowOff>11430</xdr:rowOff>
    </xdr:to>
    <xdr:pic macro="[0]!A_Precios">
      <xdr:nvPicPr>
        <xdr:cNvPr id="31" name="Imagen 30" descr="Flecha&#10;&#10;Descripción generada automáticamente con confianza media">
          <a:extLst>
            <a:ext uri="{FF2B5EF4-FFF2-40B4-BE49-F238E27FC236}">
              <a16:creationId xmlns:a16="http://schemas.microsoft.com/office/drawing/2014/main" id="{1CBB9271-86EB-F927-28C1-2C15D3332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7687" y="5072063"/>
          <a:ext cx="849153" cy="8448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1059656</xdr:colOff>
      <xdr:row>38</xdr:row>
      <xdr:rowOff>107156</xdr:rowOff>
    </xdr:from>
    <xdr:to>
      <xdr:col>23</xdr:col>
      <xdr:colOff>2964656</xdr:colOff>
      <xdr:row>40</xdr:row>
      <xdr:rowOff>185305</xdr:rowOff>
    </xdr:to>
    <xdr:sp macro="[0]!Guard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DD32166-5FFE-4C5E-9AD2-98531A25FDC0}"/>
            </a:ext>
          </a:extLst>
        </xdr:cNvPr>
        <xdr:cNvSpPr/>
      </xdr:nvSpPr>
      <xdr:spPr>
        <a:xfrm>
          <a:off x="19716750" y="8298656"/>
          <a:ext cx="1905000" cy="459149"/>
        </a:xfrm>
        <a:prstGeom prst="roundRect">
          <a:avLst/>
        </a:prstGeom>
        <a:solidFill>
          <a:schemeClr val="tx1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24</xdr:col>
      <xdr:colOff>38098</xdr:colOff>
      <xdr:row>38</xdr:row>
      <xdr:rowOff>116681</xdr:rowOff>
    </xdr:from>
    <xdr:to>
      <xdr:col>24</xdr:col>
      <xdr:colOff>488156</xdr:colOff>
      <xdr:row>41</xdr:row>
      <xdr:rowOff>4330</xdr:rowOff>
    </xdr:to>
    <xdr:sp macro="[0]!Actualiz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5A8CF25-ECFE-4ADB-9B01-174CBAFFBEF7}"/>
            </a:ext>
          </a:extLst>
        </xdr:cNvPr>
        <xdr:cNvSpPr/>
      </xdr:nvSpPr>
      <xdr:spPr>
        <a:xfrm>
          <a:off x="20671629" y="8308181"/>
          <a:ext cx="450058" cy="459149"/>
        </a:xfrm>
        <a:prstGeom prst="roundRect">
          <a:avLst/>
        </a:prstGeom>
        <a:solidFill>
          <a:schemeClr val="tx1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24</xdr:col>
      <xdr:colOff>60006</xdr:colOff>
      <xdr:row>38</xdr:row>
      <xdr:rowOff>153355</xdr:rowOff>
    </xdr:from>
    <xdr:to>
      <xdr:col>24</xdr:col>
      <xdr:colOff>468153</xdr:colOff>
      <xdr:row>40</xdr:row>
      <xdr:rowOff>142875</xdr:rowOff>
    </xdr:to>
    <xdr:pic macro="[0]!Actualizar">
      <xdr:nvPicPr>
        <xdr:cNvPr id="4" name="Imagen 3" descr="Icono&#10;&#10;Descripción generada automáticamente">
          <a:extLst>
            <a:ext uri="{FF2B5EF4-FFF2-40B4-BE49-F238E27FC236}">
              <a16:creationId xmlns:a16="http://schemas.microsoft.com/office/drawing/2014/main" id="{38180419-00FD-F201-113A-81EB4144C9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20693537" y="8344855"/>
          <a:ext cx="408147" cy="370520"/>
        </a:xfrm>
        <a:prstGeom prst="rect">
          <a:avLst/>
        </a:prstGeom>
        <a:solidFill>
          <a:schemeClr val="tx1"/>
        </a:solidFill>
        <a:ln>
          <a:noFill/>
        </a:ln>
      </xdr:spPr>
    </xdr:pic>
    <xdr:clientData/>
  </xdr:twoCellAnchor>
  <xdr:twoCellAnchor editAs="oneCell">
    <xdr:from>
      <xdr:col>6</xdr:col>
      <xdr:colOff>571500</xdr:colOff>
      <xdr:row>8</xdr:row>
      <xdr:rowOff>167093</xdr:rowOff>
    </xdr:from>
    <xdr:to>
      <xdr:col>7</xdr:col>
      <xdr:colOff>765809</xdr:colOff>
      <xdr:row>12</xdr:row>
      <xdr:rowOff>55926</xdr:rowOff>
    </xdr:to>
    <xdr:pic macro="[0]!A_Gastos_compartidos">
      <xdr:nvPicPr>
        <xdr:cNvPr id="15" name="Imagen 14" descr="Un dibujo de una persona&#10;&#10;Descripción generada automáticamente con confianza baja">
          <a:extLst>
            <a:ext uri="{FF2B5EF4-FFF2-40B4-BE49-F238E27FC236}">
              <a16:creationId xmlns:a16="http://schemas.microsoft.com/office/drawing/2014/main" id="{C717CC66-2104-16B9-B569-0D123E0ED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5813" y="2643593"/>
          <a:ext cx="908684" cy="650833"/>
        </a:xfrm>
        <a:prstGeom prst="rect">
          <a:avLst/>
        </a:prstGeom>
      </xdr:spPr>
    </xdr:pic>
    <xdr:clientData/>
  </xdr:twoCellAnchor>
  <xdr:twoCellAnchor editAs="oneCell">
    <xdr:from>
      <xdr:col>9</xdr:col>
      <xdr:colOff>209531</xdr:colOff>
      <xdr:row>15</xdr:row>
      <xdr:rowOff>26619</xdr:rowOff>
    </xdr:from>
    <xdr:to>
      <xdr:col>10</xdr:col>
      <xdr:colOff>182403</xdr:colOff>
      <xdr:row>19</xdr:row>
      <xdr:rowOff>73527</xdr:rowOff>
    </xdr:to>
    <xdr:pic macro="[0]!A_Gastos_personales">
      <xdr:nvPicPr>
        <xdr:cNvPr id="20" name="Imagen 19" descr="Imagen que contiene dibujo&#10;&#10;Descripción generada automáticamente">
          <a:extLst>
            <a:ext uri="{FF2B5EF4-FFF2-40B4-BE49-F238E27FC236}">
              <a16:creationId xmlns:a16="http://schemas.microsoft.com/office/drawing/2014/main" id="{271CEA0F-30B8-4F01-8957-9A6CD3A8A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31" y="3836619"/>
          <a:ext cx="746778" cy="808908"/>
        </a:xfrm>
        <a:prstGeom prst="rect">
          <a:avLst/>
        </a:prstGeom>
      </xdr:spPr>
    </xdr:pic>
    <xdr:clientData/>
  </xdr:twoCellAnchor>
  <xdr:twoCellAnchor>
    <xdr:from>
      <xdr:col>10</xdr:col>
      <xdr:colOff>214311</xdr:colOff>
      <xdr:row>20</xdr:row>
      <xdr:rowOff>142875</xdr:rowOff>
    </xdr:from>
    <xdr:to>
      <xdr:col>14</xdr:col>
      <xdr:colOff>678654</xdr:colOff>
      <xdr:row>26</xdr:row>
      <xdr:rowOff>83344</xdr:rowOff>
    </xdr:to>
    <xdr:sp macro="[0]!A_Portafoli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D81072F-DFD3-4E70-B247-BE4BF7FB8A1B}"/>
            </a:ext>
          </a:extLst>
        </xdr:cNvPr>
        <xdr:cNvSpPr/>
      </xdr:nvSpPr>
      <xdr:spPr>
        <a:xfrm>
          <a:off x="7274717" y="4905375"/>
          <a:ext cx="3559968" cy="1083469"/>
        </a:xfrm>
        <a:prstGeom prst="roundRect">
          <a:avLst/>
        </a:prstGeom>
        <a:solidFill>
          <a:srgbClr val="00B0F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>
              <a:solidFill>
                <a:schemeClr val="bg1"/>
              </a:solidFill>
            </a:rPr>
            <a:t>       PORTAFOLIO</a:t>
          </a:r>
        </a:p>
      </xdr:txBody>
    </xdr:sp>
    <xdr:clientData/>
  </xdr:twoCellAnchor>
  <xdr:twoCellAnchor editAs="oneCell">
    <xdr:from>
      <xdr:col>10</xdr:col>
      <xdr:colOff>369092</xdr:colOff>
      <xdr:row>22</xdr:row>
      <xdr:rowOff>9436</xdr:rowOff>
    </xdr:from>
    <xdr:to>
      <xdr:col>11</xdr:col>
      <xdr:colOff>238123</xdr:colOff>
      <xdr:row>25</xdr:row>
      <xdr:rowOff>11907</xdr:rowOff>
    </xdr:to>
    <xdr:pic>
      <xdr:nvPicPr>
        <xdr:cNvPr id="7" name="Imagen 6" descr="zakelijke aktetas pictogram, portefeuille bagage silhouet illustratie ...">
          <a:extLst>
            <a:ext uri="{FF2B5EF4-FFF2-40B4-BE49-F238E27FC236}">
              <a16:creationId xmlns:a16="http://schemas.microsoft.com/office/drawing/2014/main" id="{F50A69FE-4723-F924-7221-CF0913D32FA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0000" b="90000" l="10000" r="90000">
                      <a14:foregroundMark x1="64323" y1="71817" x2="64323" y2="71817"/>
                      <a14:foregroundMark x1="50052" y1="60127" x2="50052" y2="60127"/>
                      <a14:foregroundMark x1="49583" y1="64873" x2="49583" y2="64873"/>
                      <a14:foregroundMark x1="55417" y1="22164" x2="55417" y2="22164"/>
                    </a14:backgroundRemoval>
                  </a14:imgEffect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7714" t="17701" r="17839" b="18267"/>
        <a:stretch/>
      </xdr:blipFill>
      <xdr:spPr bwMode="auto">
        <a:xfrm>
          <a:off x="7429498" y="5152936"/>
          <a:ext cx="642938" cy="573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92867</xdr:colOff>
      <xdr:row>14</xdr:row>
      <xdr:rowOff>45245</xdr:rowOff>
    </xdr:from>
    <xdr:to>
      <xdr:col>22</xdr:col>
      <xdr:colOff>1381125</xdr:colOff>
      <xdr:row>19</xdr:row>
      <xdr:rowOff>176214</xdr:rowOff>
    </xdr:to>
    <xdr:sp macro="[0]!A_Alfajore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85BF765-3040-4EEE-828B-65B7498F24A0}"/>
            </a:ext>
          </a:extLst>
        </xdr:cNvPr>
        <xdr:cNvSpPr/>
      </xdr:nvSpPr>
      <xdr:spPr>
        <a:xfrm>
          <a:off x="14118430" y="3664745"/>
          <a:ext cx="3609976" cy="1083469"/>
        </a:xfrm>
        <a:prstGeom prst="roundRect">
          <a:avLst/>
        </a:prstGeom>
        <a:solidFill>
          <a:srgbClr val="66330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ALFAJORES</a:t>
          </a:r>
        </a:p>
      </xdr:txBody>
    </xdr:sp>
    <xdr:clientData/>
  </xdr:twoCellAnchor>
  <xdr:twoCellAnchor editAs="oneCell">
    <xdr:from>
      <xdr:col>19</xdr:col>
      <xdr:colOff>333375</xdr:colOff>
      <xdr:row>14</xdr:row>
      <xdr:rowOff>185736</xdr:rowOff>
    </xdr:from>
    <xdr:to>
      <xdr:col>20</xdr:col>
      <xdr:colOff>357188</xdr:colOff>
      <xdr:row>19</xdr:row>
      <xdr:rowOff>30955</xdr:rowOff>
    </xdr:to>
    <xdr:pic macro="[0]!A_Alfajores">
      <xdr:nvPicPr>
        <xdr:cNvPr id="13" name="Imagen 12" descr="Iconos gratuitos de Alfajor diseñados por Freepik">
          <a:extLst>
            <a:ext uri="{FF2B5EF4-FFF2-40B4-BE49-F238E27FC236}">
              <a16:creationId xmlns:a16="http://schemas.microsoft.com/office/drawing/2014/main" id="{7ADAADE0-FED3-5F24-D1A9-29BAD0004F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ackgroundRemoval t="9961" b="89844" l="2344" r="96289">
                      <a14:foregroundMark x1="46615" y1="25639" x2="47642" y2="23915"/>
                      <a14:foregroundMark x1="36523" y1="42578" x2="38674" y2="38968"/>
                      <a14:foregroundMark x1="47461" y1="24219" x2="50000" y2="21680"/>
                      <a14:foregroundMark x1="57617" y1="25000" x2="57617" y2="25000"/>
                      <a14:foregroundMark x1="51172" y1="27344" x2="51172" y2="27344"/>
                      <a14:foregroundMark x1="93164" y1="30859" x2="98242" y2="43164"/>
                      <a14:foregroundMark x1="98242" y1="43164" x2="96484" y2="56836"/>
                      <a14:foregroundMark x1="96484" y1="56836" x2="91016" y2="67969"/>
                      <a14:foregroundMark x1="2867" y1="52616" x2="2344" y2="52930"/>
                      <a14:foregroundMark x1="24414" y1="84766" x2="30469" y2="84766"/>
                      <a14:foregroundMark x1="48047" y1="84180" x2="48047" y2="84180"/>
                      <a14:foregroundMark x1="19336" y1="66211" x2="19336" y2="66211"/>
                      <a14:foregroundMark x1="13477" y1="66211" x2="13477" y2="66211"/>
                      <a14:backgroundMark x1="27539" y1="26367" x2="27539" y2="26367"/>
                      <a14:backgroundMark x1="20313" y1="22656" x2="20313" y2="22656"/>
                      <a14:backgroundMark x1="36914" y1="48633" x2="36914" y2="48633"/>
                      <a14:backgroundMark x1="41016" y1="38086" x2="47266" y2="28125"/>
                      <a14:backgroundMark x1="47266" y1="28125" x2="47852" y2="27930"/>
                      <a14:backgroundMark x1="45703" y1="28516" x2="41211" y2="37109"/>
                      <a14:backgroundMark x1="8008" y1="50977" x2="4297" y2="53906"/>
                      <a14:backgroundMark x1="6641" y1="50781" x2="8789" y2="50586"/>
                      <a14:backgroundMark x1="45313" y1="29492" x2="46289" y2="27539"/>
                      <a14:backgroundMark x1="44727" y1="28906" x2="47070" y2="27539"/>
                      <a14:backgroundMark x1="39844" y1="37891" x2="41211" y2="35938"/>
                      <a14:backgroundMark x1="40820" y1="36133" x2="40234" y2="39258"/>
                    </a14:backgroundRemoval>
                  </a14:imgEffect>
                  <a14:imgEffect>
                    <a14:sharpenSoften amount="7000"/>
                  </a14:imgEffect>
                  <a14:imgEffect>
                    <a14:colorTemperature colorTemp="6094"/>
                  </a14:imgEffect>
                  <a14:imgEffect>
                    <a14:saturation sat="0"/>
                  </a14:imgEffect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8938" y="3805236"/>
          <a:ext cx="797719" cy="797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114282</xdr:colOff>
      <xdr:row>20</xdr:row>
      <xdr:rowOff>161925</xdr:rowOff>
    </xdr:from>
    <xdr:to>
      <xdr:col>22</xdr:col>
      <xdr:colOff>654844</xdr:colOff>
      <xdr:row>26</xdr:row>
      <xdr:rowOff>102394</xdr:rowOff>
    </xdr:to>
    <xdr:sp macro="[0]!A_Relojes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1FC8A2A2-9A86-4A0C-B932-41DCB8971E58}"/>
            </a:ext>
          </a:extLst>
        </xdr:cNvPr>
        <xdr:cNvSpPr/>
      </xdr:nvSpPr>
      <xdr:spPr>
        <a:xfrm>
          <a:off x="14139845" y="4924425"/>
          <a:ext cx="2862280" cy="1083469"/>
        </a:xfrm>
        <a:prstGeom prst="roundRect">
          <a:avLst/>
        </a:prstGeom>
        <a:solidFill>
          <a:schemeClr val="accent6">
            <a:lumMod val="5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RELOJES</a:t>
          </a:r>
        </a:p>
      </xdr:txBody>
    </xdr:sp>
    <xdr:clientData/>
  </xdr:twoCellAnchor>
  <xdr:twoCellAnchor editAs="oneCell">
    <xdr:from>
      <xdr:col>19</xdr:col>
      <xdr:colOff>392907</xdr:colOff>
      <xdr:row>21</xdr:row>
      <xdr:rowOff>154783</xdr:rowOff>
    </xdr:from>
    <xdr:to>
      <xdr:col>20</xdr:col>
      <xdr:colOff>164725</xdr:colOff>
      <xdr:row>25</xdr:row>
      <xdr:rowOff>107156</xdr:rowOff>
    </xdr:to>
    <xdr:pic macro="[0]!A_Relojes">
      <xdr:nvPicPr>
        <xdr:cNvPr id="24" name="Imagen 23" descr="Icono De Reloj De Pulsera. Diseño Plano. Ilustración Vectorial De La  Silueta Ilustraciones svg, vectoriales, clip art vectorizado libre de  derechos. Image 66584377">
          <a:extLst>
            <a:ext uri="{FF2B5EF4-FFF2-40B4-BE49-F238E27FC236}">
              <a16:creationId xmlns:a16="http://schemas.microsoft.com/office/drawing/2014/main" id="{43B04FEF-BEE5-85AF-C116-70F99F031BB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ackgroundRemoval t="19231" b="79462" l="29308" r="71615">
                      <a14:foregroundMark x1="43615" y1="22846" x2="51308" y2="22077"/>
                      <a14:foregroundMark x1="51308" y1="22077" x2="51308" y2="22077"/>
                      <a14:foregroundMark x1="45154" y1="21615" x2="52615" y2="20692"/>
                      <a14:foregroundMark x1="52615" y1="20692" x2="55769" y2="20692"/>
                      <a14:foregroundMark x1="43923" y1="79692" x2="51077" y2="79692"/>
                      <a14:foregroundMark x1="51077" y1="79692" x2="56077" y2="78615"/>
                      <a14:foregroundMark x1="48462" y1="49923" x2="48154" y2="39000"/>
                      <a14:foregroundMark x1="29308" y1="46615" x2="30231" y2="53769"/>
                      <a14:foregroundMark x1="42923" y1="20154" x2="55462" y2="19231"/>
                      <a14:foregroundMark x1="71154" y1="46923" x2="71615" y2="50923"/>
                      <a14:foregroundMark x1="71615" y1="50923" x2="71615" y2="50923"/>
                    </a14:backgroundRemoval>
                  </a14:imgEffect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813" t="16528" r="23917" b="16306"/>
        <a:stretch>
          <a:fillRect/>
        </a:stretch>
      </xdr:blipFill>
      <xdr:spPr bwMode="auto">
        <a:xfrm>
          <a:off x="14418470" y="5107783"/>
          <a:ext cx="545724" cy="714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154779</xdr:colOff>
      <xdr:row>9</xdr:row>
      <xdr:rowOff>178593</xdr:rowOff>
    </xdr:from>
    <xdr:to>
      <xdr:col>9</xdr:col>
      <xdr:colOff>997957</xdr:colOff>
      <xdr:row>11</xdr:row>
      <xdr:rowOff>46541</xdr:rowOff>
    </xdr:to>
    <xdr:sp macro="[0]!Acciones.Actualizar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BAD5D2EC-D1C8-4214-A0AB-ACAE466303D8}"/>
            </a:ext>
          </a:extLst>
        </xdr:cNvPr>
        <xdr:cNvSpPr/>
      </xdr:nvSpPr>
      <xdr:spPr>
        <a:xfrm>
          <a:off x="6119810" y="2131218"/>
          <a:ext cx="1950460" cy="248948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Actualizar ahorros</a:t>
          </a:r>
        </a:p>
      </xdr:txBody>
    </xdr:sp>
    <xdr:clientData/>
  </xdr:twoCellAnchor>
  <xdr:twoCellAnchor>
    <xdr:from>
      <xdr:col>10</xdr:col>
      <xdr:colOff>194830</xdr:colOff>
      <xdr:row>1</xdr:row>
      <xdr:rowOff>4329</xdr:rowOff>
    </xdr:from>
    <xdr:to>
      <xdr:col>27</xdr:col>
      <xdr:colOff>1404940</xdr:colOff>
      <xdr:row>13</xdr:row>
      <xdr:rowOff>154781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39B5C58-FABC-43B8-9612-02981AF19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458932</xdr:colOff>
      <xdr:row>15</xdr:row>
      <xdr:rowOff>18403</xdr:rowOff>
    </xdr:from>
    <xdr:to>
      <xdr:col>9</xdr:col>
      <xdr:colOff>753342</xdr:colOff>
      <xdr:row>17</xdr:row>
      <xdr:rowOff>144177</xdr:rowOff>
    </xdr:to>
    <xdr:sp macro="[0]!Guard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74A7364-4F1A-404F-9639-4514340BE2AA}"/>
            </a:ext>
          </a:extLst>
        </xdr:cNvPr>
        <xdr:cNvSpPr/>
      </xdr:nvSpPr>
      <xdr:spPr>
        <a:xfrm>
          <a:off x="6412057" y="2840184"/>
          <a:ext cx="1401691" cy="506774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8</xdr:col>
      <xdr:colOff>153696</xdr:colOff>
      <xdr:row>11</xdr:row>
      <xdr:rowOff>119062</xdr:rowOff>
    </xdr:from>
    <xdr:to>
      <xdr:col>9</xdr:col>
      <xdr:colOff>997958</xdr:colOff>
      <xdr:row>12</xdr:row>
      <xdr:rowOff>186390</xdr:rowOff>
    </xdr:to>
    <xdr:sp macro="[0]!Registrar_Ahorro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558A44F3-57F9-4E27-BCA7-8ABB874C95F1}"/>
            </a:ext>
          </a:extLst>
        </xdr:cNvPr>
        <xdr:cNvSpPr/>
      </xdr:nvSpPr>
      <xdr:spPr>
        <a:xfrm>
          <a:off x="6118727" y="2452687"/>
          <a:ext cx="1951544" cy="257828"/>
        </a:xfrm>
        <a:prstGeom prst="roundRect">
          <a:avLst/>
        </a:prstGeom>
        <a:solidFill>
          <a:srgbClr val="FFC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Registrar ahorro mensual</a:t>
          </a:r>
        </a:p>
      </xdr:txBody>
    </xdr:sp>
    <xdr:clientData/>
  </xdr:twoCellAnchor>
  <xdr:twoCellAnchor>
    <xdr:from>
      <xdr:col>10</xdr:col>
      <xdr:colOff>194827</xdr:colOff>
      <xdr:row>21</xdr:row>
      <xdr:rowOff>178590</xdr:rowOff>
    </xdr:from>
    <xdr:to>
      <xdr:col>27</xdr:col>
      <xdr:colOff>1404937</xdr:colOff>
      <xdr:row>34</xdr:row>
      <xdr:rowOff>178591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23DD88E-1F84-4F11-8BCE-6DB366492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654844</xdr:colOff>
      <xdr:row>29</xdr:row>
      <xdr:rowOff>35719</xdr:rowOff>
    </xdr:from>
    <xdr:to>
      <xdr:col>5</xdr:col>
      <xdr:colOff>11906</xdr:colOff>
      <xdr:row>40</xdr:row>
      <xdr:rowOff>178593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1533CF-2699-7C98-E7E0-CA3B847FC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726282</xdr:colOff>
      <xdr:row>29</xdr:row>
      <xdr:rowOff>59530</xdr:rowOff>
    </xdr:from>
    <xdr:to>
      <xdr:col>9</xdr:col>
      <xdr:colOff>952499</xdr:colOff>
      <xdr:row>40</xdr:row>
      <xdr:rowOff>178593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5C6269E-0247-4B05-9BED-2A925C3215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714375</xdr:colOff>
      <xdr:row>36</xdr:row>
      <xdr:rowOff>71435</xdr:rowOff>
    </xdr:from>
    <xdr:to>
      <xdr:col>27</xdr:col>
      <xdr:colOff>1416843</xdr:colOff>
      <xdr:row>41</xdr:row>
      <xdr:rowOff>154780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EDB3AE-ACD9-4374-AA45-05A92703F9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166688</xdr:colOff>
      <xdr:row>15</xdr:row>
      <xdr:rowOff>11906</xdr:rowOff>
    </xdr:from>
    <xdr:to>
      <xdr:col>27</xdr:col>
      <xdr:colOff>1404937</xdr:colOff>
      <xdr:row>20</xdr:row>
      <xdr:rowOff>130970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CCC1DC2-82A4-46B8-A55D-C14195C4C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202408</xdr:colOff>
      <xdr:row>15</xdr:row>
      <xdr:rowOff>58450</xdr:rowOff>
    </xdr:from>
    <xdr:to>
      <xdr:col>28</xdr:col>
      <xdr:colOff>357188</xdr:colOff>
      <xdr:row>30</xdr:row>
      <xdr:rowOff>47624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8C65F25-56E4-4E35-8D0F-448B68790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13637</xdr:colOff>
      <xdr:row>38</xdr:row>
      <xdr:rowOff>95248</xdr:rowOff>
    </xdr:from>
    <xdr:to>
      <xdr:col>2</xdr:col>
      <xdr:colOff>310643</xdr:colOff>
      <xdr:row>41</xdr:row>
      <xdr:rowOff>95248</xdr:rowOff>
    </xdr:to>
    <xdr:sp macro="[0]!Guardar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D35AC1B-E8EA-456D-9B3D-019C1E018881}"/>
            </a:ext>
          </a:extLst>
        </xdr:cNvPr>
        <xdr:cNvSpPr/>
      </xdr:nvSpPr>
      <xdr:spPr>
        <a:xfrm>
          <a:off x="144606" y="6084092"/>
          <a:ext cx="1130443" cy="57150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</a:t>
          </a:r>
          <a:r>
            <a:rPr lang="es-US" sz="1100" b="1" baseline="0">
              <a:solidFill>
                <a:schemeClr val="bg1"/>
              </a:solidFill>
            </a:rPr>
            <a:t> CERRAR</a:t>
          </a:r>
          <a:endParaRPr lang="es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757668</xdr:colOff>
      <xdr:row>26</xdr:row>
      <xdr:rowOff>152617</xdr:rowOff>
    </xdr:from>
    <xdr:to>
      <xdr:col>11</xdr:col>
      <xdr:colOff>166684</xdr:colOff>
      <xdr:row>29</xdr:row>
      <xdr:rowOff>52173</xdr:rowOff>
    </xdr:to>
    <xdr:sp macro="[0]!Registrar_Balanc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F657CBF1-39E0-453F-959E-BF814EDAFBE5}"/>
            </a:ext>
          </a:extLst>
        </xdr:cNvPr>
        <xdr:cNvSpPr/>
      </xdr:nvSpPr>
      <xdr:spPr>
        <a:xfrm>
          <a:off x="6841762" y="5188961"/>
          <a:ext cx="1861703" cy="482962"/>
        </a:xfrm>
        <a:prstGeom prst="roundRect">
          <a:avLst/>
        </a:prstGeom>
        <a:solidFill>
          <a:srgbClr val="FFC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Registrar</a:t>
          </a:r>
          <a:r>
            <a:rPr lang="es-US" sz="1100" b="1" baseline="0">
              <a:solidFill>
                <a:sysClr val="windowText" lastClr="000000"/>
              </a:solidFill>
            </a:rPr>
            <a:t> balance mensual</a:t>
          </a:r>
        </a:p>
      </xdr:txBody>
    </xdr:sp>
    <xdr:clientData/>
  </xdr:twoCellAnchor>
  <xdr:twoCellAnchor>
    <xdr:from>
      <xdr:col>12</xdr:col>
      <xdr:colOff>204251</xdr:colOff>
      <xdr:row>0</xdr:row>
      <xdr:rowOff>165604</xdr:rowOff>
    </xdr:from>
    <xdr:to>
      <xdr:col>28</xdr:col>
      <xdr:colOff>345282</xdr:colOff>
      <xdr:row>14</xdr:row>
      <xdr:rowOff>79011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A70C7A6-A497-4186-8748-204474448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11909</xdr:colOff>
      <xdr:row>17</xdr:row>
      <xdr:rowOff>23812</xdr:rowOff>
    </xdr:from>
    <xdr:to>
      <xdr:col>12</xdr:col>
      <xdr:colOff>11909</xdr:colOff>
      <xdr:row>26</xdr:row>
      <xdr:rowOff>22731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6C02AD-7387-41C9-99B8-A1EDFA0263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10824</xdr:colOff>
      <xdr:row>2</xdr:row>
      <xdr:rowOff>23812</xdr:rowOff>
    </xdr:from>
    <xdr:to>
      <xdr:col>11</xdr:col>
      <xdr:colOff>523875</xdr:colOff>
      <xdr:row>14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6389F48-6FDB-48B1-B36C-67F237CC5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666746</xdr:colOff>
      <xdr:row>26</xdr:row>
      <xdr:rowOff>142875</xdr:rowOff>
    </xdr:from>
    <xdr:to>
      <xdr:col>8</xdr:col>
      <xdr:colOff>642933</xdr:colOff>
      <xdr:row>29</xdr:row>
      <xdr:rowOff>42431</xdr:rowOff>
    </xdr:to>
    <xdr:sp macro="[0]!Borrar_Valore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F96F0D8-4867-4F8C-B8D0-F5D352F34ABB}"/>
            </a:ext>
          </a:extLst>
        </xdr:cNvPr>
        <xdr:cNvSpPr/>
      </xdr:nvSpPr>
      <xdr:spPr>
        <a:xfrm>
          <a:off x="5655465" y="5179219"/>
          <a:ext cx="1071562" cy="482962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12</xdr:col>
      <xdr:colOff>678656</xdr:colOff>
      <xdr:row>38</xdr:row>
      <xdr:rowOff>35716</xdr:rowOff>
    </xdr:from>
    <xdr:to>
      <xdr:col>28</xdr:col>
      <xdr:colOff>357187</xdr:colOff>
      <xdr:row>54</xdr:row>
      <xdr:rowOff>47624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3B62DE8-50EB-414D-8E3C-0E362C88A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73820</xdr:colOff>
      <xdr:row>9</xdr:row>
      <xdr:rowOff>71437</xdr:rowOff>
    </xdr:from>
    <xdr:to>
      <xdr:col>8</xdr:col>
      <xdr:colOff>4762</xdr:colOff>
      <xdr:row>10</xdr:row>
      <xdr:rowOff>119062</xdr:rowOff>
    </xdr:to>
    <xdr:sp macro="[0]!Borrar_Valores_Per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8B727C3-4A68-4B7C-89E1-1A23E5072CAF}"/>
            </a:ext>
          </a:extLst>
        </xdr:cNvPr>
        <xdr:cNvSpPr/>
      </xdr:nvSpPr>
      <xdr:spPr>
        <a:xfrm>
          <a:off x="13182601" y="1845468"/>
          <a:ext cx="1383505" cy="250032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15</xdr:col>
      <xdr:colOff>369099</xdr:colOff>
      <xdr:row>0</xdr:row>
      <xdr:rowOff>119063</xdr:rowOff>
    </xdr:from>
    <xdr:to>
      <xdr:col>16</xdr:col>
      <xdr:colOff>1008790</xdr:colOff>
      <xdr:row>3</xdr:row>
      <xdr:rowOff>30524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B58E079-1C96-476B-B847-563B97CFE1C4}"/>
            </a:ext>
          </a:extLst>
        </xdr:cNvPr>
        <xdr:cNvSpPr/>
      </xdr:nvSpPr>
      <xdr:spPr>
        <a:xfrm>
          <a:off x="20895474" y="119063"/>
          <a:ext cx="1377879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4</xdr:col>
      <xdr:colOff>571500</xdr:colOff>
      <xdr:row>12</xdr:row>
      <xdr:rowOff>11906</xdr:rowOff>
    </xdr:from>
    <xdr:to>
      <xdr:col>7</xdr:col>
      <xdr:colOff>166687</xdr:colOff>
      <xdr:row>14</xdr:row>
      <xdr:rowOff>154781</xdr:rowOff>
    </xdr:to>
    <xdr:sp macro="" textlink="">
      <xdr:nvSpPr>
        <xdr:cNvPr id="5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9B081C-A45A-4FA1-B1E8-9531604EBC03}"/>
            </a:ext>
          </a:extLst>
        </xdr:cNvPr>
        <xdr:cNvSpPr/>
      </xdr:nvSpPr>
      <xdr:spPr>
        <a:xfrm>
          <a:off x="10703719" y="2393156"/>
          <a:ext cx="3369468" cy="53578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>
              <a:solidFill>
                <a:sysClr val="windowText" lastClr="000000"/>
              </a:solidFill>
            </a:rPr>
            <a:t>          Resúmenes bancarios</a:t>
          </a:r>
        </a:p>
      </xdr:txBody>
    </xdr:sp>
    <xdr:clientData/>
  </xdr:twoCellAnchor>
  <xdr:twoCellAnchor editAs="oneCell">
    <xdr:from>
      <xdr:col>4</xdr:col>
      <xdr:colOff>915984</xdr:colOff>
      <xdr:row>12</xdr:row>
      <xdr:rowOff>47624</xdr:rowOff>
    </xdr:from>
    <xdr:to>
      <xdr:col>4</xdr:col>
      <xdr:colOff>1381124</xdr:colOff>
      <xdr:row>14</xdr:row>
      <xdr:rowOff>117670</xdr:rowOff>
    </xdr:to>
    <xdr:pic>
      <xdr:nvPicPr>
        <xdr:cNvPr id="7" name="Imagen 6" descr="Icono De Línea Bancaria Vector PNG , Icono De Banco, Autoridad, Banco ...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5C94C7-8D10-40EA-AA4E-C40C019942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8203" y="2428874"/>
          <a:ext cx="465140" cy="462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83346</xdr:colOff>
      <xdr:row>8</xdr:row>
      <xdr:rowOff>71438</xdr:rowOff>
    </xdr:from>
    <xdr:to>
      <xdr:col>10</xdr:col>
      <xdr:colOff>-1</xdr:colOff>
      <xdr:row>10</xdr:row>
      <xdr:rowOff>0</xdr:rowOff>
    </xdr:to>
    <xdr:sp macro="[0]!Borrar_Valores_Com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6845BD1-6861-41ED-86C2-25A690D14843}"/>
            </a:ext>
          </a:extLst>
        </xdr:cNvPr>
        <xdr:cNvSpPr/>
      </xdr:nvSpPr>
      <xdr:spPr>
        <a:xfrm>
          <a:off x="13942221" y="1869282"/>
          <a:ext cx="1369216" cy="333374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16</xdr:col>
      <xdr:colOff>357189</xdr:colOff>
      <xdr:row>0</xdr:row>
      <xdr:rowOff>142875</xdr:rowOff>
    </xdr:from>
    <xdr:to>
      <xdr:col>17</xdr:col>
      <xdr:colOff>996880</xdr:colOff>
      <xdr:row>3</xdr:row>
      <xdr:rowOff>54336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C73B51E-6253-4BC9-966E-375A47F38F78}"/>
            </a:ext>
          </a:extLst>
        </xdr:cNvPr>
        <xdr:cNvSpPr/>
      </xdr:nvSpPr>
      <xdr:spPr>
        <a:xfrm>
          <a:off x="20752595" y="142875"/>
          <a:ext cx="1377879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 editAs="oneCell">
    <xdr:from>
      <xdr:col>8</xdr:col>
      <xdr:colOff>0</xdr:colOff>
      <xdr:row>21</xdr:row>
      <xdr:rowOff>0</xdr:rowOff>
    </xdr:from>
    <xdr:to>
      <xdr:col>8</xdr:col>
      <xdr:colOff>304800</xdr:colOff>
      <xdr:row>22</xdr:row>
      <xdr:rowOff>116681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5E00DB2-C381-5916-9664-17BEAF64B7E2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41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166687</xdr:colOff>
      <xdr:row>11</xdr:row>
      <xdr:rowOff>178593</xdr:rowOff>
    </xdr:from>
    <xdr:to>
      <xdr:col>9</xdr:col>
      <xdr:colOff>452437</xdr:colOff>
      <xdr:row>14</xdr:row>
      <xdr:rowOff>107156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DB8723-9D0B-4F67-8BBD-3CB92D4FDDEB}"/>
            </a:ext>
          </a:extLst>
        </xdr:cNvPr>
        <xdr:cNvSpPr/>
      </xdr:nvSpPr>
      <xdr:spPr>
        <a:xfrm>
          <a:off x="12001500" y="2583656"/>
          <a:ext cx="3369468" cy="53578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>
              <a:solidFill>
                <a:sysClr val="windowText" lastClr="000000"/>
              </a:solidFill>
            </a:rPr>
            <a:t>          Resúmenes bancarios</a:t>
          </a:r>
        </a:p>
      </xdr:txBody>
    </xdr:sp>
    <xdr:clientData/>
  </xdr:twoCellAnchor>
  <xdr:twoCellAnchor editAs="oneCell">
    <xdr:from>
      <xdr:col>6</xdr:col>
      <xdr:colOff>511171</xdr:colOff>
      <xdr:row>12</xdr:row>
      <xdr:rowOff>11905</xdr:rowOff>
    </xdr:from>
    <xdr:to>
      <xdr:col>6</xdr:col>
      <xdr:colOff>982026</xdr:colOff>
      <xdr:row>14</xdr:row>
      <xdr:rowOff>71950</xdr:rowOff>
    </xdr:to>
    <xdr:pic>
      <xdr:nvPicPr>
        <xdr:cNvPr id="5" name="Imagen 4" descr="Icono De Línea Bancaria Vector PNG , Icono De Banco, Autoridad, Banco ...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6EE50-1419-4F62-87C8-158FE3638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5984" y="2619374"/>
          <a:ext cx="465140" cy="462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35719</xdr:rowOff>
    </xdr:from>
    <xdr:to>
      <xdr:col>29</xdr:col>
      <xdr:colOff>571499</xdr:colOff>
      <xdr:row>14</xdr:row>
      <xdr:rowOff>175345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5D10DCA-798C-4A6F-8128-6450EC13A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226219</xdr:colOff>
      <xdr:row>16</xdr:row>
      <xdr:rowOff>11907</xdr:rowOff>
    </xdr:from>
    <xdr:to>
      <xdr:col>9</xdr:col>
      <xdr:colOff>666749</xdr:colOff>
      <xdr:row>18</xdr:row>
      <xdr:rowOff>78150</xdr:rowOff>
    </xdr:to>
    <xdr:sp macro="[0]!Registrar_Suel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71EA9FF-229F-4919-A4EF-6351DFAF7CA4}"/>
            </a:ext>
          </a:extLst>
        </xdr:cNvPr>
        <xdr:cNvSpPr/>
      </xdr:nvSpPr>
      <xdr:spPr>
        <a:xfrm>
          <a:off x="5726907" y="3071813"/>
          <a:ext cx="1202530" cy="471056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Registrar sueldo</a:t>
          </a:r>
        </a:p>
      </xdr:txBody>
    </xdr:sp>
    <xdr:clientData/>
  </xdr:twoCellAnchor>
  <xdr:twoCellAnchor>
    <xdr:from>
      <xdr:col>10</xdr:col>
      <xdr:colOff>59590</xdr:colOff>
      <xdr:row>16</xdr:row>
      <xdr:rowOff>11907</xdr:rowOff>
    </xdr:from>
    <xdr:to>
      <xdr:col>11</xdr:col>
      <xdr:colOff>785811</xdr:colOff>
      <xdr:row>18</xdr:row>
      <xdr:rowOff>83344</xdr:rowOff>
    </xdr:to>
    <xdr:sp macro="[0]!Guard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9B27326-8528-4D24-85BC-BD7B84E7C432}"/>
            </a:ext>
          </a:extLst>
        </xdr:cNvPr>
        <xdr:cNvSpPr/>
      </xdr:nvSpPr>
      <xdr:spPr>
        <a:xfrm>
          <a:off x="8132028" y="3071813"/>
          <a:ext cx="1500127" cy="47625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1059660</xdr:colOff>
      <xdr:row>4</xdr:row>
      <xdr:rowOff>71438</xdr:rowOff>
    </xdr:from>
    <xdr:to>
      <xdr:col>0</xdr:col>
      <xdr:colOff>2214565</xdr:colOff>
      <xdr:row>6</xdr:row>
      <xdr:rowOff>130970</xdr:rowOff>
    </xdr:to>
    <xdr:sp macro="[0]!Acciones.Actualiz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20C8ABD-84A5-4818-B59B-13E3E674A336}"/>
            </a:ext>
          </a:extLst>
        </xdr:cNvPr>
        <xdr:cNvSpPr/>
      </xdr:nvSpPr>
      <xdr:spPr>
        <a:xfrm flipH="1">
          <a:off x="1059660" y="904876"/>
          <a:ext cx="1154905" cy="511969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ACTUALIZAR PRECIOS</a:t>
          </a:r>
        </a:p>
      </xdr:txBody>
    </xdr:sp>
    <xdr:clientData/>
  </xdr:twoCellAnchor>
  <xdr:twoCellAnchor>
    <xdr:from>
      <xdr:col>20</xdr:col>
      <xdr:colOff>309562</xdr:colOff>
      <xdr:row>4</xdr:row>
      <xdr:rowOff>71438</xdr:rowOff>
    </xdr:from>
    <xdr:to>
      <xdr:col>22</xdr:col>
      <xdr:colOff>163440</xdr:colOff>
      <xdr:row>6</xdr:row>
      <xdr:rowOff>113868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D7D0006-898B-4A63-8BC7-1AD90266BF1E}"/>
            </a:ext>
          </a:extLst>
        </xdr:cNvPr>
        <xdr:cNvSpPr/>
      </xdr:nvSpPr>
      <xdr:spPr>
        <a:xfrm>
          <a:off x="19288125" y="1107282"/>
          <a:ext cx="1377878" cy="494867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261922</xdr:colOff>
      <xdr:row>6</xdr:row>
      <xdr:rowOff>166689</xdr:rowOff>
    </xdr:from>
    <xdr:to>
      <xdr:col>17</xdr:col>
      <xdr:colOff>107156</xdr:colOff>
      <xdr:row>9</xdr:row>
      <xdr:rowOff>1</xdr:rowOff>
    </xdr:to>
    <xdr:sp macro="[0]!Acciones.Actualiz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067F4C8-2580-4066-9EE3-10318B67F7AE}"/>
            </a:ext>
          </a:extLst>
        </xdr:cNvPr>
        <xdr:cNvSpPr/>
      </xdr:nvSpPr>
      <xdr:spPr>
        <a:xfrm>
          <a:off x="19180953" y="1654970"/>
          <a:ext cx="1393047" cy="511969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ACTUALIZAR PRECIOS</a:t>
          </a:r>
        </a:p>
      </xdr:txBody>
    </xdr:sp>
    <xdr:clientData/>
  </xdr:twoCellAnchor>
  <xdr:twoCellAnchor>
    <xdr:from>
      <xdr:col>15</xdr:col>
      <xdr:colOff>250030</xdr:colOff>
      <xdr:row>4</xdr:row>
      <xdr:rowOff>23814</xdr:rowOff>
    </xdr:from>
    <xdr:to>
      <xdr:col>17</xdr:col>
      <xdr:colOff>103908</xdr:colOff>
      <xdr:row>6</xdr:row>
      <xdr:rowOff>66244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67430E6-E458-4027-AFCD-B5C3BA40E59E}"/>
            </a:ext>
          </a:extLst>
        </xdr:cNvPr>
        <xdr:cNvSpPr/>
      </xdr:nvSpPr>
      <xdr:spPr>
        <a:xfrm>
          <a:off x="16323468" y="1059658"/>
          <a:ext cx="1377878" cy="494867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17</xdr:col>
      <xdr:colOff>339328</xdr:colOff>
      <xdr:row>1</xdr:row>
      <xdr:rowOff>3570</xdr:rowOff>
    </xdr:from>
    <xdr:to>
      <xdr:col>29</xdr:col>
      <xdr:colOff>59531</xdr:colOff>
      <xdr:row>31</xdr:row>
      <xdr:rowOff>250030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70E1D40-8D46-00B9-1628-F22753DD39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7145</xdr:colOff>
      <xdr:row>5</xdr:row>
      <xdr:rowOff>35719</xdr:rowOff>
    </xdr:from>
    <xdr:to>
      <xdr:col>10</xdr:col>
      <xdr:colOff>83344</xdr:colOff>
      <xdr:row>7</xdr:row>
      <xdr:rowOff>137680</xdr:rowOff>
    </xdr:to>
    <xdr:sp macro="[0]!Nuevo_Partido_Ganad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C2AC945-F28F-4BE9-B635-BC5ADAA2900D}"/>
            </a:ext>
          </a:extLst>
        </xdr:cNvPr>
        <xdr:cNvSpPr/>
      </xdr:nvSpPr>
      <xdr:spPr>
        <a:xfrm>
          <a:off x="7019926" y="1035844"/>
          <a:ext cx="1100137" cy="482961"/>
        </a:xfrm>
        <a:prstGeom prst="roundRect">
          <a:avLst/>
        </a:prstGeom>
        <a:solidFill>
          <a:schemeClr val="accent6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Nuevo partido GANADO</a:t>
          </a:r>
        </a:p>
      </xdr:txBody>
    </xdr:sp>
    <xdr:clientData/>
  </xdr:twoCellAnchor>
  <xdr:twoCellAnchor>
    <xdr:from>
      <xdr:col>10</xdr:col>
      <xdr:colOff>202408</xdr:colOff>
      <xdr:row>5</xdr:row>
      <xdr:rowOff>35718</xdr:rowOff>
    </xdr:from>
    <xdr:to>
      <xdr:col>11</xdr:col>
      <xdr:colOff>309563</xdr:colOff>
      <xdr:row>7</xdr:row>
      <xdr:rowOff>142875</xdr:rowOff>
    </xdr:to>
    <xdr:sp macro="[0]!Nuevo_Partido_Perdi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6E1BEF3-B261-498C-9FBB-5996A5EBD708}"/>
            </a:ext>
          </a:extLst>
        </xdr:cNvPr>
        <xdr:cNvSpPr/>
      </xdr:nvSpPr>
      <xdr:spPr>
        <a:xfrm>
          <a:off x="8239127" y="1035843"/>
          <a:ext cx="1142999" cy="488157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Nuevo partido PERDIDO</a:t>
          </a:r>
        </a:p>
      </xdr:txBody>
    </xdr:sp>
    <xdr:clientData/>
  </xdr:twoCellAnchor>
  <xdr:twoCellAnchor editAs="oneCell">
    <xdr:from>
      <xdr:col>16</xdr:col>
      <xdr:colOff>202408</xdr:colOff>
      <xdr:row>1</xdr:row>
      <xdr:rowOff>142107</xdr:rowOff>
    </xdr:from>
    <xdr:to>
      <xdr:col>16</xdr:col>
      <xdr:colOff>561024</xdr:colOff>
      <xdr:row>3</xdr:row>
      <xdr:rowOff>79534</xdr:rowOff>
    </xdr:to>
    <xdr:pic macro="[0]!Actualizar_Tabla_Partidos">
      <xdr:nvPicPr>
        <xdr:cNvPr id="4" name="Imagen 3" descr="Forma, Flecha&#10;&#10;Descripción generada automáticamente">
          <a:extLst>
            <a:ext uri="{FF2B5EF4-FFF2-40B4-BE49-F238E27FC236}">
              <a16:creationId xmlns:a16="http://schemas.microsoft.com/office/drawing/2014/main" id="{508E956E-9037-3E15-0862-4AC3599F9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47033" y="344513"/>
          <a:ext cx="345281" cy="3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1059655</xdr:colOff>
      <xdr:row>0</xdr:row>
      <xdr:rowOff>190500</xdr:rowOff>
    </xdr:from>
    <xdr:to>
      <xdr:col>25</xdr:col>
      <xdr:colOff>8661</xdr:colOff>
      <xdr:row>3</xdr:row>
      <xdr:rowOff>101961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00B50C0-2757-4C48-A91E-32B2FF8EA2ED}"/>
            </a:ext>
          </a:extLst>
        </xdr:cNvPr>
        <xdr:cNvSpPr/>
      </xdr:nvSpPr>
      <xdr:spPr>
        <a:xfrm>
          <a:off x="21002624" y="190500"/>
          <a:ext cx="925443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6" xr16:uid="{A3C9587A-EBC3-45EE-A3A5-24F86208C20F}" autoFormatId="16" applyNumberFormats="0" applyBorderFormats="0" applyFontFormats="0" applyPatternFormats="0" applyAlignmentFormats="0" applyWidthHeightFormats="0">
  <queryTableRefresh nextId="3">
    <queryTableFields count="2">
      <queryTableField id="1" name="Especie_x000a__x0009__x0009__x0009__x0009__x0009__x0009__x0009_▼ ▲" tableColumnId="1"/>
      <queryTableField id="2" name="Último_x000a__x0009__x0009__x0009__x0009__x0009__x0009__x0009_▼ ▲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2112FE7-2EDE-4826-9452-71090C6B0377}" autoFormatId="16" applyNumberFormats="0" applyBorderFormats="0" applyFontFormats="0" applyPatternFormats="0" applyAlignmentFormats="0" applyWidthHeightFormats="0">
  <queryTableRefresh nextId="5">
    <queryTableFields count="2">
      <queryTableField id="3" name="Símbolo.1.1.1" tableColumnId="3"/>
      <queryTableField id="2" name="ÚltimoOperado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C537C4B2-6625-4620-AF11-A28D782931BC}" autoFormatId="16" applyNumberFormats="0" applyBorderFormats="0" applyFontFormats="0" applyPatternFormats="0" applyAlignmentFormats="0" applyWidthHeightFormats="0">
  <queryTableRefresh nextId="3">
    <queryTableFields count="2">
      <queryTableField id="1" name="Símbolo.1.1" tableColumnId="1"/>
      <queryTableField id="2" name="ÚltimoOperado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969B8F2F-7EBF-464F-B9B8-F8ECFEB5C840}" autoFormatId="16" applyNumberFormats="0" applyBorderFormats="0" applyFontFormats="0" applyPatternFormats="0" applyAlignmentFormats="0" applyWidthHeightFormats="0">
  <queryTableRefresh nextId="3">
    <queryTableFields count="2">
      <queryTableField id="1" name="Fecha" tableColumnId="1"/>
      <queryTableField id="2" name="Cierr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7BD0AD35-951B-4C1E-8552-C0D1FC298994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Value.price" tableColumnId="2"/>
      <queryTableField id="3" name="Value.ask" tableColumnId="3"/>
      <queryTableField id="4" name="Value.usdt.ask" tableColumnId="4"/>
      <queryTableField id="5" name="Value.usdc.ask" tableColumnId="5"/>
      <queryTableField id="6" name="Value.al30.ci.pric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B51AD05A-1C7F-469F-A884-FCDA72975B4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5" xr16:uid="{E074EDC2-1DC1-4512-9872-023F74130753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8" xr16:uid="{C2E06172-7CC1-4B7E-86D6-94F24ECD04F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E91AF16-F654-4399-A800-4F1026F6EE67}" name="Cedears" displayName="Cedears" ref="A1:B426" tableType="queryTable" totalsRowShown="0">
  <autoFilter ref="A1:B426" xr:uid="{9E91AF16-F654-4399-A800-4F1026F6EE67}"/>
  <tableColumns count="2">
    <tableColumn id="1" xr3:uid="{9EF8AD8E-9814-4A55-B0E7-D29400D011FB}" uniqueName="1" name="Especie_x000a__x0009__x0009__x0009__x0009__x0009__x0009__x0009_▼ ▲" queryTableFieldId="1"/>
    <tableColumn id="2" xr3:uid="{60FA4804-5774-4F60-8E8F-BDE6F38D8A01}" uniqueName="2" name="Último_x000a__x0009__x0009__x0009__x0009__x0009__x0009__x0009_▼ ▲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338583D-D88F-41CB-B193-AB82B28F3A9D}" name="Acciones_Lider" displayName="Acciones_Lider" ref="A1:B43" tableType="queryTable" totalsRowShown="0">
  <autoFilter ref="A1:B43" xr:uid="{4338583D-D88F-41CB-B193-AB82B28F3A9D}"/>
  <tableColumns count="2">
    <tableColumn id="3" xr3:uid="{673219E4-1E77-49E0-B5D0-6233EC4EBACB}" uniqueName="3" name="Símbolo.1.1.1" queryTableFieldId="3" dataDxfId="70"/>
    <tableColumn id="2" xr3:uid="{271F5BCA-7581-44A1-A6EE-AD83D3C8D491}" uniqueName="2" name="ÚltimoOperado" queryTableFieldId="2" dataDxfId="6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3D5948D-3D6C-4D56-A2CF-C821BFE7C13A}" name="Acciones_General" displayName="Acciones_General" ref="A50:B96" tableType="queryTable" totalsRowShown="0">
  <autoFilter ref="A50:B96" xr:uid="{F3D5948D-3D6C-4D56-A2CF-C821BFE7C13A}"/>
  <tableColumns count="2">
    <tableColumn id="1" xr3:uid="{67475871-8BE1-4BD2-9DC1-F22739BA0E55}" uniqueName="1" name="Símbolo.1.1" queryTableFieldId="1" dataDxfId="68"/>
    <tableColumn id="2" xr3:uid="{1FAAC8AD-442D-4A32-B14A-88936F5DE907}" uniqueName="2" name="ÚltimoOperado" queryTableFieldId="2" dataDxfId="6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C388122-5E9B-4E7B-BA55-CEFE4799B1EC}" name="Tabla9" displayName="Tabla9" ref="F3:H26" totalsRowShown="0" tableBorderDxfId="66">
  <autoFilter ref="F3:H26" xr:uid="{3C388122-5E9B-4E7B-BA55-CEFE4799B1EC}"/>
  <sortState xmlns:xlrd2="http://schemas.microsoft.com/office/spreadsheetml/2017/richdata2" ref="F4:H26">
    <sortCondition ref="F3:F26"/>
  </sortState>
  <tableColumns count="3">
    <tableColumn id="1" xr3:uid="{5E330CC9-94B8-4748-87F5-CA8D2705E479}" name="Accción" dataDxfId="65"/>
    <tableColumn id="2" xr3:uid="{038B7275-2938-406B-8A1C-D146FD9A415F}" name="Precio en ARS" dataDxfId="64"/>
    <tableColumn id="3" xr3:uid="{7014C01A-07D7-4352-BC3B-9B11C75687DD}" name="Precio en USD" dataDxfId="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988BC1-1183-45DE-876B-413C4BAC57E3}" name="Tabla10" displayName="Tabla10" ref="J3:L26" totalsRowShown="0" headerRowBorderDxfId="62" tableBorderDxfId="61">
  <autoFilter ref="J3:L26" xr:uid="{B7988BC1-1183-45DE-876B-413C4BAC57E3}"/>
  <sortState xmlns:xlrd2="http://schemas.microsoft.com/office/spreadsheetml/2017/richdata2" ref="J4:L26">
    <sortCondition ref="J3:J26"/>
  </sortState>
  <tableColumns count="3">
    <tableColumn id="1" xr3:uid="{2A322943-9AC4-477C-81B6-EA847D6A6F6F}" name="Cedear" dataDxfId="60"/>
    <tableColumn id="2" xr3:uid="{E4256DC2-A030-4FB5-9CC3-82DF053FC52B}" name="Precio en ARS" dataDxfId="59"/>
    <tableColumn id="3" xr3:uid="{681F16ED-DB33-44F7-99CE-D3F216D0CED6}" name="Precio en USD" dataDxfId="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CFDD70-5DE1-494E-B3BE-F2F0627AD00E}" name="Tabla11" displayName="Tabla11" ref="N3:P10" totalsRowShown="0" headerRowBorderDxfId="57" tableBorderDxfId="56">
  <autoFilter ref="N3:P10" xr:uid="{2ACFDD70-5DE1-494E-B3BE-F2F0627AD00E}"/>
  <tableColumns count="3">
    <tableColumn id="1" xr3:uid="{5949FA49-4D41-4457-9AB8-3635EE99D661}" name="Divisa" dataDxfId="55"/>
    <tableColumn id="2" xr3:uid="{83D2D0F4-7E41-427C-83AB-D105E7F12178}" name="Precio en ARS" dataDxfId="54"/>
    <tableColumn id="3" xr3:uid="{450BB45A-DED1-4B4B-87CD-03C9815243DC}" name="Precio en USD" dataDxfId="5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A1EE492-504A-4CEE-BFDE-263460574A54}" name="Tabla12" displayName="Tabla12" ref="R3:T10" totalsRowShown="0" headerRowBorderDxfId="52" tableBorderDxfId="51">
  <autoFilter ref="R3:T10" xr:uid="{9A1EE492-504A-4CEE-BFDE-263460574A54}"/>
  <tableColumns count="3">
    <tableColumn id="1" xr3:uid="{BC6EEEDF-61B8-4958-8019-894A39DF27DD}" name="Divisa" dataDxfId="50"/>
    <tableColumn id="2" xr3:uid="{FE13C838-BE07-45F8-8148-A90689293F67}" name="Precio en ARS" dataDxfId="49"/>
    <tableColumn id="3" xr3:uid="{DDB7E9B2-1BF6-4B0F-ABB9-3EB9E5E79620}" name="Precio en USD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CECF3A-B49E-4814-B338-D0DF5EF7F0EF}" name="Tabla13" displayName="Tabla13" ref="B3:D10" totalsRowShown="0" tableBorderDxfId="47">
  <autoFilter ref="B3:D10" xr:uid="{ABCECF3A-B49E-4814-B338-D0DF5EF7F0EF}"/>
  <tableColumns count="3">
    <tableColumn id="1" xr3:uid="{A9DB4C8A-F03B-440F-A9E0-FAC2184FC8DD}" name="Divisa"/>
    <tableColumn id="2" xr3:uid="{73F3903F-404C-4A21-9CB7-FA4CF92C2C2C}" name="Precio en ARS" dataDxfId="46"/>
    <tableColumn id="3" xr3:uid="{1F365433-1E14-41A6-842A-B3E81BBBBA96}" name="Precio en USD" dataDxfId="4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527DCB1-AEA3-43B4-B83D-89BE4567312F}" name="Tabla14" displayName="Tabla14" ref="B3:E31" totalsRowShown="0" tableBorderDxfId="44">
  <autoFilter ref="B3:E31" xr:uid="{D527DCB1-AEA3-43B4-B83D-89BE4567312F}"/>
  <sortState xmlns:xlrd2="http://schemas.microsoft.com/office/spreadsheetml/2017/richdata2" ref="B4:E31">
    <sortCondition ref="B3:B31"/>
  </sortState>
  <tableColumns count="4">
    <tableColumn id="1" xr3:uid="{E0FB8EFB-4B82-4965-BE81-3E30374C96B1}" name="Accción" dataDxfId="43"/>
    <tableColumn id="2" xr3:uid="{6D6CB774-B03C-4420-8987-024415ED8350}" name="Cantidad" dataDxfId="42"/>
    <tableColumn id="3" xr3:uid="{7B77A922-943A-4EC0-ACA5-5021ADF49B59}" name="Precio en ARS" dataDxfId="41"/>
    <tableColumn id="4" xr3:uid="{E333D850-590C-4DA9-97A3-BC4DE0B4B403}" name="Precio en USD" dataDxfId="4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768EC41-0BC6-451E-B3AD-E36CF62770F1}" name="Tabla15" displayName="Tabla15" ref="G3:J31" totalsRowShown="0" headerRowBorderDxfId="39" tableBorderDxfId="38">
  <autoFilter ref="G3:J31" xr:uid="{B768EC41-0BC6-451E-B3AD-E36CF62770F1}"/>
  <sortState xmlns:xlrd2="http://schemas.microsoft.com/office/spreadsheetml/2017/richdata2" ref="G4:J31">
    <sortCondition ref="G3:G31"/>
  </sortState>
  <tableColumns count="4">
    <tableColumn id="1" xr3:uid="{DA7AE7DB-5085-4E08-8C3C-EDF9322AEFF5}" name="Accción" dataDxfId="37"/>
    <tableColumn id="2" xr3:uid="{F2376548-C8C0-4809-853A-BDD25D6B5EDC}" name="Cantidad" dataDxfId="36"/>
    <tableColumn id="3" xr3:uid="{8B82BCB4-CAE2-4E3A-A0E7-A26A4DDFBDC3}" name="Precio en ARS" dataDxfId="35">
      <calculatedColumnFormula>H4*Tabla10[[#This Row],[Precio en ARS]]</calculatedColumnFormula>
    </tableColumn>
    <tableColumn id="4" xr3:uid="{0C727681-3916-4D0D-A53E-2692F6459767}" name="Precio en USD" dataDxfId="34">
      <calculatedColumnFormula>Tabla15[[#This Row],[Cantidad]]*Tabla10[[#This Row],[Precio en USD]]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0632BCD-4ACA-4A02-A012-F35A541E3DD9}" name="Tabla16" displayName="Tabla16" ref="L3:O31" totalsRowShown="0" headerRowBorderDxfId="33" tableBorderDxfId="32">
  <autoFilter ref="L3:O31" xr:uid="{30632BCD-4ACA-4A02-A012-F35A541E3DD9}"/>
  <tableColumns count="4">
    <tableColumn id="1" xr3:uid="{D1877AEF-85B3-4821-80D7-5618F7423C91}" name="Accción" dataDxfId="31"/>
    <tableColumn id="2" xr3:uid="{07CDDAA9-C7F7-484C-B83B-BB02685A0DE1}" name="Cantidad" dataDxfId="30"/>
    <tableColumn id="3" xr3:uid="{4DA9E1E1-C1E6-4F7B-8EB4-CBA9202BCFCC}" name="Precio en ARS" dataDxfId="29">
      <calculatedColumnFormula>M4*Tabla12[[#This Row],[Precio en ARS]]</calculatedColumnFormula>
    </tableColumn>
    <tableColumn id="4" xr3:uid="{CDFED49F-A3E2-4ACD-BBBD-C8B15346ECE7}" name="Precio en USD" dataDxfId="28">
      <calculatedColumnFormula>Tabla16[[#This Row],[Cantidad]]*Tabla12[[#This Row],[Precio en USD]]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9DD342-7AA6-4A2A-8DF0-99CF67544BB4}" name="Tabla6" displayName="Tabla6" ref="B3:H40" totalsRowShown="0" headerRowDxfId="27" dataDxfId="25" headerRowBorderDxfId="26" tableBorderDxfId="24">
  <autoFilter ref="B3:H40" xr:uid="{E09DD342-7AA6-4A2A-8DF0-99CF67544BB4}"/>
  <sortState xmlns:xlrd2="http://schemas.microsoft.com/office/spreadsheetml/2017/richdata2" ref="B4:H40">
    <sortCondition descending="1" ref="B4:B40"/>
    <sortCondition ref="E4:E40" customList="Final,Semifinal,4tos,8vos,Grupos"/>
  </sortState>
  <tableColumns count="7">
    <tableColumn id="1" xr3:uid="{082CA678-592A-49B2-962C-74590646B8B3}" name="Fecha" dataDxfId="23"/>
    <tableColumn id="2" xr3:uid="{3ED8C13F-833C-4F58-8CB0-BC31F62B5263}" name="Torneo" dataDxfId="22"/>
    <tableColumn id="3" xr3:uid="{B9E80931-762E-4BC9-A790-3A31735B6871}" name="Categoría" dataDxfId="21"/>
    <tableColumn id="4" xr3:uid="{AA6A014E-2489-4902-9F05-81433C17828B}" name="Instancia" dataDxfId="20"/>
    <tableColumn id="5" xr3:uid="{52F884FF-13C0-4831-AA48-1697C5509918}" name="Rival" dataDxfId="19"/>
    <tableColumn id="6" xr3:uid="{985786B1-38A9-4BEA-A02D-9F6968E0269B}" name="Resultado"/>
    <tableColumn id="7" xr3:uid="{D8CE7847-8B36-4975-9224-0BDE7ED4454D}" name="F"/>
  </tableColumns>
  <tableStyleInfo name="TableStyleLight21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E3F99F-233F-46A4-AA30-2E9C2C41C09C}" name="Bonos" displayName="Bonos" ref="A1:B2" tableType="queryTable" totalsRowShown="0">
  <autoFilter ref="A1:B2" xr:uid="{2AE3F99F-233F-46A4-AA30-2E9C2C41C09C}"/>
  <tableColumns count="2">
    <tableColumn id="1" xr3:uid="{E05DF8FA-1A06-442F-8338-A5F0ED3BE024}" uniqueName="1" name="Fecha" queryTableFieldId="1" dataDxfId="18"/>
    <tableColumn id="2" xr3:uid="{A6D1A315-54C4-4EF9-A64C-0A2A6000DD56}" uniqueName="2" name="Cierre" queryTableFieldId="2" dataDxfId="1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B64585-92AC-4EE6-8095-88A0BFCEDFE5}" name="USD_1" displayName="USD_1" ref="A1:F9" tableType="queryTable" totalsRowShown="0">
  <autoFilter ref="A1:F9" xr:uid="{AAB64585-92AC-4EE6-8095-88A0BFCEDFE5}"/>
  <tableColumns count="6">
    <tableColumn id="1" xr3:uid="{96DFA68A-83DE-490C-B43A-D5EE0E2AE93C}" uniqueName="1" name="Name" queryTableFieldId="1" dataDxfId="16"/>
    <tableColumn id="2" xr3:uid="{C052F4EF-7312-4AC8-82F4-936A1B634AB7}" uniqueName="2" name="Value.price" queryTableFieldId="2"/>
    <tableColumn id="3" xr3:uid="{4508B760-1B61-4E06-B92D-8199242C3EA1}" uniqueName="3" name="Value.ask" queryTableFieldId="3"/>
    <tableColumn id="4" xr3:uid="{A7E58DF8-8B24-4170-A417-666124A07A9E}" uniqueName="4" name="Value.usdt.ask" queryTableFieldId="4"/>
    <tableColumn id="5" xr3:uid="{A22C1E7C-3CFE-4438-A0AF-963F9F3F7F81}" uniqueName="5" name="Value.usdc.ask" queryTableFieldId="5"/>
    <tableColumn id="6" xr3:uid="{FB2315CB-3027-4318-BEFE-886A75A4C92A}" uniqueName="6" name="Value.al30.ci.price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ECD5A45-AC01-4DDC-B2DB-8D047DEE0747}" name="BTCars" displayName="BTCars" ref="A1:B6" tableType="queryTable" totalsRowShown="0">
  <autoFilter ref="A1:B6" xr:uid="{7ECD5A45-AC01-4DDC-B2DB-8D047DEE0747}"/>
  <tableColumns count="2">
    <tableColumn id="1" xr3:uid="{867DBA01-994A-4F32-9DCD-9B3CD392D2B6}" uniqueName="1" name="Name" queryTableFieldId="1"/>
    <tableColumn id="2" xr3:uid="{998720F7-4F49-4E0C-BB1C-F431DBE7674C}" uniqueName="2" name="Value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989B04-46A6-4AAB-BA29-407860C9C228}" name="BTCusd" displayName="BTCusd" ref="C1:D6" tableType="queryTable" totalsRowShown="0">
  <autoFilter ref="C1:D6" xr:uid="{35989B04-46A6-4AAB-BA29-407860C9C228}"/>
  <tableColumns count="2">
    <tableColumn id="1" xr3:uid="{A3958C2A-30A3-44F4-BB2B-B5391058309F}" uniqueName="1" name="Name" queryTableFieldId="1"/>
    <tableColumn id="2" xr3:uid="{5183233A-EE49-439D-A715-8B39C3BF21BF}" uniqueName="2" name="Value" queryTableField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EB5B0D-6CE8-47CB-B7F9-39873F132A2A}" name="USDC" displayName="USDC" ref="E1:F6" tableType="queryTable" totalsRowShown="0">
  <autoFilter ref="E1:F6" xr:uid="{09EB5B0D-6CE8-47CB-B7F9-39873F132A2A}"/>
  <tableColumns count="2">
    <tableColumn id="1" xr3:uid="{FFED18A8-75CD-4A6B-94E9-48A16D56346F}" uniqueName="1" name="Name" queryTableFieldId="1"/>
    <tableColumn id="2" xr3:uid="{9C40C7C5-8E8B-40E9-A822-F1BE74D0743A}" uniqueName="2" name="Valu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8.xml"/><Relationship Id="rId4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76EC-030B-4069-A046-B67DB8A5A9CF}">
  <sheetPr codeName="Hoja5">
    <tabColor rgb="FF0070C0"/>
  </sheetPr>
  <dimension ref="A1:Z59"/>
  <sheetViews>
    <sheetView showGridLines="0" zoomScale="80" zoomScaleNormal="80" workbookViewId="0">
      <selection activeCell="O6" sqref="O6"/>
    </sheetView>
  </sheetViews>
  <sheetFormatPr baseColWidth="10" defaultColWidth="11.5703125" defaultRowHeight="15" x14ac:dyDescent="0.25"/>
  <cols>
    <col min="1" max="1" width="1.5703125" customWidth="1"/>
    <col min="4" max="4" width="12.28515625" customWidth="1"/>
    <col min="7" max="7" width="10.7109375" customWidth="1"/>
    <col min="23" max="23" width="41.140625" customWidth="1"/>
    <col min="24" max="24" width="39.28515625" customWidth="1"/>
    <col min="25" max="25" width="11.5703125" customWidth="1"/>
    <col min="26" max="26" width="27.140625" customWidth="1"/>
  </cols>
  <sheetData>
    <row r="1" spans="1:26" ht="19.5" customHeight="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</row>
    <row r="2" spans="1:26" ht="21" x14ac:dyDescent="0.35">
      <c r="A2" s="148"/>
      <c r="B2" s="149" t="s">
        <v>125</v>
      </c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50">
        <v>46084</v>
      </c>
      <c r="Y2" s="148"/>
      <c r="Z2" s="220"/>
    </row>
    <row r="3" spans="1:26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</row>
    <row r="4" spans="1:26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</row>
    <row r="5" spans="1:26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</row>
    <row r="6" spans="1:26" ht="79.5" customHeight="1" x14ac:dyDescent="0.9">
      <c r="A6" s="148"/>
      <c r="B6" s="148"/>
      <c r="C6" s="322" t="s">
        <v>576</v>
      </c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322" t="s">
        <v>577</v>
      </c>
      <c r="U6" s="148"/>
      <c r="V6" s="148"/>
      <c r="W6" s="148"/>
      <c r="X6" s="148"/>
      <c r="Y6" s="148"/>
      <c r="Z6" s="148"/>
    </row>
    <row r="7" spans="1:26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</row>
    <row r="8" spans="1:26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</row>
    <row r="9" spans="1:26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</row>
    <row r="10" spans="1:26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</row>
    <row r="11" spans="1:26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</row>
    <row r="12" spans="1:26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</row>
    <row r="13" spans="1:26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</row>
    <row r="14" spans="1:26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</row>
    <row r="15" spans="1:26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</row>
    <row r="23" spans="1:26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</row>
    <row r="24" spans="1:26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</row>
    <row r="25" spans="1:26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</row>
    <row r="26" spans="1:26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</row>
    <row r="27" spans="1:26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</row>
    <row r="28" spans="1:26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</row>
    <row r="36" spans="1:26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</row>
    <row r="37" spans="1:26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</row>
    <row r="38" spans="1:26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</row>
    <row r="39" spans="1:26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</row>
    <row r="40" spans="1:26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</row>
    <row r="41" spans="1:26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</row>
    <row r="42" spans="1:26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</row>
    <row r="43" spans="1:26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</row>
    <row r="44" spans="1:26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</row>
    <row r="45" spans="1:26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</row>
    <row r="46" spans="1:26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</row>
    <row r="47" spans="1:26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</row>
    <row r="48" spans="1:26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</row>
    <row r="49" spans="1:26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</row>
    <row r="50" spans="1:26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</row>
    <row r="51" spans="1:26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</row>
    <row r="52" spans="1:26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</row>
    <row r="53" spans="1:26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</row>
    <row r="54" spans="1:26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</row>
    <row r="55" spans="1:26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</row>
    <row r="56" spans="1:26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</row>
    <row r="57" spans="1:26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</row>
    <row r="58" spans="1:26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</row>
    <row r="59" spans="1:26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C23E4-066E-4D29-906B-267AC73F57A0}">
  <sheetPr codeName="Hoja1">
    <tabColor rgb="FFFFC000"/>
  </sheetPr>
  <dimension ref="B1:T83"/>
  <sheetViews>
    <sheetView showGridLines="0" zoomScale="80" zoomScaleNormal="80" workbookViewId="0">
      <selection activeCell="Q55" sqref="Q55"/>
    </sheetView>
  </sheetViews>
  <sheetFormatPr baseColWidth="10" defaultColWidth="11.5703125" defaultRowHeight="15" x14ac:dyDescent="0.25"/>
  <cols>
    <col min="1" max="1" width="1.85546875" customWidth="1"/>
    <col min="2" max="2" width="12.42578125" customWidth="1"/>
    <col min="3" max="3" width="13.5703125" bestFit="1" customWidth="1"/>
    <col min="4" max="4" width="15.7109375" bestFit="1" customWidth="1"/>
    <col min="5" max="5" width="14.42578125" bestFit="1" customWidth="1"/>
    <col min="6" max="6" width="14.85546875" bestFit="1" customWidth="1"/>
    <col min="7" max="7" width="13.42578125" bestFit="1" customWidth="1"/>
    <col min="8" max="8" width="3" customWidth="1"/>
    <col min="9" max="9" width="16.5703125" customWidth="1"/>
    <col min="10" max="10" width="17" bestFit="1" customWidth="1"/>
    <col min="12" max="12" width="3" customWidth="1"/>
    <col min="13" max="13" width="15.7109375" bestFit="1" customWidth="1"/>
    <col min="15" max="15" width="12.28515625" bestFit="1" customWidth="1"/>
    <col min="17" max="17" width="13" bestFit="1" customWidth="1"/>
    <col min="24" max="24" width="9" customWidth="1"/>
    <col min="25" max="25" width="14.140625" bestFit="1" customWidth="1"/>
    <col min="27" max="27" width="6.5703125" customWidth="1"/>
    <col min="28" max="28" width="21.42578125" customWidth="1"/>
  </cols>
  <sheetData>
    <row r="1" spans="2:10" ht="9" customHeight="1" thickBot="1" x14ac:dyDescent="0.3"/>
    <row r="2" spans="2:10" ht="15.75" thickBot="1" x14ac:dyDescent="0.3">
      <c r="B2" s="355" t="s">
        <v>13</v>
      </c>
      <c r="C2" s="356"/>
      <c r="D2" s="356"/>
      <c r="E2" s="356"/>
      <c r="F2" s="356"/>
      <c r="G2" s="357"/>
      <c r="I2" s="350" t="s">
        <v>15</v>
      </c>
      <c r="J2" s="352"/>
    </row>
    <row r="3" spans="2:10" x14ac:dyDescent="0.25">
      <c r="B3" s="4" t="s">
        <v>0</v>
      </c>
      <c r="C3" s="9" t="s">
        <v>164</v>
      </c>
      <c r="D3" s="9" t="s">
        <v>2</v>
      </c>
      <c r="E3" s="9" t="s">
        <v>107</v>
      </c>
      <c r="F3" s="10" t="s">
        <v>3</v>
      </c>
      <c r="G3" s="11" t="s">
        <v>4</v>
      </c>
      <c r="I3" s="4" t="s">
        <v>16</v>
      </c>
      <c r="J3" s="5" t="s">
        <v>1</v>
      </c>
    </row>
    <row r="4" spans="2:10" x14ac:dyDescent="0.25">
      <c r="B4" s="360" t="s">
        <v>207</v>
      </c>
      <c r="C4" s="361"/>
      <c r="D4" s="361"/>
      <c r="E4" s="361"/>
      <c r="F4" s="361"/>
      <c r="G4" s="362"/>
      <c r="I4" s="2" t="s">
        <v>207</v>
      </c>
      <c r="J4" s="145">
        <f>F5+F6</f>
        <v>0</v>
      </c>
    </row>
    <row r="5" spans="2:10" x14ac:dyDescent="0.25">
      <c r="B5" s="151" t="s">
        <v>20</v>
      </c>
      <c r="C5" s="218">
        <v>0</v>
      </c>
      <c r="D5" s="1">
        <f>Crypto!B4</f>
        <v>98899949.140000001</v>
      </c>
      <c r="E5" s="16">
        <f>D5/D6</f>
        <v>67761.040560724621</v>
      </c>
      <c r="F5" s="210">
        <f>C5*D5</f>
        <v>0</v>
      </c>
      <c r="G5" s="3">
        <f>C5*E5</f>
        <v>0</v>
      </c>
      <c r="I5" s="49" t="s">
        <v>14</v>
      </c>
      <c r="J5" s="146">
        <f>F27</f>
        <v>1</v>
      </c>
    </row>
    <row r="6" spans="2:10" x14ac:dyDescent="0.25">
      <c r="B6" s="152" t="s">
        <v>108</v>
      </c>
      <c r="C6" s="60">
        <v>0</v>
      </c>
      <c r="D6" s="121">
        <f>Crypto!F4</f>
        <v>1459.54</v>
      </c>
      <c r="E6" s="6">
        <v>1</v>
      </c>
      <c r="F6" s="6">
        <f>C6*D6</f>
        <v>0</v>
      </c>
      <c r="G6" s="7">
        <f>C6*E6</f>
        <v>0</v>
      </c>
      <c r="I6" s="49" t="s">
        <v>144</v>
      </c>
      <c r="J6" s="146">
        <f>SUM(F8:F21)</f>
        <v>0</v>
      </c>
    </row>
    <row r="7" spans="2:10" ht="15.75" thickBot="1" x14ac:dyDescent="0.3">
      <c r="B7" s="360" t="s">
        <v>144</v>
      </c>
      <c r="C7" s="361"/>
      <c r="D7" s="361"/>
      <c r="E7" s="361"/>
      <c r="F7" s="361"/>
      <c r="G7" s="362"/>
      <c r="I7" s="136" t="s">
        <v>96</v>
      </c>
      <c r="J7" s="147">
        <f>C25</f>
        <v>0</v>
      </c>
    </row>
    <row r="8" spans="2:10" x14ac:dyDescent="0.25">
      <c r="B8" s="171" t="s">
        <v>165</v>
      </c>
      <c r="C8" s="191" t="s">
        <v>39</v>
      </c>
      <c r="D8" s="1" t="s">
        <v>39</v>
      </c>
      <c r="E8" s="1" t="s">
        <v>39</v>
      </c>
      <c r="F8" s="137">
        <f>Portafolio!D32</f>
        <v>0</v>
      </c>
      <c r="G8" s="142">
        <f>Portafolio!E32</f>
        <v>0</v>
      </c>
      <c r="I8" s="132" t="s">
        <v>97</v>
      </c>
      <c r="J8" s="104">
        <f>J4+J5+J6</f>
        <v>1</v>
      </c>
    </row>
    <row r="9" spans="2:10" ht="15.75" thickBot="1" x14ac:dyDescent="0.3">
      <c r="B9" s="192" t="s">
        <v>166</v>
      </c>
      <c r="C9" s="191" t="s">
        <v>39</v>
      </c>
      <c r="D9" s="1" t="s">
        <v>39</v>
      </c>
      <c r="E9" s="1" t="s">
        <v>39</v>
      </c>
      <c r="F9" s="137">
        <f>Portafolio!I32</f>
        <v>0</v>
      </c>
      <c r="G9" s="142">
        <f>Portafolio!J32</f>
        <v>0</v>
      </c>
      <c r="I9" s="133" t="s">
        <v>98</v>
      </c>
      <c r="J9" s="102">
        <f>J7</f>
        <v>0</v>
      </c>
    </row>
    <row r="10" spans="2:10" x14ac:dyDescent="0.25">
      <c r="B10" s="217" t="s">
        <v>195</v>
      </c>
      <c r="C10" s="191" t="s">
        <v>39</v>
      </c>
      <c r="D10" s="1" t="s">
        <v>39</v>
      </c>
      <c r="E10" s="1" t="s">
        <v>39</v>
      </c>
      <c r="F10" s="137">
        <f>Portafolio!N32</f>
        <v>0</v>
      </c>
      <c r="G10" s="142">
        <f>Portafolio!O32</f>
        <v>0</v>
      </c>
    </row>
    <row r="11" spans="2:10" x14ac:dyDescent="0.25">
      <c r="B11" s="172"/>
      <c r="C11" s="176"/>
      <c r="D11" s="1"/>
      <c r="E11" s="1"/>
      <c r="F11" s="137"/>
      <c r="G11" s="142"/>
    </row>
    <row r="12" spans="2:10" x14ac:dyDescent="0.25">
      <c r="B12" s="172"/>
      <c r="C12" s="176"/>
      <c r="D12" s="1"/>
      <c r="E12" s="1"/>
      <c r="F12" s="137"/>
      <c r="G12" s="142"/>
    </row>
    <row r="13" spans="2:10" x14ac:dyDescent="0.25">
      <c r="B13" s="173"/>
      <c r="C13" s="176"/>
      <c r="D13" s="1"/>
      <c r="E13" s="1"/>
      <c r="F13" s="137"/>
      <c r="G13" s="142"/>
    </row>
    <row r="14" spans="2:10" ht="15.75" thickBot="1" x14ac:dyDescent="0.3">
      <c r="B14" s="173"/>
      <c r="C14" s="176"/>
      <c r="D14" s="1"/>
      <c r="E14" s="1"/>
      <c r="F14" s="137"/>
      <c r="G14" s="142"/>
    </row>
    <row r="15" spans="2:10" x14ac:dyDescent="0.25">
      <c r="B15" s="174"/>
      <c r="C15" s="176"/>
      <c r="D15" s="1"/>
      <c r="E15" s="1"/>
      <c r="F15" s="137"/>
      <c r="G15" s="142"/>
      <c r="I15" s="67"/>
      <c r="J15" s="69"/>
    </row>
    <row r="16" spans="2:10" x14ac:dyDescent="0.25">
      <c r="B16" s="175"/>
      <c r="C16" s="176"/>
      <c r="D16" s="1"/>
      <c r="E16" s="1"/>
      <c r="F16" s="137"/>
      <c r="G16" s="142"/>
      <c r="I16" s="70"/>
      <c r="J16" s="56"/>
    </row>
    <row r="17" spans="2:10" x14ac:dyDescent="0.25">
      <c r="B17" s="173"/>
      <c r="C17" s="176"/>
      <c r="D17" s="1"/>
      <c r="E17" s="1"/>
      <c r="F17" s="137"/>
      <c r="G17" s="142"/>
      <c r="I17" s="70"/>
      <c r="J17" s="56"/>
    </row>
    <row r="18" spans="2:10" x14ac:dyDescent="0.25">
      <c r="B18" s="12"/>
      <c r="C18" s="176"/>
      <c r="D18" s="1"/>
      <c r="E18" s="1"/>
      <c r="F18" s="137"/>
      <c r="G18" s="142"/>
      <c r="I18" s="70"/>
      <c r="J18" s="56"/>
    </row>
    <row r="19" spans="2:10" ht="15.75" thickBot="1" x14ac:dyDescent="0.3">
      <c r="B19" s="13"/>
      <c r="C19" s="176"/>
      <c r="D19" s="1"/>
      <c r="E19" s="1"/>
      <c r="F19" s="137"/>
      <c r="G19" s="142"/>
      <c r="I19" s="72"/>
      <c r="J19" s="58"/>
    </row>
    <row r="20" spans="2:10" ht="15.75" thickBot="1" x14ac:dyDescent="0.3">
      <c r="B20" s="174"/>
      <c r="C20" s="176"/>
      <c r="D20" s="1"/>
      <c r="E20" s="1"/>
      <c r="F20" s="137"/>
      <c r="G20" s="142"/>
    </row>
    <row r="21" spans="2:10" x14ac:dyDescent="0.25">
      <c r="B21" s="174"/>
      <c r="C21" s="176"/>
      <c r="D21" s="1"/>
      <c r="E21" s="1"/>
      <c r="F21" s="137"/>
      <c r="G21" s="142"/>
      <c r="I21" s="373"/>
      <c r="J21" s="374"/>
    </row>
    <row r="22" spans="2:10" x14ac:dyDescent="0.25">
      <c r="B22" s="174"/>
      <c r="C22" s="176"/>
      <c r="D22" s="1"/>
      <c r="E22" s="1"/>
      <c r="F22" s="137"/>
      <c r="G22" s="142"/>
      <c r="I22" s="375"/>
      <c r="J22" s="376"/>
    </row>
    <row r="23" spans="2:10" ht="15.75" thickBot="1" x14ac:dyDescent="0.3">
      <c r="B23" s="174"/>
      <c r="C23" s="176"/>
      <c r="D23" s="1"/>
      <c r="E23" s="1"/>
      <c r="F23" s="137"/>
      <c r="G23" s="142"/>
      <c r="I23" s="377"/>
      <c r="J23" s="378"/>
    </row>
    <row r="24" spans="2:10" ht="15.75" thickBot="1" x14ac:dyDescent="0.3">
      <c r="B24" s="360" t="s">
        <v>102</v>
      </c>
      <c r="C24" s="361"/>
      <c r="D24" s="361"/>
      <c r="E24" s="361"/>
      <c r="F24" s="361"/>
      <c r="G24" s="362"/>
    </row>
    <row r="25" spans="2:10" x14ac:dyDescent="0.25">
      <c r="B25" s="153" t="s">
        <v>96</v>
      </c>
      <c r="C25" s="60">
        <v>0</v>
      </c>
      <c r="D25" s="121">
        <f>Precios!C8</f>
        <v>1433.07</v>
      </c>
      <c r="E25" s="6">
        <v>1</v>
      </c>
      <c r="F25" s="6">
        <f>C25*D25</f>
        <v>0</v>
      </c>
      <c r="G25" s="7">
        <f>C25*E25</f>
        <v>0</v>
      </c>
      <c r="I25" s="379" t="s">
        <v>34</v>
      </c>
      <c r="J25" s="380"/>
    </row>
    <row r="26" spans="2:10" x14ac:dyDescent="0.25">
      <c r="B26" s="360" t="s">
        <v>14</v>
      </c>
      <c r="C26" s="361"/>
      <c r="D26" s="361"/>
      <c r="E26" s="361"/>
      <c r="F26" s="361"/>
      <c r="G26" s="362"/>
      <c r="I26" s="40"/>
      <c r="J26" s="21" t="s">
        <v>33</v>
      </c>
    </row>
    <row r="27" spans="2:10" ht="15.75" thickBot="1" x14ac:dyDescent="0.3">
      <c r="B27" s="134" t="s">
        <v>17</v>
      </c>
      <c r="C27" s="211">
        <v>1</v>
      </c>
      <c r="D27" s="88">
        <v>1</v>
      </c>
      <c r="E27" s="135">
        <f>D27/Precios!C7</f>
        <v>7.0175438596491223E-4</v>
      </c>
      <c r="F27" s="88">
        <f>C27*D27</f>
        <v>1</v>
      </c>
      <c r="G27" s="38">
        <f>C27*E27</f>
        <v>7.0175438596491223E-4</v>
      </c>
      <c r="I27" s="48"/>
      <c r="J27" s="21" t="s">
        <v>32</v>
      </c>
    </row>
    <row r="28" spans="2:10" ht="15.75" thickBot="1" x14ac:dyDescent="0.3">
      <c r="B28" s="358" t="s">
        <v>42</v>
      </c>
      <c r="C28" s="359"/>
      <c r="D28" s="359"/>
      <c r="E28" s="359"/>
      <c r="F28" s="39">
        <f>SUM(F5:F27)</f>
        <v>1</v>
      </c>
      <c r="G28" s="17">
        <f>SUM(G5:G25)</f>
        <v>0</v>
      </c>
      <c r="I28" s="59"/>
      <c r="J28" s="22" t="s">
        <v>35</v>
      </c>
    </row>
    <row r="29" spans="2:10" ht="15.75" thickBot="1" x14ac:dyDescent="0.3"/>
    <row r="30" spans="2:10" x14ac:dyDescent="0.25">
      <c r="B30" s="67"/>
      <c r="C30" s="68"/>
      <c r="D30" s="68"/>
      <c r="E30" s="68"/>
      <c r="F30" s="68"/>
      <c r="G30" s="68"/>
      <c r="H30" s="68"/>
      <c r="I30" s="68"/>
      <c r="J30" s="69"/>
    </row>
    <row r="31" spans="2:10" x14ac:dyDescent="0.25">
      <c r="B31" s="70"/>
      <c r="J31" s="56"/>
    </row>
    <row r="32" spans="2:10" x14ac:dyDescent="0.25">
      <c r="B32" s="70"/>
      <c r="J32" s="71"/>
    </row>
    <row r="33" spans="2:20" x14ac:dyDescent="0.25">
      <c r="B33" s="70"/>
      <c r="E33" s="8"/>
      <c r="I33" s="8"/>
      <c r="J33" s="56"/>
    </row>
    <row r="34" spans="2:20" x14ac:dyDescent="0.25">
      <c r="B34" s="70"/>
      <c r="E34" s="8"/>
      <c r="G34" s="8"/>
      <c r="J34" s="56"/>
    </row>
    <row r="35" spans="2:20" x14ac:dyDescent="0.25">
      <c r="B35" s="70"/>
      <c r="J35" s="56"/>
    </row>
    <row r="36" spans="2:20" ht="11.25" customHeight="1" x14ac:dyDescent="0.25">
      <c r="B36" s="70"/>
      <c r="E36" s="8"/>
      <c r="J36" s="56"/>
    </row>
    <row r="37" spans="2:20" x14ac:dyDescent="0.25">
      <c r="B37" s="70"/>
      <c r="J37" s="56"/>
    </row>
    <row r="38" spans="2:20" x14ac:dyDescent="0.25">
      <c r="B38" s="70"/>
      <c r="J38" s="56"/>
    </row>
    <row r="39" spans="2:20" x14ac:dyDescent="0.25">
      <c r="B39" s="70"/>
      <c r="J39" s="56"/>
    </row>
    <row r="40" spans="2:20" ht="12.75" customHeight="1" x14ac:dyDescent="0.25">
      <c r="B40" s="70"/>
      <c r="J40" s="56"/>
    </row>
    <row r="41" spans="2:20" ht="19.5" customHeight="1" thickBot="1" x14ac:dyDescent="0.3">
      <c r="B41" s="70"/>
      <c r="J41" s="56"/>
    </row>
    <row r="42" spans="2:20" ht="28.5" customHeight="1" thickBot="1" x14ac:dyDescent="0.3">
      <c r="B42" s="70"/>
      <c r="C42" s="138" t="s">
        <v>163</v>
      </c>
      <c r="D42" s="139">
        <f>C43/(F28)</f>
        <v>0</v>
      </c>
      <c r="E42" s="369" t="s">
        <v>145</v>
      </c>
      <c r="F42" s="370"/>
      <c r="G42" s="138" t="s">
        <v>162</v>
      </c>
      <c r="H42" s="365">
        <f>G43/(F28)</f>
        <v>0</v>
      </c>
      <c r="I42" s="366"/>
      <c r="J42" s="56"/>
    </row>
    <row r="43" spans="2:20" ht="19.5" customHeight="1" thickBot="1" x14ac:dyDescent="0.3">
      <c r="B43" s="70"/>
      <c r="C43" s="363">
        <f>F6+F23+F25</f>
        <v>0</v>
      </c>
      <c r="D43" s="364"/>
      <c r="E43" s="371">
        <f>C43+G43</f>
        <v>0</v>
      </c>
      <c r="F43" s="372"/>
      <c r="G43" s="363">
        <f>F5+SUM(F8:F21)</f>
        <v>0</v>
      </c>
      <c r="H43" s="367"/>
      <c r="I43" s="368"/>
      <c r="J43" s="56"/>
      <c r="T43" t="s">
        <v>201</v>
      </c>
    </row>
    <row r="44" spans="2:20" ht="15.75" thickBot="1" x14ac:dyDescent="0.3">
      <c r="B44" s="72"/>
      <c r="C44" s="57"/>
      <c r="D44" s="57"/>
      <c r="E44" s="57"/>
      <c r="F44" s="57"/>
      <c r="G44" s="57"/>
      <c r="H44" s="57"/>
      <c r="I44" s="57"/>
      <c r="J44" s="58"/>
    </row>
    <row r="45" spans="2:20" ht="15.75" thickBot="1" x14ac:dyDescent="0.3">
      <c r="O45" t="s">
        <v>201</v>
      </c>
    </row>
    <row r="46" spans="2:20" ht="15.75" thickBot="1" x14ac:dyDescent="0.3">
      <c r="B46" s="350" t="s">
        <v>36</v>
      </c>
      <c r="C46" s="351"/>
      <c r="D46" s="351"/>
      <c r="E46" s="351"/>
      <c r="F46" s="351"/>
      <c r="G46" s="351"/>
      <c r="H46" s="351"/>
      <c r="I46" s="351"/>
      <c r="J46" s="351"/>
      <c r="K46" s="352"/>
    </row>
    <row r="47" spans="2:20" x14ac:dyDescent="0.25">
      <c r="B47" s="4" t="s">
        <v>21</v>
      </c>
      <c r="C47" s="10" t="s">
        <v>25</v>
      </c>
      <c r="D47" s="126" t="s">
        <v>26</v>
      </c>
      <c r="E47" s="127" t="s">
        <v>37</v>
      </c>
      <c r="F47" s="9" t="s">
        <v>38</v>
      </c>
      <c r="G47" s="353" t="s">
        <v>126</v>
      </c>
      <c r="H47" s="353"/>
      <c r="I47" s="9" t="s">
        <v>127</v>
      </c>
      <c r="J47" s="9" t="s">
        <v>128</v>
      </c>
      <c r="K47" s="128" t="s">
        <v>129</v>
      </c>
    </row>
    <row r="48" spans="2:20" x14ac:dyDescent="0.25">
      <c r="B48" s="31"/>
      <c r="C48" s="1"/>
      <c r="D48" s="1"/>
      <c r="E48" s="1"/>
      <c r="F48" s="1"/>
      <c r="G48" s="354"/>
      <c r="H48" s="354"/>
      <c r="I48" s="1"/>
      <c r="J48" s="1"/>
      <c r="K48" s="90"/>
      <c r="Q48" s="206"/>
      <c r="S48" s="206"/>
    </row>
    <row r="49" spans="2:19" x14ac:dyDescent="0.25">
      <c r="B49" s="31">
        <v>46084</v>
      </c>
      <c r="C49" s="1">
        <v>1</v>
      </c>
      <c r="D49" s="1">
        <v>0</v>
      </c>
      <c r="E49" s="1">
        <f>C49-C51</f>
        <v>0</v>
      </c>
      <c r="F49" s="1">
        <f>D49-D51</f>
        <v>0</v>
      </c>
      <c r="G49" s="348">
        <v>0</v>
      </c>
      <c r="H49" s="349"/>
      <c r="I49" s="1">
        <f>E49-G49</f>
        <v>0</v>
      </c>
      <c r="J49" s="1">
        <f>I49/Precios!C8</f>
        <v>0</v>
      </c>
      <c r="K49" s="90">
        <f>I49/C49</f>
        <v>0</v>
      </c>
      <c r="Q49" s="206"/>
      <c r="S49" s="206"/>
    </row>
    <row r="50" spans="2:19" x14ac:dyDescent="0.25">
      <c r="B50" s="31" t="s">
        <v>1298</v>
      </c>
      <c r="C50" s="1">
        <v>1</v>
      </c>
      <c r="D50" s="1">
        <v>0</v>
      </c>
      <c r="E50" s="1">
        <f>C50-C51</f>
        <v>0</v>
      </c>
      <c r="F50" s="1">
        <f>D50-D51</f>
        <v>0</v>
      </c>
      <c r="G50" s="348">
        <v>0</v>
      </c>
      <c r="H50" s="349"/>
      <c r="I50" s="1">
        <f>E50-G50</f>
        <v>0</v>
      </c>
      <c r="J50" s="1">
        <f>I50/Precios!C7</f>
        <v>0</v>
      </c>
      <c r="K50" s="90">
        <f>I50/C50</f>
        <v>0</v>
      </c>
      <c r="Q50" s="206"/>
      <c r="S50" s="206"/>
    </row>
    <row r="51" spans="2:19" x14ac:dyDescent="0.25">
      <c r="B51" s="31">
        <v>46041</v>
      </c>
      <c r="C51" s="1">
        <v>1</v>
      </c>
      <c r="D51" s="1">
        <v>0</v>
      </c>
      <c r="E51" s="1">
        <f>C51-C53</f>
        <v>0</v>
      </c>
      <c r="F51" s="1">
        <f>D51-D53</f>
        <v>0</v>
      </c>
      <c r="G51" s="348">
        <v>0</v>
      </c>
      <c r="H51" s="349"/>
      <c r="I51" s="1">
        <f>E51-G51</f>
        <v>0</v>
      </c>
      <c r="J51" s="1">
        <f>I51/Precios!C8</f>
        <v>0</v>
      </c>
      <c r="K51" s="90">
        <f>I51/C51</f>
        <v>0</v>
      </c>
      <c r="Q51" s="206"/>
      <c r="S51" s="206"/>
    </row>
    <row r="52" spans="2:19" x14ac:dyDescent="0.25">
      <c r="B52" s="31">
        <v>46020</v>
      </c>
      <c r="C52" s="1">
        <v>1</v>
      </c>
      <c r="D52" s="1">
        <v>0</v>
      </c>
      <c r="E52" s="1">
        <f>C52-C54</f>
        <v>0</v>
      </c>
      <c r="F52" s="1">
        <f>D52-D54</f>
        <v>0</v>
      </c>
      <c r="G52" s="348">
        <v>0</v>
      </c>
      <c r="H52" s="349"/>
      <c r="I52" s="1">
        <f>E52-G52</f>
        <v>0</v>
      </c>
      <c r="J52" s="1">
        <f>I52/Precios!C9</f>
        <v>0</v>
      </c>
      <c r="K52" s="90">
        <f>I52/C52</f>
        <v>0</v>
      </c>
      <c r="Q52" s="206"/>
      <c r="S52" s="206"/>
    </row>
    <row r="53" spans="2:19" x14ac:dyDescent="0.25">
      <c r="B53" s="31">
        <v>45988</v>
      </c>
      <c r="C53" s="1">
        <v>1</v>
      </c>
      <c r="D53" s="1">
        <v>0</v>
      </c>
      <c r="E53" s="1">
        <f>C53-C54</f>
        <v>0</v>
      </c>
      <c r="F53" s="1">
        <f>D53-D54</f>
        <v>0</v>
      </c>
      <c r="G53" s="348">
        <v>0</v>
      </c>
      <c r="H53" s="349"/>
      <c r="I53" s="1">
        <f>E53-G53</f>
        <v>0</v>
      </c>
      <c r="J53" s="1">
        <f>I53/Precios!C8</f>
        <v>0</v>
      </c>
      <c r="K53" s="90">
        <f>I53/C53</f>
        <v>0</v>
      </c>
      <c r="Q53" s="206"/>
      <c r="S53" s="206"/>
    </row>
    <row r="54" spans="2:19" x14ac:dyDescent="0.25">
      <c r="B54" s="31">
        <v>45956</v>
      </c>
      <c r="C54" s="1">
        <v>1</v>
      </c>
      <c r="D54" s="1">
        <v>0</v>
      </c>
      <c r="E54" s="1">
        <f>C54-C56</f>
        <v>0</v>
      </c>
      <c r="F54" s="1">
        <f>D54-D56</f>
        <v>0</v>
      </c>
      <c r="G54" s="348">
        <v>0</v>
      </c>
      <c r="H54" s="349"/>
      <c r="I54" s="1">
        <f t="shared" ref="I54" si="0">E54-G54</f>
        <v>0</v>
      </c>
      <c r="J54" s="1">
        <f>I54/Precios!C6</f>
        <v>0</v>
      </c>
      <c r="K54" s="90">
        <f t="shared" ref="K54" si="1">I54/C54</f>
        <v>0</v>
      </c>
      <c r="Q54" s="206"/>
      <c r="S54" s="206"/>
    </row>
    <row r="55" spans="2:19" x14ac:dyDescent="0.25">
      <c r="B55" s="31">
        <v>45913</v>
      </c>
      <c r="C55" s="1">
        <v>1</v>
      </c>
      <c r="D55" s="1">
        <v>0</v>
      </c>
      <c r="E55" s="1">
        <f>C55-C57</f>
        <v>0</v>
      </c>
      <c r="F55" s="1">
        <f>D55-D57</f>
        <v>0</v>
      </c>
      <c r="G55" s="348">
        <v>0</v>
      </c>
      <c r="H55" s="349"/>
      <c r="I55" s="1">
        <f t="shared" ref="I55" si="2">E55-G55</f>
        <v>0</v>
      </c>
      <c r="J55" s="1">
        <f>I55/Precios!C7</f>
        <v>0</v>
      </c>
      <c r="K55" s="90">
        <f t="shared" ref="K55" si="3">I55/C55</f>
        <v>0</v>
      </c>
      <c r="Q55" s="206"/>
      <c r="S55" s="206"/>
    </row>
    <row r="56" spans="2:19" x14ac:dyDescent="0.25">
      <c r="B56" s="31">
        <v>45881</v>
      </c>
      <c r="C56" s="1">
        <v>1</v>
      </c>
      <c r="D56" s="1">
        <v>0</v>
      </c>
      <c r="E56" s="1">
        <f t="shared" ref="E56:F57" si="4">C56-C57</f>
        <v>0</v>
      </c>
      <c r="F56" s="1">
        <f t="shared" si="4"/>
        <v>0</v>
      </c>
      <c r="G56" s="348">
        <v>0</v>
      </c>
      <c r="H56" s="349"/>
      <c r="I56" s="1">
        <f t="shared" ref="I56" si="5">E56-G56</f>
        <v>0</v>
      </c>
      <c r="J56" s="1">
        <f>I56/Precios!C7</f>
        <v>0</v>
      </c>
      <c r="K56" s="90">
        <f t="shared" ref="K56" si="6">I56/C56</f>
        <v>0</v>
      </c>
      <c r="Q56" s="206"/>
      <c r="S56" s="206"/>
    </row>
    <row r="57" spans="2:19" x14ac:dyDescent="0.25">
      <c r="B57" s="31">
        <v>45849</v>
      </c>
      <c r="C57" s="1">
        <v>1</v>
      </c>
      <c r="D57" s="1">
        <v>0</v>
      </c>
      <c r="E57" s="1">
        <f t="shared" si="4"/>
        <v>0</v>
      </c>
      <c r="F57" s="1">
        <f t="shared" si="4"/>
        <v>0</v>
      </c>
      <c r="G57" s="348">
        <v>0</v>
      </c>
      <c r="H57" s="349"/>
      <c r="I57" s="1">
        <f t="shared" ref="I57:I61" si="7">E57-G57</f>
        <v>0</v>
      </c>
      <c r="J57" s="1">
        <f>I57/Precios!C8</f>
        <v>0</v>
      </c>
      <c r="K57" s="90">
        <f t="shared" ref="K57:K61" si="8">I57/C57</f>
        <v>0</v>
      </c>
      <c r="Q57" s="206"/>
      <c r="S57" s="206"/>
    </row>
    <row r="58" spans="2:19" x14ac:dyDescent="0.25">
      <c r="B58" s="31">
        <v>45818</v>
      </c>
      <c r="C58" s="1">
        <v>1</v>
      </c>
      <c r="D58" s="1">
        <v>0</v>
      </c>
      <c r="E58" s="1">
        <f t="shared" ref="E58:F60" si="9">C58-C59</f>
        <v>0</v>
      </c>
      <c r="F58" s="1">
        <f t="shared" si="9"/>
        <v>0</v>
      </c>
      <c r="G58" s="348">
        <v>0</v>
      </c>
      <c r="H58" s="349"/>
      <c r="I58" s="1">
        <f t="shared" si="7"/>
        <v>0</v>
      </c>
      <c r="J58" s="1">
        <f>I58/Precios!C8</f>
        <v>0</v>
      </c>
      <c r="K58" s="90">
        <f t="shared" si="8"/>
        <v>0</v>
      </c>
      <c r="Q58" s="206"/>
      <c r="S58" s="206"/>
    </row>
    <row r="59" spans="2:19" x14ac:dyDescent="0.25">
      <c r="B59" s="31">
        <v>45797</v>
      </c>
      <c r="C59" s="1">
        <v>1</v>
      </c>
      <c r="D59" s="1">
        <v>0</v>
      </c>
      <c r="E59" s="1">
        <f t="shared" si="9"/>
        <v>-959545</v>
      </c>
      <c r="F59" s="1">
        <f t="shared" si="9"/>
        <v>-700</v>
      </c>
      <c r="G59" s="348">
        <v>-850000</v>
      </c>
      <c r="H59" s="349"/>
      <c r="I59" s="1">
        <f t="shared" si="7"/>
        <v>-109545</v>
      </c>
      <c r="J59" s="1">
        <f>I59/Precios!C8</f>
        <v>-76.440787958718005</v>
      </c>
      <c r="K59" s="90">
        <v>-1</v>
      </c>
      <c r="Q59" s="206"/>
      <c r="S59" s="206"/>
    </row>
    <row r="60" spans="2:19" x14ac:dyDescent="0.25">
      <c r="B60" s="31">
        <v>45755</v>
      </c>
      <c r="C60" s="1">
        <v>959546</v>
      </c>
      <c r="D60" s="1">
        <v>700</v>
      </c>
      <c r="E60" s="1">
        <f t="shared" si="9"/>
        <v>-848503.79</v>
      </c>
      <c r="F60" s="1">
        <f t="shared" si="9"/>
        <v>-704.3599999999999</v>
      </c>
      <c r="G60" s="348">
        <v>-680000</v>
      </c>
      <c r="H60" s="349"/>
      <c r="I60" s="1">
        <f t="shared" si="7"/>
        <v>-168503.79000000004</v>
      </c>
      <c r="J60" s="1">
        <f>I60/Precios!C8</f>
        <v>-117.58238606627732</v>
      </c>
      <c r="K60" s="90">
        <f t="shared" si="8"/>
        <v>-0.17560782911918765</v>
      </c>
      <c r="Q60" s="206"/>
      <c r="S60" s="206"/>
    </row>
    <row r="61" spans="2:19" x14ac:dyDescent="0.25">
      <c r="B61" s="31">
        <v>45740</v>
      </c>
      <c r="C61" s="1">
        <v>1808049.79</v>
      </c>
      <c r="D61" s="1">
        <v>1404.36</v>
      </c>
      <c r="E61" s="1">
        <f t="shared" ref="E61:F62" si="10">C61-C62</f>
        <v>35461.610000000102</v>
      </c>
      <c r="F61" s="1">
        <f t="shared" si="10"/>
        <v>-56.420000000000073</v>
      </c>
      <c r="G61" s="348">
        <v>-50000</v>
      </c>
      <c r="H61" s="349"/>
      <c r="I61" s="1">
        <f t="shared" si="7"/>
        <v>85461.610000000102</v>
      </c>
      <c r="J61" s="1">
        <f>I61/Precios!C8</f>
        <v>59.6353353290489</v>
      </c>
      <c r="K61" s="90">
        <f t="shared" si="8"/>
        <v>4.7267287921313329E-2</v>
      </c>
      <c r="Q61" s="206"/>
      <c r="S61" s="206"/>
    </row>
    <row r="62" spans="2:19" x14ac:dyDescent="0.25">
      <c r="B62" s="31">
        <v>45715</v>
      </c>
      <c r="C62" s="1">
        <v>1772588.18</v>
      </c>
      <c r="D62" s="1">
        <v>1460.78</v>
      </c>
      <c r="E62" s="1">
        <f t="shared" si="10"/>
        <v>-407824.04000000027</v>
      </c>
      <c r="F62" s="1">
        <f t="shared" si="10"/>
        <v>-413.74</v>
      </c>
      <c r="G62" s="348">
        <v>-260000</v>
      </c>
      <c r="H62" s="349"/>
      <c r="I62" s="1">
        <f t="shared" ref="I62:I66" si="11">E62-G62</f>
        <v>-147824.04000000027</v>
      </c>
      <c r="J62" s="1">
        <f>I62/Precios!C8</f>
        <v>-103.15200234461699</v>
      </c>
      <c r="K62" s="90">
        <f t="shared" ref="K62:K66" si="12">I62/C62</f>
        <v>-8.339446334342604E-2</v>
      </c>
      <c r="Q62" s="206"/>
      <c r="S62" s="206"/>
    </row>
    <row r="63" spans="2:19" x14ac:dyDescent="0.25">
      <c r="B63" s="31">
        <v>45687</v>
      </c>
      <c r="C63" s="1">
        <v>2180412.2200000002</v>
      </c>
      <c r="D63" s="1">
        <v>1874.52</v>
      </c>
      <c r="E63" s="1">
        <f t="shared" ref="E63:F64" si="13">C63-C64</f>
        <v>66018.270000000019</v>
      </c>
      <c r="F63" s="1">
        <f t="shared" si="13"/>
        <v>91.809999999999945</v>
      </c>
      <c r="G63" s="348">
        <v>60000</v>
      </c>
      <c r="H63" s="349"/>
      <c r="I63" s="1">
        <f t="shared" si="11"/>
        <v>6018.2700000000186</v>
      </c>
      <c r="J63" s="1">
        <f>I63/Precios!C8</f>
        <v>4.1995645711654133</v>
      </c>
      <c r="K63" s="90">
        <f t="shared" si="12"/>
        <v>2.7601523898999327E-3</v>
      </c>
      <c r="Q63" s="206"/>
      <c r="S63" s="206"/>
    </row>
    <row r="64" spans="2:19" x14ac:dyDescent="0.25">
      <c r="B64" s="31">
        <v>45656</v>
      </c>
      <c r="C64" s="1">
        <v>2114393.9500000002</v>
      </c>
      <c r="D64" s="1">
        <v>1782.71</v>
      </c>
      <c r="E64" s="1">
        <f t="shared" si="13"/>
        <v>614636.31000000029</v>
      </c>
      <c r="F64" s="1">
        <f t="shared" si="13"/>
        <v>422.95000000000005</v>
      </c>
      <c r="G64" s="348">
        <v>740000</v>
      </c>
      <c r="H64" s="349"/>
      <c r="I64" s="1">
        <f t="shared" si="11"/>
        <v>-125363.68999999971</v>
      </c>
      <c r="J64" s="1">
        <f>I64/Precios!C7</f>
        <v>-87.974519298245411</v>
      </c>
      <c r="K64" s="90">
        <f t="shared" si="12"/>
        <v>-5.9290601924016903E-2</v>
      </c>
      <c r="Q64" s="206"/>
      <c r="S64" s="206"/>
    </row>
    <row r="65" spans="2:19" x14ac:dyDescent="0.25">
      <c r="B65" s="31">
        <v>45624</v>
      </c>
      <c r="C65" s="1">
        <v>1499757.64</v>
      </c>
      <c r="D65" s="1">
        <v>1359.76</v>
      </c>
      <c r="E65" s="1">
        <f t="shared" ref="E65:F66" si="14">C65-C66</f>
        <v>-1069886.72</v>
      </c>
      <c r="F65" s="1">
        <f t="shared" si="14"/>
        <v>-861.87999999999988</v>
      </c>
      <c r="G65" s="348">
        <v>-1177810</v>
      </c>
      <c r="H65" s="349"/>
      <c r="I65" s="1">
        <f t="shared" si="11"/>
        <v>107923.28000000003</v>
      </c>
      <c r="J65" s="1">
        <f>I65/Precios!C7</f>
        <v>75.735635087719317</v>
      </c>
      <c r="K65" s="90">
        <f t="shared" si="12"/>
        <v>7.1960480227992063E-2</v>
      </c>
      <c r="Q65" s="206"/>
      <c r="S65" s="206"/>
    </row>
    <row r="66" spans="2:19" x14ac:dyDescent="0.25">
      <c r="B66" s="31">
        <v>45596</v>
      </c>
      <c r="C66" s="1">
        <v>2569644.36</v>
      </c>
      <c r="D66" s="1">
        <v>2221.64</v>
      </c>
      <c r="E66" s="1">
        <f t="shared" si="14"/>
        <v>-924387.21</v>
      </c>
      <c r="F66" s="1">
        <f t="shared" si="14"/>
        <v>-608.04</v>
      </c>
      <c r="G66" s="348">
        <v>-800000</v>
      </c>
      <c r="H66" s="349"/>
      <c r="I66" s="1">
        <f t="shared" si="11"/>
        <v>-124387.20999999996</v>
      </c>
      <c r="J66" s="1">
        <f>I66/Precios!C7</f>
        <v>-87.289270175438574</v>
      </c>
      <c r="K66" s="90">
        <f t="shared" si="12"/>
        <v>-4.8406391147450448E-2</v>
      </c>
      <c r="Q66" s="206"/>
      <c r="S66" s="206"/>
    </row>
    <row r="67" spans="2:19" x14ac:dyDescent="0.25">
      <c r="B67" s="31">
        <v>45565</v>
      </c>
      <c r="C67" s="1">
        <v>3494031.57</v>
      </c>
      <c r="D67" s="1">
        <v>2829.68</v>
      </c>
      <c r="E67" s="1">
        <f t="shared" ref="E67:F68" si="15">C67-C68</f>
        <v>-89553.950000000186</v>
      </c>
      <c r="F67" s="1">
        <f t="shared" si="15"/>
        <v>98.079999999999927</v>
      </c>
      <c r="G67" s="348">
        <v>20000</v>
      </c>
      <c r="H67" s="349"/>
      <c r="I67" s="1">
        <f t="shared" ref="I67:I71" si="16">E67-G67</f>
        <v>-109553.95000000019</v>
      </c>
      <c r="J67" s="1">
        <f>I67/Precios!C7</f>
        <v>-76.879964912280826</v>
      </c>
      <c r="K67" s="90">
        <f t="shared" ref="K67:K71" si="17">I67/C67</f>
        <v>-3.1354596489807957E-2</v>
      </c>
      <c r="Q67" s="206"/>
      <c r="S67" s="206"/>
    </row>
    <row r="68" spans="2:19" x14ac:dyDescent="0.25">
      <c r="B68" s="31">
        <v>45523</v>
      </c>
      <c r="C68" s="1">
        <v>3583585.52</v>
      </c>
      <c r="D68" s="1">
        <v>2731.6</v>
      </c>
      <c r="E68" s="1">
        <f t="shared" si="15"/>
        <v>15407.379999999888</v>
      </c>
      <c r="F68" s="1">
        <f t="shared" si="15"/>
        <v>67.009999999999764</v>
      </c>
      <c r="G68" s="348">
        <v>30000</v>
      </c>
      <c r="H68" s="349"/>
      <c r="I68" s="1">
        <f t="shared" si="16"/>
        <v>-14592.620000000112</v>
      </c>
      <c r="J68" s="1">
        <f>I68/Precios!C7</f>
        <v>-10.240435087719376</v>
      </c>
      <c r="K68" s="90">
        <f t="shared" si="17"/>
        <v>-4.0720724867757902E-3</v>
      </c>
      <c r="Q68" s="206"/>
      <c r="S68" s="206"/>
    </row>
    <row r="69" spans="2:19" x14ac:dyDescent="0.25">
      <c r="B69" s="31">
        <v>45502</v>
      </c>
      <c r="C69" s="1">
        <v>3568178.14</v>
      </c>
      <c r="D69" s="1">
        <v>2664.59</v>
      </c>
      <c r="E69" s="1">
        <f t="shared" ref="E69:F70" si="18">C69-C70</f>
        <v>-244438.29999999981</v>
      </c>
      <c r="F69" s="1">
        <f t="shared" si="18"/>
        <v>-147.46000000000004</v>
      </c>
      <c r="G69" s="348">
        <v>-190000</v>
      </c>
      <c r="H69" s="349"/>
      <c r="I69" s="1">
        <f t="shared" si="16"/>
        <v>-54438.299999999814</v>
      </c>
      <c r="J69" s="1">
        <f>I69/Precios!C7</f>
        <v>-38.202315789473552</v>
      </c>
      <c r="K69" s="90">
        <f t="shared" si="17"/>
        <v>-1.5256609357513695E-2</v>
      </c>
      <c r="Q69" s="206"/>
      <c r="S69" s="206"/>
    </row>
    <row r="70" spans="2:19" x14ac:dyDescent="0.25">
      <c r="B70" s="31">
        <v>45473</v>
      </c>
      <c r="C70" s="1">
        <v>3812616.44</v>
      </c>
      <c r="D70" s="1">
        <v>2812.05</v>
      </c>
      <c r="E70" s="1">
        <f t="shared" si="18"/>
        <v>1353133.62</v>
      </c>
      <c r="F70" s="1">
        <f t="shared" si="18"/>
        <v>821.05000000000018</v>
      </c>
      <c r="G70" s="348">
        <v>1198000</v>
      </c>
      <c r="H70" s="349"/>
      <c r="I70" s="1">
        <f t="shared" si="16"/>
        <v>155133.62000000011</v>
      </c>
      <c r="J70" s="1">
        <f>I70/Precios!C7</f>
        <v>108.86569824561411</v>
      </c>
      <c r="K70" s="90">
        <f t="shared" si="17"/>
        <v>4.0689542848427761E-2</v>
      </c>
    </row>
    <row r="71" spans="2:19" x14ac:dyDescent="0.25">
      <c r="B71" s="31">
        <v>45443</v>
      </c>
      <c r="C71" s="1">
        <v>2459482.8199999998</v>
      </c>
      <c r="D71" s="1">
        <v>1991</v>
      </c>
      <c r="E71" s="1">
        <f t="shared" ref="E71:F73" si="19">C71-C72</f>
        <v>474162.17999999993</v>
      </c>
      <c r="F71" s="1">
        <f t="shared" si="19"/>
        <v>63.440000000000055</v>
      </c>
      <c r="G71" s="348">
        <v>150000</v>
      </c>
      <c r="H71" s="349"/>
      <c r="I71" s="1">
        <f t="shared" si="16"/>
        <v>324162.17999999993</v>
      </c>
      <c r="J71" s="1">
        <f>I71/Precios!C7</f>
        <v>227.48223157894734</v>
      </c>
      <c r="K71" s="90">
        <f t="shared" si="17"/>
        <v>0.1318009531776278</v>
      </c>
    </row>
    <row r="72" spans="2:19" x14ac:dyDescent="0.25">
      <c r="B72" s="31">
        <v>45404</v>
      </c>
      <c r="C72" s="1">
        <v>1985320.64</v>
      </c>
      <c r="D72" s="1">
        <v>1927.56</v>
      </c>
      <c r="E72" s="1">
        <f t="shared" si="19"/>
        <v>-489126.17999999993</v>
      </c>
      <c r="F72" s="1">
        <f t="shared" si="19"/>
        <v>-483.21000000000004</v>
      </c>
      <c r="G72" s="348">
        <v>-475000</v>
      </c>
      <c r="H72" s="349"/>
      <c r="I72" s="1">
        <f t="shared" ref="I72:I77" si="20">E72-G72</f>
        <v>-14126.179999999935</v>
      </c>
      <c r="J72" s="1">
        <f>I72/Precios!C7</f>
        <v>-9.9131087719297781</v>
      </c>
      <c r="K72" s="90">
        <f t="shared" ref="K72:K77" si="21">I72/C72</f>
        <v>-7.1153141288048741E-3</v>
      </c>
    </row>
    <row r="73" spans="2:19" x14ac:dyDescent="0.25">
      <c r="B73" s="31">
        <v>45382</v>
      </c>
      <c r="C73" s="1">
        <v>2474446.8199999998</v>
      </c>
      <c r="D73" s="1">
        <v>2410.77</v>
      </c>
      <c r="E73" s="1">
        <f t="shared" si="19"/>
        <v>172026.45999999996</v>
      </c>
      <c r="F73" s="1">
        <f t="shared" si="19"/>
        <v>196.57000000000016</v>
      </c>
      <c r="G73" s="348">
        <v>70000</v>
      </c>
      <c r="H73" s="349"/>
      <c r="I73" s="1">
        <f t="shared" si="20"/>
        <v>102026.45999999996</v>
      </c>
      <c r="J73" s="1">
        <f>I73/Precios!C7</f>
        <v>71.597515789473661</v>
      </c>
      <c r="K73" s="90">
        <f t="shared" si="21"/>
        <v>4.123202777095851E-2</v>
      </c>
    </row>
    <row r="74" spans="2:19" x14ac:dyDescent="0.25">
      <c r="B74" s="31">
        <v>45351</v>
      </c>
      <c r="C74" s="1">
        <v>2302420.36</v>
      </c>
      <c r="D74" s="1">
        <v>2214.1999999999998</v>
      </c>
      <c r="E74" s="1">
        <f t="shared" ref="E74:F81" si="22">C74-C75</f>
        <v>-128431.01000000024</v>
      </c>
      <c r="F74" s="1">
        <f t="shared" si="22"/>
        <v>191.70999999999981</v>
      </c>
      <c r="G74" s="348">
        <v>4000</v>
      </c>
      <c r="H74" s="349"/>
      <c r="I74" s="1">
        <f t="shared" si="20"/>
        <v>-132431.01000000024</v>
      </c>
      <c r="J74" s="1">
        <f>I74/Precios!C7</f>
        <v>-92.93404210526333</v>
      </c>
      <c r="K74" s="90">
        <f t="shared" si="21"/>
        <v>-5.7518171877180696E-2</v>
      </c>
    </row>
    <row r="75" spans="2:19" x14ac:dyDescent="0.25">
      <c r="B75" s="31">
        <v>45322</v>
      </c>
      <c r="C75" s="1">
        <v>2430851.37</v>
      </c>
      <c r="D75" s="1">
        <v>2022.49</v>
      </c>
      <c r="E75" s="1">
        <f t="shared" si="22"/>
        <v>354550.92000000016</v>
      </c>
      <c r="F75" s="1">
        <f t="shared" si="22"/>
        <v>-55.649999999999864</v>
      </c>
      <c r="G75" s="348">
        <v>68000</v>
      </c>
      <c r="H75" s="349"/>
      <c r="I75" s="1">
        <f t="shared" si="20"/>
        <v>286550.92000000016</v>
      </c>
      <c r="J75" s="1">
        <f>I75/Precios!C7</f>
        <v>201.08836491228081</v>
      </c>
      <c r="K75" s="90">
        <f t="shared" si="21"/>
        <v>0.11788088878506799</v>
      </c>
    </row>
    <row r="76" spans="2:19" x14ac:dyDescent="0.25">
      <c r="B76" s="31">
        <v>45291</v>
      </c>
      <c r="C76" s="1">
        <v>2076300.45</v>
      </c>
      <c r="D76" s="1">
        <v>2078.14</v>
      </c>
      <c r="E76" s="1">
        <f t="shared" si="22"/>
        <v>880426.8899999999</v>
      </c>
      <c r="F76" s="1">
        <f t="shared" si="22"/>
        <v>716.44999999999982</v>
      </c>
      <c r="G76" s="348">
        <v>135000</v>
      </c>
      <c r="H76" s="349"/>
      <c r="I76" s="1">
        <f t="shared" si="20"/>
        <v>745426.8899999999</v>
      </c>
      <c r="J76" s="1">
        <f>I76/Precios!C7</f>
        <v>523.10658947368415</v>
      </c>
      <c r="K76" s="90">
        <f t="shared" si="21"/>
        <v>0.35901687060752691</v>
      </c>
    </row>
    <row r="77" spans="2:19" x14ac:dyDescent="0.25">
      <c r="B77" s="31">
        <v>45260</v>
      </c>
      <c r="C77" s="1">
        <v>1195873.56</v>
      </c>
      <c r="D77" s="1">
        <v>1361.69</v>
      </c>
      <c r="E77" s="1">
        <f t="shared" si="22"/>
        <v>279841.91000000003</v>
      </c>
      <c r="F77" s="1">
        <f t="shared" si="22"/>
        <v>312.24</v>
      </c>
      <c r="G77" s="348">
        <v>255000</v>
      </c>
      <c r="H77" s="349"/>
      <c r="I77" s="1">
        <f t="shared" si="20"/>
        <v>24841.910000000033</v>
      </c>
      <c r="J77" s="1">
        <f>I77/Precios!C7</f>
        <v>17.432919298245636</v>
      </c>
      <c r="K77" s="90">
        <f t="shared" si="21"/>
        <v>2.0773023863827237E-2</v>
      </c>
    </row>
    <row r="78" spans="2:19" x14ac:dyDescent="0.25">
      <c r="B78" s="31">
        <v>45230</v>
      </c>
      <c r="C78" s="1">
        <v>916031.65</v>
      </c>
      <c r="D78" s="1">
        <v>1049.45</v>
      </c>
      <c r="E78" s="1">
        <f t="shared" si="22"/>
        <v>319260.54000000004</v>
      </c>
      <c r="F78" s="1">
        <f t="shared" si="22"/>
        <v>250.25</v>
      </c>
      <c r="G78" s="354" t="s">
        <v>39</v>
      </c>
      <c r="H78" s="354"/>
      <c r="I78" s="1" t="s">
        <v>39</v>
      </c>
      <c r="J78" s="1" t="s">
        <v>39</v>
      </c>
      <c r="K78" s="90" t="s">
        <v>39</v>
      </c>
      <c r="N78" s="8"/>
    </row>
    <row r="79" spans="2:19" x14ac:dyDescent="0.25">
      <c r="B79" s="31">
        <v>45197</v>
      </c>
      <c r="C79" s="1">
        <v>596771.11</v>
      </c>
      <c r="D79" s="1">
        <v>799.2</v>
      </c>
      <c r="E79" s="1">
        <f t="shared" si="22"/>
        <v>-5798.6199999999953</v>
      </c>
      <c r="F79" s="1">
        <f t="shared" si="22"/>
        <v>-28.5</v>
      </c>
      <c r="G79" s="354" t="s">
        <v>39</v>
      </c>
      <c r="H79" s="354"/>
      <c r="I79" s="1" t="s">
        <v>39</v>
      </c>
      <c r="J79" s="1" t="s">
        <v>39</v>
      </c>
      <c r="K79" s="90" t="s">
        <v>39</v>
      </c>
    </row>
    <row r="80" spans="2:19" x14ac:dyDescent="0.25">
      <c r="B80" s="31">
        <v>45166</v>
      </c>
      <c r="C80" s="1">
        <v>602569.73</v>
      </c>
      <c r="D80" s="1">
        <v>827.7</v>
      </c>
      <c r="E80" s="1">
        <f t="shared" si="22"/>
        <v>-79255.589999999967</v>
      </c>
      <c r="F80" s="1">
        <f t="shared" si="22"/>
        <v>-564.20000000000005</v>
      </c>
      <c r="G80" s="354" t="s">
        <v>39</v>
      </c>
      <c r="H80" s="354"/>
      <c r="I80" s="1" t="s">
        <v>39</v>
      </c>
      <c r="J80" s="1" t="s">
        <v>39</v>
      </c>
      <c r="K80" s="90" t="s">
        <v>39</v>
      </c>
    </row>
    <row r="81" spans="2:11" x14ac:dyDescent="0.25">
      <c r="B81" s="31">
        <v>45138</v>
      </c>
      <c r="C81" s="1">
        <v>681825.32</v>
      </c>
      <c r="D81" s="1">
        <v>1391.9</v>
      </c>
      <c r="E81" s="1">
        <f t="shared" si="22"/>
        <v>-143871.31000000006</v>
      </c>
      <c r="F81" s="1">
        <f t="shared" si="22"/>
        <v>-325.80999999999995</v>
      </c>
      <c r="G81" s="354" t="s">
        <v>39</v>
      </c>
      <c r="H81" s="354"/>
      <c r="I81" s="1" t="s">
        <v>39</v>
      </c>
      <c r="J81" s="1" t="s">
        <v>39</v>
      </c>
      <c r="K81" s="90" t="s">
        <v>39</v>
      </c>
    </row>
    <row r="82" spans="2:11" x14ac:dyDescent="0.25">
      <c r="B82" s="31">
        <v>45107</v>
      </c>
      <c r="C82" s="1">
        <v>825696.63</v>
      </c>
      <c r="D82" s="1">
        <v>1717.71</v>
      </c>
      <c r="E82" s="1" t="s">
        <v>39</v>
      </c>
      <c r="F82" s="1" t="s">
        <v>39</v>
      </c>
      <c r="G82" s="354" t="s">
        <v>39</v>
      </c>
      <c r="H82" s="354"/>
      <c r="I82" s="1" t="s">
        <v>39</v>
      </c>
      <c r="J82" s="1" t="s">
        <v>39</v>
      </c>
      <c r="K82" s="90" t="s">
        <v>39</v>
      </c>
    </row>
    <row r="83" spans="2:11" ht="15.75" thickBot="1" x14ac:dyDescent="0.3">
      <c r="B83" s="33"/>
      <c r="C83" s="14"/>
      <c r="D83" s="14"/>
      <c r="E83" s="14"/>
      <c r="F83" s="14"/>
      <c r="G83" s="381"/>
      <c r="H83" s="381"/>
      <c r="I83" s="88"/>
      <c r="J83" s="88"/>
      <c r="K83" s="129"/>
    </row>
  </sheetData>
  <mergeCells count="52">
    <mergeCell ref="G83:H83"/>
    <mergeCell ref="G81:H81"/>
    <mergeCell ref="G82:H82"/>
    <mergeCell ref="G68:H68"/>
    <mergeCell ref="G67:H67"/>
    <mergeCell ref="G78:H78"/>
    <mergeCell ref="G79:H79"/>
    <mergeCell ref="G80:H80"/>
    <mergeCell ref="G76:H76"/>
    <mergeCell ref="G73:H73"/>
    <mergeCell ref="G77:H77"/>
    <mergeCell ref="G75:H75"/>
    <mergeCell ref="I2:J2"/>
    <mergeCell ref="B2:G2"/>
    <mergeCell ref="B28:E28"/>
    <mergeCell ref="B7:G7"/>
    <mergeCell ref="C43:D43"/>
    <mergeCell ref="H42:I42"/>
    <mergeCell ref="G43:I43"/>
    <mergeCell ref="E42:F42"/>
    <mergeCell ref="E43:F43"/>
    <mergeCell ref="B4:G4"/>
    <mergeCell ref="B24:G24"/>
    <mergeCell ref="I21:J23"/>
    <mergeCell ref="B26:G26"/>
    <mergeCell ref="I25:J25"/>
    <mergeCell ref="G58:H58"/>
    <mergeCell ref="G59:H59"/>
    <mergeCell ref="G74:H74"/>
    <mergeCell ref="G72:H72"/>
    <mergeCell ref="G71:H71"/>
    <mergeCell ref="G60:H60"/>
    <mergeCell ref="G69:H69"/>
    <mergeCell ref="G70:H70"/>
    <mergeCell ref="G63:H63"/>
    <mergeCell ref="G66:H66"/>
    <mergeCell ref="G65:H65"/>
    <mergeCell ref="G64:H64"/>
    <mergeCell ref="G61:H61"/>
    <mergeCell ref="G62:H62"/>
    <mergeCell ref="G49:H49"/>
    <mergeCell ref="G50:H50"/>
    <mergeCell ref="G52:H52"/>
    <mergeCell ref="B46:K46"/>
    <mergeCell ref="G57:H57"/>
    <mergeCell ref="G47:H47"/>
    <mergeCell ref="G48:H48"/>
    <mergeCell ref="G51:H51"/>
    <mergeCell ref="G53:H53"/>
    <mergeCell ref="G54:H54"/>
    <mergeCell ref="G55:H55"/>
    <mergeCell ref="G56:H56"/>
  </mergeCells>
  <phoneticPr fontId="2" type="noConversion"/>
  <conditionalFormatting sqref="E48:F83 I48:K83">
    <cfRule type="cellIs" dxfId="15" priority="1" operator="equal">
      <formula>"-"</formula>
    </cfRule>
    <cfRule type="containsBlanks" dxfId="14" priority="7">
      <formula>LEN(TRIM(E48))=0</formula>
    </cfRule>
    <cfRule type="cellIs" dxfId="13" priority="10" operator="lessThan">
      <formula>0</formula>
    </cfRule>
    <cfRule type="cellIs" dxfId="12" priority="11" operator="greaterThan">
      <formula>0</formula>
    </cfRule>
    <cfRule type="cellIs" dxfId="11" priority="12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03D8D-F560-4230-956B-A135F8ED5F1E}">
  <sheetPr codeName="Hoja7">
    <tabColor rgb="FF002060"/>
  </sheetPr>
  <dimension ref="B1:L80"/>
  <sheetViews>
    <sheetView showGridLines="0" zoomScale="80" zoomScaleNormal="80" workbookViewId="0">
      <selection activeCell="P70" sqref="P70"/>
    </sheetView>
  </sheetViews>
  <sheetFormatPr baseColWidth="10" defaultColWidth="11.5703125" defaultRowHeight="15" x14ac:dyDescent="0.25"/>
  <cols>
    <col min="1" max="1" width="2" customWidth="1"/>
    <col min="2" max="2" width="12.42578125" customWidth="1"/>
    <col min="3" max="3" width="24.7109375" customWidth="1"/>
    <col min="4" max="4" width="15.140625" bestFit="1" customWidth="1"/>
    <col min="5" max="5" width="14.7109375" bestFit="1" customWidth="1"/>
    <col min="6" max="6" width="14" bestFit="1" customWidth="1"/>
    <col min="7" max="7" width="13.42578125" bestFit="1" customWidth="1"/>
    <col min="8" max="8" width="3" customWidth="1"/>
    <col min="9" max="9" width="12.28515625" bestFit="1" customWidth="1"/>
    <col min="10" max="10" width="13" bestFit="1" customWidth="1"/>
    <col min="12" max="12" width="8.85546875" customWidth="1"/>
    <col min="13" max="13" width="13.42578125" bestFit="1" customWidth="1"/>
    <col min="15" max="15" width="12.28515625" bestFit="1" customWidth="1"/>
    <col min="17" max="17" width="13" bestFit="1" customWidth="1"/>
    <col min="24" max="24" width="10.85546875" customWidth="1"/>
    <col min="25" max="25" width="10.28515625" customWidth="1"/>
    <col min="26" max="26" width="14.140625" bestFit="1" customWidth="1"/>
    <col min="27" max="27" width="8.85546875" customWidth="1"/>
    <col min="28" max="28" width="6.5703125" customWidth="1"/>
  </cols>
  <sheetData>
    <row r="1" spans="2:12" ht="11.25" customHeight="1" thickBot="1" x14ac:dyDescent="0.3"/>
    <row r="2" spans="2:12" ht="15.75" thickBot="1" x14ac:dyDescent="0.3">
      <c r="B2" s="350" t="s">
        <v>28</v>
      </c>
      <c r="C2" s="351"/>
      <c r="D2" s="351"/>
      <c r="E2" s="351"/>
      <c r="F2" s="351"/>
      <c r="G2" s="382"/>
      <c r="H2" s="382"/>
      <c r="I2" s="382"/>
      <c r="J2" s="382"/>
      <c r="K2" s="382"/>
      <c r="L2" s="383"/>
    </row>
    <row r="3" spans="2:12" ht="15.75" thickBot="1" x14ac:dyDescent="0.3">
      <c r="B3" s="110" t="s">
        <v>0</v>
      </c>
      <c r="C3" s="111" t="s">
        <v>16</v>
      </c>
      <c r="D3" s="111" t="s">
        <v>1</v>
      </c>
      <c r="E3" s="111" t="s">
        <v>41</v>
      </c>
      <c r="F3" s="227" t="s">
        <v>1</v>
      </c>
      <c r="G3" s="67"/>
      <c r="H3" s="68"/>
      <c r="I3" s="68"/>
      <c r="J3" s="68"/>
      <c r="K3" s="68"/>
      <c r="L3" s="69"/>
    </row>
    <row r="4" spans="2:12" x14ac:dyDescent="0.25">
      <c r="B4" s="36" t="s">
        <v>14</v>
      </c>
      <c r="C4" s="276" t="s">
        <v>330</v>
      </c>
      <c r="D4" s="45">
        <f>'Gastos compartidos'!D13</f>
        <v>106701.5</v>
      </c>
      <c r="E4" s="37">
        <v>1</v>
      </c>
      <c r="F4" s="101">
        <f t="shared" ref="F4:F6" si="0">D4*E4</f>
        <v>106701.5</v>
      </c>
      <c r="G4" s="70"/>
      <c r="L4" s="56"/>
    </row>
    <row r="5" spans="2:12" x14ac:dyDescent="0.25">
      <c r="B5" s="12" t="s">
        <v>14</v>
      </c>
      <c r="C5" s="277" t="s">
        <v>325</v>
      </c>
      <c r="D5" s="46">
        <f>'Gastos personales'!F6+'Gastos personales'!F7</f>
        <v>661905.15</v>
      </c>
      <c r="E5" s="35">
        <v>1</v>
      </c>
      <c r="F5" s="101">
        <f t="shared" si="0"/>
        <v>661905.15</v>
      </c>
      <c r="G5" s="70"/>
      <c r="L5" s="56"/>
    </row>
    <row r="6" spans="2:12" x14ac:dyDescent="0.25">
      <c r="B6" s="12" t="s">
        <v>14</v>
      </c>
      <c r="C6" s="277" t="s">
        <v>326</v>
      </c>
      <c r="D6" s="46">
        <f>'Gastos compartidos'!D8</f>
        <v>759803</v>
      </c>
      <c r="E6" s="35">
        <v>1</v>
      </c>
      <c r="F6" s="101">
        <f t="shared" si="0"/>
        <v>759803</v>
      </c>
      <c r="G6" s="230"/>
      <c r="L6" s="56"/>
    </row>
    <row r="7" spans="2:12" x14ac:dyDescent="0.25">
      <c r="B7" s="12" t="s">
        <v>14</v>
      </c>
      <c r="C7" s="277" t="s">
        <v>320</v>
      </c>
      <c r="D7" s="46">
        <f>'Gastos personales'!F8+'Gastos personales'!F9</f>
        <v>203339</v>
      </c>
      <c r="E7" s="35">
        <v>1</v>
      </c>
      <c r="F7" s="101">
        <f t="shared" ref="F7" si="1">D7*E7</f>
        <v>203339</v>
      </c>
      <c r="G7" s="70"/>
      <c r="L7" s="56"/>
    </row>
    <row r="8" spans="2:12" x14ac:dyDescent="0.25">
      <c r="B8" s="13"/>
      <c r="C8" s="277"/>
      <c r="D8" s="46"/>
      <c r="E8" s="35"/>
      <c r="F8" s="101"/>
      <c r="G8" s="70"/>
      <c r="L8" s="56"/>
    </row>
    <row r="9" spans="2:12" x14ac:dyDescent="0.25">
      <c r="B9" s="13"/>
      <c r="C9" s="277"/>
      <c r="D9" s="46"/>
      <c r="E9" s="35"/>
      <c r="F9" s="101"/>
      <c r="G9" s="70"/>
      <c r="L9" s="56"/>
    </row>
    <row r="10" spans="2:12" x14ac:dyDescent="0.25">
      <c r="B10" s="13"/>
      <c r="C10" s="277"/>
      <c r="D10" s="46"/>
      <c r="E10" s="35"/>
      <c r="F10" s="101"/>
      <c r="G10" s="70"/>
      <c r="L10" s="56"/>
    </row>
    <row r="11" spans="2:12" x14ac:dyDescent="0.25">
      <c r="B11" s="13"/>
      <c r="C11" s="277"/>
      <c r="D11" s="46"/>
      <c r="E11" s="35"/>
      <c r="F11" s="101"/>
      <c r="G11" s="70"/>
      <c r="L11" s="56"/>
    </row>
    <row r="12" spans="2:12" x14ac:dyDescent="0.25">
      <c r="B12" s="13"/>
      <c r="C12" s="277"/>
      <c r="D12" s="46"/>
      <c r="E12" s="35"/>
      <c r="F12" s="101"/>
      <c r="G12" s="70"/>
      <c r="L12" s="56"/>
    </row>
    <row r="13" spans="2:12" x14ac:dyDescent="0.25">
      <c r="B13" s="13" t="s">
        <v>14</v>
      </c>
      <c r="C13" s="278" t="s">
        <v>27</v>
      </c>
      <c r="D13" s="46">
        <f>D15-SUM(F4:F7)</f>
        <v>1395424.35</v>
      </c>
      <c r="E13" s="35"/>
      <c r="F13" s="101">
        <f>D13</f>
        <v>1395424.35</v>
      </c>
      <c r="G13" s="70"/>
      <c r="I13" s="8"/>
      <c r="L13" s="56"/>
    </row>
    <row r="14" spans="2:12" ht="15.75" thickBot="1" x14ac:dyDescent="0.3">
      <c r="B14" s="13"/>
      <c r="C14" s="87" t="s">
        <v>159</v>
      </c>
      <c r="D14" s="83">
        <f>SUM(D4:D7)</f>
        <v>1731748.65</v>
      </c>
      <c r="E14" s="35"/>
      <c r="F14" s="228"/>
      <c r="G14" s="70"/>
      <c r="I14" s="8"/>
      <c r="L14" s="56"/>
    </row>
    <row r="15" spans="2:12" ht="15.75" thickBot="1" x14ac:dyDescent="0.3">
      <c r="B15" s="387" t="s">
        <v>43</v>
      </c>
      <c r="C15" s="388"/>
      <c r="D15" s="85">
        <v>3127173</v>
      </c>
      <c r="E15" s="84" t="s">
        <v>44</v>
      </c>
      <c r="F15" s="229">
        <f>SUM(F4:F14)</f>
        <v>3127173</v>
      </c>
      <c r="G15" s="72"/>
      <c r="H15" s="57"/>
      <c r="I15" s="57"/>
      <c r="J15" s="57"/>
      <c r="K15" s="57"/>
      <c r="L15" s="58"/>
    </row>
    <row r="16" spans="2:12" ht="15.75" thickBot="1" x14ac:dyDescent="0.3"/>
    <row r="17" spans="2:12" ht="15.75" thickBot="1" x14ac:dyDescent="0.3">
      <c r="B17" s="350" t="s">
        <v>18</v>
      </c>
      <c r="C17" s="351"/>
      <c r="D17" s="351"/>
      <c r="E17" s="351"/>
      <c r="F17" s="351"/>
      <c r="G17" s="351"/>
      <c r="H17" s="351"/>
      <c r="I17" s="351"/>
      <c r="J17" s="351"/>
      <c r="K17" s="351"/>
      <c r="L17" s="352"/>
    </row>
    <row r="18" spans="2:12" ht="15.75" thickBot="1" x14ac:dyDescent="0.3">
      <c r="B18" s="107" t="s">
        <v>0</v>
      </c>
      <c r="C18" s="108" t="s">
        <v>16</v>
      </c>
      <c r="D18" s="109" t="s">
        <v>1</v>
      </c>
      <c r="E18" s="109" t="s">
        <v>41</v>
      </c>
      <c r="F18" s="61" t="s">
        <v>1</v>
      </c>
      <c r="H18" s="8"/>
      <c r="L18" s="56"/>
    </row>
    <row r="19" spans="2:12" x14ac:dyDescent="0.25">
      <c r="B19" s="64" t="s">
        <v>14</v>
      </c>
      <c r="C19" s="294" t="s">
        <v>19</v>
      </c>
      <c r="D19" s="296">
        <v>1934101</v>
      </c>
      <c r="E19" s="20">
        <v>1</v>
      </c>
      <c r="F19" s="298">
        <f>D19*E19</f>
        <v>1934101</v>
      </c>
      <c r="I19" s="8"/>
      <c r="L19" s="56"/>
    </row>
    <row r="20" spans="2:12" x14ac:dyDescent="0.25">
      <c r="B20" s="12"/>
      <c r="C20" s="295"/>
      <c r="D20" s="334"/>
      <c r="E20" s="34">
        <v>1</v>
      </c>
      <c r="F20" s="3">
        <f>D20*E20</f>
        <v>0</v>
      </c>
      <c r="L20" s="56"/>
    </row>
    <row r="21" spans="2:12" x14ac:dyDescent="0.25">
      <c r="B21" s="12"/>
      <c r="C21" s="295"/>
      <c r="D21" s="334"/>
      <c r="E21" s="34"/>
      <c r="F21" s="3"/>
      <c r="H21" s="8"/>
      <c r="L21" s="56"/>
    </row>
    <row r="22" spans="2:12" x14ac:dyDescent="0.25">
      <c r="B22" s="66"/>
      <c r="C22" s="63"/>
      <c r="D22" s="62"/>
      <c r="E22" s="62"/>
      <c r="F22" s="65"/>
      <c r="L22" s="56"/>
    </row>
    <row r="23" spans="2:12" x14ac:dyDescent="0.25">
      <c r="B23" s="2"/>
      <c r="C23" s="62"/>
      <c r="D23" s="62"/>
      <c r="E23" s="62"/>
      <c r="F23" s="65"/>
      <c r="L23" s="56"/>
    </row>
    <row r="24" spans="2:12" x14ac:dyDescent="0.25">
      <c r="B24" s="2"/>
      <c r="C24" s="62"/>
      <c r="D24" s="62"/>
      <c r="E24" s="62"/>
      <c r="F24" s="65"/>
      <c r="L24" s="56"/>
    </row>
    <row r="25" spans="2:12" ht="15.75" thickBot="1" x14ac:dyDescent="0.3">
      <c r="B25" s="134" t="s">
        <v>14</v>
      </c>
      <c r="C25" s="143" t="s">
        <v>27</v>
      </c>
      <c r="D25" s="223">
        <f>D26-SUM(F17:F24)</f>
        <v>2900000</v>
      </c>
      <c r="E25" s="224"/>
      <c r="F25" s="38">
        <f>D25</f>
        <v>2900000</v>
      </c>
      <c r="L25" s="56"/>
    </row>
    <row r="26" spans="2:12" ht="15.75" thickBot="1" x14ac:dyDescent="0.3">
      <c r="B26" s="385" t="s">
        <v>43</v>
      </c>
      <c r="C26" s="386"/>
      <c r="D26" s="221">
        <v>4834101</v>
      </c>
      <c r="E26" s="208" t="s">
        <v>44</v>
      </c>
      <c r="F26" s="222">
        <f>SUM(F17:F25)</f>
        <v>4834101</v>
      </c>
      <c r="G26" s="57"/>
      <c r="H26" s="57"/>
      <c r="I26" s="57"/>
      <c r="J26" s="57"/>
      <c r="K26" s="57"/>
      <c r="L26" s="58"/>
    </row>
    <row r="27" spans="2:12" ht="15.75" thickBot="1" x14ac:dyDescent="0.3"/>
    <row r="28" spans="2:12" x14ac:dyDescent="0.25">
      <c r="B28" s="379" t="s">
        <v>34</v>
      </c>
      <c r="C28" s="380"/>
    </row>
    <row r="29" spans="2:12" x14ac:dyDescent="0.25">
      <c r="B29" s="40"/>
      <c r="C29" s="21" t="s">
        <v>33</v>
      </c>
      <c r="E29" s="206"/>
    </row>
    <row r="30" spans="2:12" x14ac:dyDescent="0.25">
      <c r="B30" s="48"/>
      <c r="C30" s="21" t="s">
        <v>32</v>
      </c>
    </row>
    <row r="31" spans="2:12" ht="15.75" thickBot="1" x14ac:dyDescent="0.3">
      <c r="B31" s="59"/>
      <c r="C31" s="22" t="s">
        <v>35</v>
      </c>
      <c r="E31" s="206"/>
      <c r="J31" s="8"/>
    </row>
    <row r="32" spans="2:12" hidden="1" x14ac:dyDescent="0.25">
      <c r="I32" s="8"/>
    </row>
    <row r="33" spans="2:11" hidden="1" x14ac:dyDescent="0.25"/>
    <row r="34" spans="2:11" hidden="1" x14ac:dyDescent="0.25"/>
    <row r="35" spans="2:11" hidden="1" x14ac:dyDescent="0.25"/>
    <row r="36" spans="2:11" hidden="1" x14ac:dyDescent="0.25"/>
    <row r="37" spans="2:11" hidden="1" x14ac:dyDescent="0.25"/>
    <row r="38" spans="2:11" hidden="1" x14ac:dyDescent="0.25"/>
    <row r="41" spans="2:11" x14ac:dyDescent="0.25">
      <c r="I41" s="8"/>
      <c r="J41" s="8"/>
    </row>
    <row r="42" spans="2:11" ht="15.75" thickBot="1" x14ac:dyDescent="0.3">
      <c r="I42" s="8"/>
    </row>
    <row r="43" spans="2:11" ht="15.75" thickBot="1" x14ac:dyDescent="0.3">
      <c r="B43" s="384" t="s">
        <v>40</v>
      </c>
      <c r="C43" s="382"/>
      <c r="D43" s="382"/>
      <c r="E43" s="382"/>
      <c r="F43" s="383"/>
      <c r="I43" s="8"/>
      <c r="J43" s="8"/>
      <c r="K43" s="206"/>
    </row>
    <row r="44" spans="2:11" ht="15.75" thickBot="1" x14ac:dyDescent="0.3">
      <c r="B44" s="106" t="s">
        <v>21</v>
      </c>
      <c r="C44" s="89" t="s">
        <v>23</v>
      </c>
      <c r="D44" s="55" t="s">
        <v>75</v>
      </c>
      <c r="E44" s="25" t="s">
        <v>22</v>
      </c>
      <c r="F44" s="112" t="s">
        <v>24</v>
      </c>
      <c r="I44" s="8"/>
      <c r="K44" s="8"/>
    </row>
    <row r="45" spans="2:11" x14ac:dyDescent="0.25">
      <c r="B45" s="30"/>
      <c r="C45" s="54"/>
      <c r="D45" s="26"/>
      <c r="E45" s="54"/>
      <c r="F45" s="29"/>
      <c r="J45" s="8"/>
    </row>
    <row r="46" spans="2:11" x14ac:dyDescent="0.25">
      <c r="B46" s="30">
        <v>46100</v>
      </c>
      <c r="C46" s="27">
        <v>4834101</v>
      </c>
      <c r="D46" s="26">
        <f>C46/1425</f>
        <v>3392.3515789473686</v>
      </c>
      <c r="E46" s="27">
        <v>3127173</v>
      </c>
      <c r="F46" s="29">
        <f>C46-E46</f>
        <v>1706928</v>
      </c>
      <c r="J46" s="8"/>
    </row>
    <row r="47" spans="2:11" x14ac:dyDescent="0.25">
      <c r="B47" s="30">
        <v>46058</v>
      </c>
      <c r="C47" s="27">
        <v>1972904</v>
      </c>
      <c r="D47" s="26">
        <f>C47/1505</f>
        <v>1310.8996677740863</v>
      </c>
      <c r="E47" s="27">
        <v>3434876</v>
      </c>
      <c r="F47" s="29">
        <f>C47-E47</f>
        <v>-1461972</v>
      </c>
      <c r="J47" s="8"/>
    </row>
    <row r="48" spans="2:11" x14ac:dyDescent="0.25">
      <c r="B48" s="30">
        <v>46049</v>
      </c>
      <c r="C48" s="27">
        <v>1813018</v>
      </c>
      <c r="D48" s="26">
        <f>C48/1505</f>
        <v>1204.6631229235879</v>
      </c>
      <c r="E48" s="27">
        <v>1987752</v>
      </c>
      <c r="F48" s="29">
        <f>C48-E48</f>
        <v>-174734</v>
      </c>
      <c r="J48" s="8"/>
    </row>
    <row r="49" spans="2:10" x14ac:dyDescent="0.25">
      <c r="B49" s="30">
        <v>46018</v>
      </c>
      <c r="C49" s="27">
        <v>2614481</v>
      </c>
      <c r="D49" s="26">
        <f>C49/1445</f>
        <v>1809.3294117647058</v>
      </c>
      <c r="E49" s="27">
        <v>2227813</v>
      </c>
      <c r="F49" s="29">
        <f>C49-E49</f>
        <v>386668</v>
      </c>
      <c r="J49" s="8"/>
    </row>
    <row r="50" spans="2:10" x14ac:dyDescent="0.25">
      <c r="B50" s="30">
        <v>45988</v>
      </c>
      <c r="C50" s="27">
        <v>1936621</v>
      </c>
      <c r="D50" s="26">
        <f>C50/1430</f>
        <v>1354.2804195804197</v>
      </c>
      <c r="E50" s="27">
        <v>2022351</v>
      </c>
      <c r="F50" s="29">
        <f>C50-E50</f>
        <v>-85730</v>
      </c>
      <c r="J50" s="8"/>
    </row>
    <row r="51" spans="2:10" x14ac:dyDescent="0.25">
      <c r="B51" s="30">
        <v>45953</v>
      </c>
      <c r="C51" s="27">
        <v>1736621</v>
      </c>
      <c r="D51" s="26">
        <f>C51/1550</f>
        <v>1120.4006451612904</v>
      </c>
      <c r="E51" s="27">
        <v>1968203</v>
      </c>
      <c r="F51" s="29">
        <f t="shared" ref="F51:F55" si="2">C51-E51</f>
        <v>-231582</v>
      </c>
      <c r="J51" s="8"/>
    </row>
    <row r="52" spans="2:10" x14ac:dyDescent="0.25">
      <c r="B52" s="30">
        <v>45922</v>
      </c>
      <c r="C52" s="27">
        <v>1694494</v>
      </c>
      <c r="D52" s="26">
        <f>C52/1370</f>
        <v>1236.8569343065694</v>
      </c>
      <c r="E52" s="27">
        <v>1199006</v>
      </c>
      <c r="F52" s="29">
        <f t="shared" si="2"/>
        <v>495488</v>
      </c>
      <c r="J52" s="8"/>
    </row>
    <row r="53" spans="2:10" x14ac:dyDescent="0.25">
      <c r="B53" s="30">
        <v>45891</v>
      </c>
      <c r="C53" s="27">
        <v>1608461</v>
      </c>
      <c r="D53" s="26">
        <f>C53/1340</f>
        <v>1200.3440298507462</v>
      </c>
      <c r="E53" s="27">
        <v>2102665</v>
      </c>
      <c r="F53" s="29">
        <f t="shared" si="2"/>
        <v>-494204</v>
      </c>
      <c r="J53" s="8"/>
    </row>
    <row r="54" spans="2:10" x14ac:dyDescent="0.25">
      <c r="B54" s="30">
        <v>45866</v>
      </c>
      <c r="C54" s="27">
        <v>1608461</v>
      </c>
      <c r="D54" s="26">
        <f>C54/1295</f>
        <v>1242.0548262548264</v>
      </c>
      <c r="E54" s="27">
        <v>1902661</v>
      </c>
      <c r="F54" s="29">
        <f t="shared" si="2"/>
        <v>-294200</v>
      </c>
      <c r="J54" s="8"/>
    </row>
    <row r="55" spans="2:10" x14ac:dyDescent="0.25">
      <c r="B55" s="30">
        <v>45827</v>
      </c>
      <c r="C55" s="27">
        <v>2421295</v>
      </c>
      <c r="D55" s="26">
        <f>C55/1185</f>
        <v>2043.2869198312237</v>
      </c>
      <c r="E55" s="27">
        <v>2398696</v>
      </c>
      <c r="F55" s="29">
        <f t="shared" si="2"/>
        <v>22599</v>
      </c>
      <c r="J55" s="8"/>
    </row>
    <row r="56" spans="2:10" x14ac:dyDescent="0.25">
      <c r="B56" s="30">
        <v>45803</v>
      </c>
      <c r="C56" s="27">
        <v>3780540</v>
      </c>
      <c r="D56" s="26">
        <f>C56/1170</f>
        <v>3231.2307692307691</v>
      </c>
      <c r="E56" s="27">
        <v>3889113</v>
      </c>
      <c r="F56" s="29">
        <f t="shared" ref="F56:F60" si="3">C56-E56</f>
        <v>-108573</v>
      </c>
      <c r="J56" s="8"/>
    </row>
    <row r="57" spans="2:10" x14ac:dyDescent="0.25">
      <c r="B57" s="30">
        <v>45776</v>
      </c>
      <c r="C57" s="27">
        <v>1464565</v>
      </c>
      <c r="D57" s="26">
        <f>C57/1340</f>
        <v>1092.9589552238806</v>
      </c>
      <c r="E57" s="27">
        <v>2136325</v>
      </c>
      <c r="F57" s="29">
        <f t="shared" si="3"/>
        <v>-671760</v>
      </c>
      <c r="J57" s="8"/>
    </row>
    <row r="58" spans="2:10" x14ac:dyDescent="0.25">
      <c r="B58" s="30">
        <v>45746</v>
      </c>
      <c r="C58" s="27">
        <v>1484092</v>
      </c>
      <c r="D58" s="26">
        <f>C58/1300</f>
        <v>1141.6092307692309</v>
      </c>
      <c r="E58" s="27">
        <v>1379423</v>
      </c>
      <c r="F58" s="29">
        <f t="shared" si="3"/>
        <v>104669</v>
      </c>
      <c r="J58" s="8"/>
    </row>
    <row r="59" spans="2:10" x14ac:dyDescent="0.25">
      <c r="B59" s="30">
        <v>45715</v>
      </c>
      <c r="C59" s="27">
        <v>1464565</v>
      </c>
      <c r="D59" s="26">
        <f>C59/1225</f>
        <v>1195.5632653061225</v>
      </c>
      <c r="E59" s="27">
        <v>1685605</v>
      </c>
      <c r="F59" s="29">
        <f t="shared" si="3"/>
        <v>-221040</v>
      </c>
      <c r="J59" s="8"/>
    </row>
    <row r="60" spans="2:10" x14ac:dyDescent="0.25">
      <c r="B60" s="30">
        <v>45687</v>
      </c>
      <c r="C60" s="27">
        <v>1437166</v>
      </c>
      <c r="D60" s="26">
        <f>C60/1225</f>
        <v>1173.1967346938775</v>
      </c>
      <c r="E60" s="27">
        <v>1640015</v>
      </c>
      <c r="F60" s="29">
        <f t="shared" si="3"/>
        <v>-202849</v>
      </c>
      <c r="J60" s="8"/>
    </row>
    <row r="61" spans="2:10" x14ac:dyDescent="0.25">
      <c r="B61" s="30">
        <v>45656</v>
      </c>
      <c r="C61" s="27">
        <v>2187587</v>
      </c>
      <c r="D61" s="26">
        <f>C61/1210</f>
        <v>1807.9231404958678</v>
      </c>
      <c r="E61" s="27">
        <v>1675337</v>
      </c>
      <c r="F61" s="29">
        <f t="shared" ref="F61:F65" si="4">C61-E61</f>
        <v>512250</v>
      </c>
      <c r="J61" s="8"/>
    </row>
    <row r="62" spans="2:10" x14ac:dyDescent="0.25">
      <c r="B62" s="30">
        <v>45607</v>
      </c>
      <c r="C62" s="27">
        <v>1369304</v>
      </c>
      <c r="D62" s="26">
        <f>C62/1135</f>
        <v>1206.4352422907489</v>
      </c>
      <c r="E62" s="27">
        <v>2667425</v>
      </c>
      <c r="F62" s="29">
        <f t="shared" si="4"/>
        <v>-1298121</v>
      </c>
      <c r="J62" s="8"/>
    </row>
    <row r="63" spans="2:10" x14ac:dyDescent="0.25">
      <c r="B63" s="30">
        <v>45596</v>
      </c>
      <c r="C63" s="27">
        <v>1285565</v>
      </c>
      <c r="D63" s="26">
        <f>C63/1180</f>
        <v>1089.4618644067796</v>
      </c>
      <c r="E63" s="27">
        <v>1951502</v>
      </c>
      <c r="F63" s="29">
        <f t="shared" si="4"/>
        <v>-665937</v>
      </c>
      <c r="J63" s="8"/>
    </row>
    <row r="64" spans="2:10" x14ac:dyDescent="0.25">
      <c r="B64" s="30">
        <v>45565</v>
      </c>
      <c r="C64" s="27">
        <v>1291369</v>
      </c>
      <c r="D64" s="26">
        <f>C64/1235</f>
        <v>1045.6429149797571</v>
      </c>
      <c r="E64" s="27">
        <v>1189796</v>
      </c>
      <c r="F64" s="29">
        <f t="shared" si="4"/>
        <v>101573</v>
      </c>
      <c r="J64" s="8"/>
    </row>
    <row r="65" spans="2:10" x14ac:dyDescent="0.25">
      <c r="B65" s="30">
        <v>45523</v>
      </c>
      <c r="C65" s="27">
        <v>1254936</v>
      </c>
      <c r="D65" s="26">
        <f>C65/1355</f>
        <v>926.15202952029517</v>
      </c>
      <c r="E65" s="27">
        <v>1273143</v>
      </c>
      <c r="F65" s="29">
        <f t="shared" si="4"/>
        <v>-18207</v>
      </c>
      <c r="J65" s="8"/>
    </row>
    <row r="66" spans="2:10" x14ac:dyDescent="0.25">
      <c r="B66" s="30">
        <v>45504</v>
      </c>
      <c r="C66" s="27">
        <v>1202885</v>
      </c>
      <c r="D66" s="26">
        <f>C66/1415</f>
        <v>850.09540636042402</v>
      </c>
      <c r="E66" s="27">
        <v>1381264</v>
      </c>
      <c r="F66" s="29">
        <f t="shared" ref="F66:F70" si="5">C66-E66</f>
        <v>-178379</v>
      </c>
      <c r="J66" s="8"/>
    </row>
    <row r="67" spans="2:10" x14ac:dyDescent="0.25">
      <c r="B67" s="30">
        <v>45473</v>
      </c>
      <c r="C67" s="27">
        <v>1764342</v>
      </c>
      <c r="D67" s="26">
        <f>C67/1365</f>
        <v>1292.5582417582418</v>
      </c>
      <c r="E67" s="27">
        <v>624384</v>
      </c>
      <c r="F67" s="29">
        <f t="shared" si="5"/>
        <v>1139958</v>
      </c>
      <c r="J67" s="8"/>
    </row>
    <row r="68" spans="2:10" x14ac:dyDescent="0.25">
      <c r="B68" s="30">
        <v>45439</v>
      </c>
      <c r="C68" s="27">
        <v>1102885</v>
      </c>
      <c r="D68" s="26">
        <f>C68/1205</f>
        <v>915.25726141078837</v>
      </c>
      <c r="E68" s="27">
        <v>700282</v>
      </c>
      <c r="F68" s="29">
        <f t="shared" si="5"/>
        <v>402603</v>
      </c>
      <c r="J68" s="8"/>
    </row>
    <row r="69" spans="2:10" x14ac:dyDescent="0.25">
      <c r="B69" s="30">
        <v>45412</v>
      </c>
      <c r="C69" s="27">
        <v>747652</v>
      </c>
      <c r="D69" s="26">
        <f>C69/1015</f>
        <v>736.60295566502464</v>
      </c>
      <c r="E69" s="27">
        <v>1254890</v>
      </c>
      <c r="F69" s="29">
        <f t="shared" si="5"/>
        <v>-507238</v>
      </c>
      <c r="J69" s="8"/>
    </row>
    <row r="70" spans="2:10" x14ac:dyDescent="0.25">
      <c r="B70" s="30">
        <v>45382</v>
      </c>
      <c r="C70" s="27">
        <v>834805</v>
      </c>
      <c r="D70" s="26">
        <f>C70/1010</f>
        <v>826.53960396039599</v>
      </c>
      <c r="E70" s="27">
        <v>769121</v>
      </c>
      <c r="F70" s="29">
        <f t="shared" si="5"/>
        <v>65684</v>
      </c>
      <c r="J70" s="8"/>
    </row>
    <row r="71" spans="2:10" x14ac:dyDescent="0.25">
      <c r="B71" s="30">
        <v>45351</v>
      </c>
      <c r="C71" s="27">
        <v>1014652</v>
      </c>
      <c r="D71" s="26">
        <f>C71/1030</f>
        <v>985.09902912621362</v>
      </c>
      <c r="E71" s="27">
        <v>1105069</v>
      </c>
      <c r="F71" s="29">
        <f t="shared" ref="F71:F79" si="6">C71-E71</f>
        <v>-90417</v>
      </c>
      <c r="J71" s="8"/>
    </row>
    <row r="72" spans="2:10" x14ac:dyDescent="0.25">
      <c r="B72" s="30">
        <v>45322</v>
      </c>
      <c r="C72" s="27">
        <v>518427</v>
      </c>
      <c r="D72" s="26">
        <f>C72/1195</f>
        <v>433.83012552301255</v>
      </c>
      <c r="E72" s="27">
        <v>481116</v>
      </c>
      <c r="F72" s="29">
        <f t="shared" si="6"/>
        <v>37311</v>
      </c>
    </row>
    <row r="73" spans="2:10" x14ac:dyDescent="0.25">
      <c r="B73" s="30">
        <v>45290</v>
      </c>
      <c r="C73" s="27">
        <v>757361</v>
      </c>
      <c r="D73" s="26">
        <f>C73/1025</f>
        <v>738.88878048780487</v>
      </c>
      <c r="E73" s="27">
        <v>613307</v>
      </c>
      <c r="F73" s="29">
        <f t="shared" si="6"/>
        <v>144054</v>
      </c>
    </row>
    <row r="74" spans="2:10" x14ac:dyDescent="0.25">
      <c r="B74" s="30">
        <v>45260</v>
      </c>
      <c r="C74" s="27">
        <v>584331</v>
      </c>
      <c r="D74" s="26">
        <v>645.66961325966804</v>
      </c>
      <c r="E74" s="27">
        <v>360123</v>
      </c>
      <c r="F74" s="29">
        <f t="shared" si="6"/>
        <v>224208</v>
      </c>
    </row>
    <row r="75" spans="2:10" x14ac:dyDescent="0.25">
      <c r="B75" s="30">
        <v>45230</v>
      </c>
      <c r="C75" s="27">
        <v>317189</v>
      </c>
      <c r="D75" s="26">
        <v>374.83928149373668</v>
      </c>
      <c r="E75" s="27">
        <v>336002</v>
      </c>
      <c r="F75" s="29">
        <f t="shared" si="6"/>
        <v>-18813</v>
      </c>
    </row>
    <row r="76" spans="2:10" x14ac:dyDescent="0.25">
      <c r="B76" s="30">
        <v>45197</v>
      </c>
      <c r="C76" s="27">
        <v>307218</v>
      </c>
      <c r="D76" s="26">
        <v>420.443410428356</v>
      </c>
      <c r="E76" s="27">
        <v>335913</v>
      </c>
      <c r="F76" s="29">
        <f t="shared" si="6"/>
        <v>-28695</v>
      </c>
    </row>
    <row r="77" spans="2:10" x14ac:dyDescent="0.25">
      <c r="B77" s="30">
        <v>45166</v>
      </c>
      <c r="C77" s="27">
        <v>315775</v>
      </c>
      <c r="D77" s="26">
        <v>429.63</v>
      </c>
      <c r="E77" s="27">
        <v>400627</v>
      </c>
      <c r="F77" s="41">
        <f t="shared" si="6"/>
        <v>-84852</v>
      </c>
    </row>
    <row r="78" spans="2:10" x14ac:dyDescent="0.25">
      <c r="B78" s="31">
        <v>45138</v>
      </c>
      <c r="C78" s="18">
        <v>217042</v>
      </c>
      <c r="D78" s="1">
        <v>394.62</v>
      </c>
      <c r="E78" s="18">
        <v>346065.48</v>
      </c>
      <c r="F78" s="42">
        <f t="shared" si="6"/>
        <v>-129023.47999999998</v>
      </c>
    </row>
    <row r="79" spans="2:10" x14ac:dyDescent="0.25">
      <c r="B79" s="32">
        <v>45107</v>
      </c>
      <c r="C79" s="6">
        <v>305542</v>
      </c>
      <c r="D79" s="6">
        <v>619.76</v>
      </c>
      <c r="E79" s="18">
        <v>292915.02</v>
      </c>
      <c r="F79" s="42">
        <f t="shared" si="6"/>
        <v>12626.979999999981</v>
      </c>
    </row>
    <row r="80" spans="2:10" ht="15.75" thickBot="1" x14ac:dyDescent="0.3">
      <c r="B80" s="33"/>
      <c r="C80" s="15"/>
      <c r="D80" s="14"/>
      <c r="E80" s="15"/>
      <c r="F80" s="38"/>
    </row>
  </sheetData>
  <mergeCells count="6">
    <mergeCell ref="B2:L2"/>
    <mergeCell ref="B28:C28"/>
    <mergeCell ref="B43:F43"/>
    <mergeCell ref="B26:C26"/>
    <mergeCell ref="B17:L17"/>
    <mergeCell ref="B15:C15"/>
  </mergeCells>
  <conditionalFormatting sqref="F45:F80">
    <cfRule type="containsBlanks" dxfId="10" priority="2">
      <formula>LEN(TRIM(F45))=0</formula>
    </cfRule>
    <cfRule type="cellIs" dxfId="9" priority="3" operator="lessThan">
      <formula>1</formula>
    </cfRule>
    <cfRule type="cellIs" dxfId="8" priority="4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C50A-D9F7-4334-969D-5C6817E5C259}">
  <sheetPr codeName="Hoja12">
    <tabColor rgb="FFFF0000"/>
  </sheetPr>
  <dimension ref="A1:Q45"/>
  <sheetViews>
    <sheetView showGridLines="0" zoomScale="80" zoomScaleNormal="80" workbookViewId="0">
      <selection activeCell="C6" sqref="C6:C7"/>
    </sheetView>
  </sheetViews>
  <sheetFormatPr baseColWidth="10" defaultColWidth="11.5703125" defaultRowHeight="15" x14ac:dyDescent="0.25"/>
  <cols>
    <col min="1" max="1" width="108" customWidth="1"/>
    <col min="2" max="2" width="27.140625" bestFit="1" customWidth="1"/>
    <col min="3" max="3" width="13.5703125" bestFit="1" customWidth="1"/>
    <col min="4" max="4" width="3.28515625" customWidth="1"/>
    <col min="5" max="5" width="31.140625" customWidth="1"/>
    <col min="6" max="6" width="13.5703125" bestFit="1" customWidth="1"/>
    <col min="7" max="7" width="12" customWidth="1"/>
    <col min="8" max="8" width="9.85546875" bestFit="1" customWidth="1"/>
    <col min="12" max="12" width="12.5703125" bestFit="1" customWidth="1"/>
    <col min="13" max="13" width="13.140625" customWidth="1"/>
    <col min="14" max="14" width="12" customWidth="1"/>
    <col min="15" max="15" width="17" customWidth="1"/>
    <col min="16" max="16" width="11" bestFit="1" customWidth="1"/>
    <col min="17" max="17" width="15.140625" customWidth="1"/>
    <col min="19" max="19" width="12.5703125" bestFit="1" customWidth="1"/>
    <col min="22" max="22" width="19" customWidth="1"/>
    <col min="23" max="23" width="10.28515625" customWidth="1"/>
    <col min="24" max="24" width="14.140625" customWidth="1"/>
  </cols>
  <sheetData>
    <row r="1" spans="1:8" ht="15.75" thickBot="1" x14ac:dyDescent="0.3"/>
    <row r="2" spans="1:8" ht="15.75" thickBot="1" x14ac:dyDescent="0.3">
      <c r="B2" s="350" t="s">
        <v>131</v>
      </c>
      <c r="C2" s="351"/>
      <c r="D2" s="351"/>
      <c r="E2" s="351"/>
      <c r="F2" s="351"/>
      <c r="G2" s="351"/>
      <c r="H2" s="352"/>
    </row>
    <row r="3" spans="1:8" ht="15.75" thickBot="1" x14ac:dyDescent="0.3"/>
    <row r="4" spans="1:8" x14ac:dyDescent="0.25">
      <c r="B4" s="391" t="s">
        <v>221</v>
      </c>
      <c r="C4" s="130" t="s">
        <v>29</v>
      </c>
      <c r="E4" s="113" t="s">
        <v>72</v>
      </c>
      <c r="F4" s="393" t="s">
        <v>629</v>
      </c>
      <c r="G4" s="394"/>
      <c r="H4" s="395"/>
    </row>
    <row r="5" spans="1:8" ht="15.75" thickBot="1" x14ac:dyDescent="0.3">
      <c r="B5" s="392"/>
      <c r="C5" s="274" t="s">
        <v>5</v>
      </c>
      <c r="E5" s="114" t="s">
        <v>16</v>
      </c>
      <c r="F5" s="115" t="s">
        <v>1</v>
      </c>
      <c r="G5" s="117" t="s">
        <v>80</v>
      </c>
      <c r="H5" s="116" t="s">
        <v>73</v>
      </c>
    </row>
    <row r="6" spans="1:8" x14ac:dyDescent="0.25">
      <c r="B6" s="23" t="s">
        <v>220</v>
      </c>
      <c r="C6" s="131">
        <v>649148</v>
      </c>
      <c r="E6" s="262" t="s">
        <v>219</v>
      </c>
      <c r="F6" s="194">
        <f>C6</f>
        <v>649148</v>
      </c>
      <c r="G6" s="195">
        <v>46087</v>
      </c>
      <c r="H6" s="53" t="s">
        <v>628</v>
      </c>
    </row>
    <row r="7" spans="1:8" x14ac:dyDescent="0.25">
      <c r="B7" s="23" t="s">
        <v>222</v>
      </c>
      <c r="C7" s="131">
        <v>8.89</v>
      </c>
      <c r="E7" s="262" t="s">
        <v>223</v>
      </c>
      <c r="F7" s="194">
        <f>C7*Precios!C4-C15</f>
        <v>12757.150000000001</v>
      </c>
      <c r="G7" s="195">
        <f>G6</f>
        <v>46087</v>
      </c>
      <c r="H7" s="53" t="s">
        <v>628</v>
      </c>
    </row>
    <row r="8" spans="1:8" x14ac:dyDescent="0.25">
      <c r="B8" s="23" t="s">
        <v>99</v>
      </c>
      <c r="C8" s="131">
        <v>64004</v>
      </c>
      <c r="E8" s="23" t="s">
        <v>99</v>
      </c>
      <c r="F8" s="194">
        <f t="shared" ref="F8:F9" si="0">C8</f>
        <v>64004</v>
      </c>
      <c r="G8" s="82">
        <v>46085</v>
      </c>
      <c r="H8" s="53" t="s">
        <v>628</v>
      </c>
    </row>
    <row r="9" spans="1:8" ht="15.75" thickBot="1" x14ac:dyDescent="0.3">
      <c r="B9" s="43" t="s">
        <v>319</v>
      </c>
      <c r="C9" s="301">
        <v>139335</v>
      </c>
      <c r="E9" s="43" t="s">
        <v>319</v>
      </c>
      <c r="F9" s="332">
        <f t="shared" si="0"/>
        <v>139335</v>
      </c>
      <c r="G9" s="299">
        <v>46058</v>
      </c>
      <c r="H9" s="22" t="s">
        <v>628</v>
      </c>
    </row>
    <row r="10" spans="1:8" ht="15.75" thickBot="1" x14ac:dyDescent="0.3">
      <c r="B10" s="50" t="s">
        <v>322</v>
      </c>
      <c r="C10" s="52">
        <f>C6+C8+C9</f>
        <v>852487</v>
      </c>
      <c r="E10" s="84" t="s">
        <v>74</v>
      </c>
      <c r="F10" s="168">
        <f>SUM(F6:F9)</f>
        <v>865244.15</v>
      </c>
      <c r="G10" s="231"/>
      <c r="H10" s="207"/>
    </row>
    <row r="11" spans="1:8" ht="15.75" thickBot="1" x14ac:dyDescent="0.3">
      <c r="B11" s="196" t="s">
        <v>196</v>
      </c>
      <c r="C11" s="197">
        <f>C7</f>
        <v>8.89</v>
      </c>
    </row>
    <row r="12" spans="1:8" ht="15.75" thickBot="1" x14ac:dyDescent="0.3">
      <c r="A12" t="s">
        <v>318</v>
      </c>
      <c r="E12" s="279"/>
      <c r="F12" s="280"/>
      <c r="G12" s="280"/>
      <c r="H12" s="281"/>
    </row>
    <row r="13" spans="1:8" ht="15.75" thickBot="1" x14ac:dyDescent="0.3">
      <c r="B13" s="225" t="s">
        <v>130</v>
      </c>
      <c r="C13" s="226"/>
      <c r="E13" s="282"/>
      <c r="F13" s="283"/>
      <c r="G13" s="283"/>
      <c r="H13" s="284"/>
    </row>
    <row r="14" spans="1:8" x14ac:dyDescent="0.25">
      <c r="B14" s="214" t="s">
        <v>16</v>
      </c>
      <c r="C14" s="215" t="s">
        <v>1</v>
      </c>
      <c r="E14" s="282"/>
      <c r="F14" s="283"/>
      <c r="G14" s="283"/>
      <c r="H14" s="284"/>
    </row>
    <row r="15" spans="1:8" x14ac:dyDescent="0.25">
      <c r="B15" s="12"/>
      <c r="C15" s="209"/>
      <c r="E15" s="282"/>
      <c r="F15" s="283"/>
      <c r="G15" s="283"/>
      <c r="H15" s="284"/>
    </row>
    <row r="16" spans="1:8" x14ac:dyDescent="0.25">
      <c r="B16" s="36"/>
      <c r="C16" s="29"/>
      <c r="E16" s="282"/>
      <c r="F16" s="283"/>
      <c r="G16" s="283"/>
      <c r="H16" s="284"/>
    </row>
    <row r="17" spans="2:13" x14ac:dyDescent="0.25">
      <c r="B17" s="36"/>
      <c r="C17" s="3"/>
      <c r="E17" s="282"/>
      <c r="F17" s="283"/>
      <c r="G17" s="283"/>
      <c r="H17" s="284"/>
    </row>
    <row r="18" spans="2:13" x14ac:dyDescent="0.25">
      <c r="B18" s="36"/>
      <c r="C18" s="3"/>
      <c r="E18" s="282"/>
      <c r="F18" s="283"/>
      <c r="G18" s="285"/>
      <c r="H18" s="284"/>
      <c r="K18" s="206"/>
    </row>
    <row r="19" spans="2:13" x14ac:dyDescent="0.25">
      <c r="B19" s="12"/>
      <c r="C19" s="3"/>
      <c r="E19" s="282"/>
      <c r="F19" s="283"/>
      <c r="G19" s="283"/>
      <c r="H19" s="284"/>
      <c r="M19" s="206"/>
    </row>
    <row r="20" spans="2:13" x14ac:dyDescent="0.25">
      <c r="B20" s="12"/>
      <c r="C20" s="3"/>
      <c r="E20" s="282"/>
      <c r="F20" s="283"/>
      <c r="G20" s="283"/>
      <c r="H20" s="284"/>
    </row>
    <row r="21" spans="2:13" x14ac:dyDescent="0.25">
      <c r="B21" s="12"/>
      <c r="C21" s="3"/>
      <c r="E21" s="282"/>
      <c r="F21" s="283"/>
      <c r="G21" s="283"/>
      <c r="H21" s="284"/>
    </row>
    <row r="22" spans="2:13" x14ac:dyDescent="0.25">
      <c r="B22" s="12"/>
      <c r="C22" s="3"/>
      <c r="E22" s="282"/>
      <c r="F22" s="283"/>
      <c r="G22" s="283"/>
      <c r="H22" s="284"/>
    </row>
    <row r="23" spans="2:13" x14ac:dyDescent="0.25">
      <c r="B23" s="12"/>
      <c r="C23" s="3"/>
      <c r="E23" s="282"/>
      <c r="F23" s="283"/>
      <c r="G23" s="283"/>
      <c r="H23" s="284"/>
    </row>
    <row r="24" spans="2:13" x14ac:dyDescent="0.25">
      <c r="B24" s="36"/>
      <c r="C24" s="3"/>
      <c r="E24" s="282"/>
      <c r="F24" s="283"/>
      <c r="G24" s="283"/>
      <c r="H24" s="284"/>
    </row>
    <row r="25" spans="2:13" x14ac:dyDescent="0.25">
      <c r="B25" s="36"/>
      <c r="C25" s="3"/>
      <c r="E25" s="282"/>
      <c r="F25" s="286" t="s">
        <v>201</v>
      </c>
      <c r="G25" s="283"/>
      <c r="H25" s="284"/>
    </row>
    <row r="26" spans="2:13" x14ac:dyDescent="0.25">
      <c r="B26" s="2"/>
      <c r="C26" s="3"/>
      <c r="E26" s="282"/>
      <c r="F26" s="286" t="s">
        <v>201</v>
      </c>
      <c r="G26" s="283"/>
      <c r="H26" s="284"/>
    </row>
    <row r="27" spans="2:13" ht="15.75" thickBot="1" x14ac:dyDescent="0.3">
      <c r="B27" s="213" t="s">
        <v>5</v>
      </c>
      <c r="C27" s="38">
        <f>SUM(C15:C26)</f>
        <v>0</v>
      </c>
      <c r="E27" s="287"/>
      <c r="F27" s="288"/>
      <c r="G27" s="288"/>
      <c r="H27" s="289"/>
    </row>
    <row r="30" spans="2:13" x14ac:dyDescent="0.25">
      <c r="L30" t="s">
        <v>201</v>
      </c>
    </row>
    <row r="33" spans="1:17" x14ac:dyDescent="0.25">
      <c r="B33" s="206"/>
      <c r="C33" s="8"/>
    </row>
    <row r="37" spans="1:17" ht="15.75" thickBot="1" x14ac:dyDescent="0.3"/>
    <row r="38" spans="1:17" x14ac:dyDescent="0.25">
      <c r="P38" s="389" t="s">
        <v>34</v>
      </c>
      <c r="Q38" s="390"/>
    </row>
    <row r="39" spans="1:17" x14ac:dyDescent="0.25">
      <c r="P39" s="40"/>
      <c r="Q39" s="21" t="s">
        <v>33</v>
      </c>
    </row>
    <row r="40" spans="1:17" x14ac:dyDescent="0.25">
      <c r="P40" s="48"/>
      <c r="Q40" s="21" t="s">
        <v>32</v>
      </c>
    </row>
    <row r="41" spans="1:17" ht="15.75" thickBot="1" x14ac:dyDescent="0.3">
      <c r="P41" s="59"/>
      <c r="Q41" s="22" t="s">
        <v>35</v>
      </c>
    </row>
    <row r="45" spans="1:17" x14ac:dyDescent="0.25">
      <c r="A45" t="s">
        <v>605</v>
      </c>
    </row>
  </sheetData>
  <mergeCells count="4">
    <mergeCell ref="P38:Q38"/>
    <mergeCell ref="B2:H2"/>
    <mergeCell ref="B4:B5"/>
    <mergeCell ref="F4:H4"/>
  </mergeCells>
  <conditionalFormatting sqref="H6:H10">
    <cfRule type="cellIs" dxfId="7" priority="1" operator="equal">
      <formula>"No"</formula>
    </cfRule>
    <cfRule type="cellIs" dxfId="6" priority="2" operator="equal">
      <formula>"Si"</formula>
    </cfRule>
  </conditionalFormatting>
  <dataValidations count="2">
    <dataValidation type="list" allowBlank="1" showInputMessage="1" showErrorMessage="1" sqref="F4:G4" xr:uid="{ED8A0514-66A7-4098-BA00-1556F9B32B94}">
      <formula1>"Enero, Febrero, Marzo, Abril, Mayo, Junio, Julio, Agosto, Septiembre, Octubre, Noviembre, Diciembre"</formula1>
    </dataValidation>
    <dataValidation type="list" allowBlank="1" showInputMessage="1" showErrorMessage="1" sqref="H6:H10" xr:uid="{BF11DCDA-915B-4A57-847D-666CA10C1764}">
      <formula1>"Si,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ADD9-CF12-43C4-A05D-770D08C54F09}">
  <sheetPr codeName="Hoja9">
    <tabColor rgb="FF7030A0"/>
  </sheetPr>
  <dimension ref="B1:R40"/>
  <sheetViews>
    <sheetView showGridLines="0" zoomScale="80" zoomScaleNormal="80" workbookViewId="0">
      <selection activeCell="C6" sqref="C6"/>
    </sheetView>
  </sheetViews>
  <sheetFormatPr baseColWidth="10" defaultColWidth="11.5703125" defaultRowHeight="15" x14ac:dyDescent="0.25"/>
  <cols>
    <col min="1" max="1" width="108" customWidth="1"/>
    <col min="2" max="2" width="26.5703125" bestFit="1" customWidth="1"/>
    <col min="3" max="4" width="13.5703125" bestFit="1" customWidth="1"/>
    <col min="5" max="5" width="14.140625" bestFit="1" customWidth="1"/>
    <col min="6" max="6" width="3.28515625" customWidth="1"/>
    <col min="7" max="7" width="21" bestFit="1" customWidth="1"/>
    <col min="8" max="8" width="13.28515625" bestFit="1" customWidth="1"/>
    <col min="9" max="9" width="12" customWidth="1"/>
    <col min="10" max="10" width="9.85546875" bestFit="1" customWidth="1"/>
    <col min="12" max="12" width="14.140625" bestFit="1" customWidth="1"/>
    <col min="13" max="13" width="12.42578125" bestFit="1" customWidth="1"/>
    <col min="14" max="14" width="12.5703125" bestFit="1" customWidth="1"/>
    <col min="15" max="15" width="13.140625" customWidth="1"/>
    <col min="16" max="16" width="8.28515625" customWidth="1"/>
    <col min="17" max="17" width="11.28515625" customWidth="1"/>
    <col min="18" max="18" width="15.140625" customWidth="1"/>
    <col min="20" max="20" width="12.5703125" bestFit="1" customWidth="1"/>
    <col min="23" max="23" width="19" customWidth="1"/>
    <col min="24" max="24" width="10.28515625" customWidth="1"/>
    <col min="25" max="25" width="14.140625" customWidth="1"/>
  </cols>
  <sheetData>
    <row r="1" spans="2:13" ht="15.75" thickBot="1" x14ac:dyDescent="0.3"/>
    <row r="2" spans="2:13" ht="15.75" thickBot="1" x14ac:dyDescent="0.3">
      <c r="B2" s="350" t="s">
        <v>122</v>
      </c>
      <c r="C2" s="351"/>
      <c r="D2" s="351"/>
      <c r="E2" s="351"/>
      <c r="F2" s="351"/>
      <c r="G2" s="351"/>
      <c r="H2" s="351"/>
      <c r="I2" s="351"/>
      <c r="J2" s="352"/>
    </row>
    <row r="3" spans="2:13" ht="15.75" thickBot="1" x14ac:dyDescent="0.3"/>
    <row r="4" spans="2:13" x14ac:dyDescent="0.25">
      <c r="B4" s="396" t="s">
        <v>221</v>
      </c>
      <c r="C4" s="394" t="s">
        <v>29</v>
      </c>
      <c r="D4" s="398"/>
      <c r="E4" s="399"/>
      <c r="G4" s="113" t="s">
        <v>72</v>
      </c>
      <c r="H4" s="393" t="s">
        <v>627</v>
      </c>
      <c r="I4" s="394"/>
      <c r="J4" s="395"/>
    </row>
    <row r="5" spans="2:13" ht="15.75" thickBot="1" x14ac:dyDescent="0.3">
      <c r="B5" s="397"/>
      <c r="C5" s="115" t="s">
        <v>5</v>
      </c>
      <c r="D5" s="115" t="s">
        <v>30</v>
      </c>
      <c r="E5" s="116" t="s">
        <v>31</v>
      </c>
      <c r="G5" s="114" t="s">
        <v>16</v>
      </c>
      <c r="H5" s="115" t="s">
        <v>1</v>
      </c>
      <c r="I5" s="117" t="s">
        <v>80</v>
      </c>
      <c r="J5" s="116" t="s">
        <v>73</v>
      </c>
    </row>
    <row r="6" spans="2:13" x14ac:dyDescent="0.25">
      <c r="B6" s="24" t="s">
        <v>321</v>
      </c>
      <c r="C6" s="204">
        <v>1519606</v>
      </c>
      <c r="D6" s="26">
        <f>C6/2</f>
        <v>759803</v>
      </c>
      <c r="E6" s="29">
        <f>C6-D6</f>
        <v>759803</v>
      </c>
      <c r="G6" s="163" t="s">
        <v>328</v>
      </c>
      <c r="H6" s="164">
        <f>D6</f>
        <v>759803</v>
      </c>
      <c r="I6" s="300">
        <v>46087</v>
      </c>
      <c r="J6" s="165" t="s">
        <v>628</v>
      </c>
    </row>
    <row r="7" spans="2:13" ht="15.75" thickBot="1" x14ac:dyDescent="0.3">
      <c r="B7" s="302" t="s">
        <v>323</v>
      </c>
      <c r="C7" s="303">
        <v>0</v>
      </c>
      <c r="D7" s="304">
        <f>C7*Precios!C4</f>
        <v>0</v>
      </c>
      <c r="E7" s="305">
        <v>0</v>
      </c>
      <c r="G7" s="2" t="s">
        <v>327</v>
      </c>
      <c r="H7" s="80">
        <f>D7</f>
        <v>0</v>
      </c>
      <c r="I7" s="81">
        <f>I6</f>
        <v>46087</v>
      </c>
      <c r="J7" s="53" t="s">
        <v>628</v>
      </c>
    </row>
    <row r="8" spans="2:13" ht="15.75" thickBot="1" x14ac:dyDescent="0.3">
      <c r="B8" s="50" t="s">
        <v>324</v>
      </c>
      <c r="C8" s="51">
        <f t="shared" ref="C8" si="0">C6+C7</f>
        <v>1519606</v>
      </c>
      <c r="D8" s="51">
        <f>D6+D7</f>
        <v>759803</v>
      </c>
      <c r="E8" s="52">
        <f>E6+E7</f>
        <v>759803</v>
      </c>
      <c r="G8" s="47" t="s">
        <v>334</v>
      </c>
      <c r="H8" s="166">
        <f>D12</f>
        <v>106701.5</v>
      </c>
      <c r="I8" s="103">
        <v>46063</v>
      </c>
      <c r="J8" s="167" t="s">
        <v>628</v>
      </c>
    </row>
    <row r="9" spans="2:13" ht="15.75" thickBot="1" x14ac:dyDescent="0.3">
      <c r="G9" s="208" t="s">
        <v>74</v>
      </c>
      <c r="H9" s="169">
        <f>SUM(C8,C13)</f>
        <v>1733009</v>
      </c>
    </row>
    <row r="10" spans="2:13" ht="15.75" thickBot="1" x14ac:dyDescent="0.3">
      <c r="B10" s="391" t="s">
        <v>330</v>
      </c>
      <c r="C10" s="394" t="s">
        <v>29</v>
      </c>
      <c r="D10" s="398"/>
      <c r="E10" s="399"/>
      <c r="G10" s="84" t="s">
        <v>160</v>
      </c>
      <c r="H10" s="168">
        <f>SUM(D8,D13)</f>
        <v>866504.5</v>
      </c>
      <c r="L10" s="206"/>
    </row>
    <row r="11" spans="2:13" ht="15.75" thickBot="1" x14ac:dyDescent="0.3">
      <c r="B11" s="400"/>
      <c r="C11" s="115" t="s">
        <v>5</v>
      </c>
      <c r="D11" s="115" t="s">
        <v>30</v>
      </c>
      <c r="E11" s="116" t="s">
        <v>31</v>
      </c>
    </row>
    <row r="12" spans="2:13" ht="15.75" thickBot="1" x14ac:dyDescent="0.3">
      <c r="B12" s="43" t="s">
        <v>329</v>
      </c>
      <c r="C12" s="44">
        <v>213403</v>
      </c>
      <c r="D12" s="6">
        <f>C12/2</f>
        <v>106701.5</v>
      </c>
      <c r="E12" s="7">
        <f>C12/2</f>
        <v>106701.5</v>
      </c>
      <c r="G12" s="279"/>
      <c r="H12" s="280"/>
      <c r="I12" s="280"/>
      <c r="J12" s="281"/>
    </row>
    <row r="13" spans="2:13" ht="15.75" thickBot="1" x14ac:dyDescent="0.3">
      <c r="B13" s="50" t="s">
        <v>331</v>
      </c>
      <c r="C13" s="51">
        <f>SUM(C12:C12)</f>
        <v>213403</v>
      </c>
      <c r="D13" s="51">
        <f>SUM(D12:D12)</f>
        <v>106701.5</v>
      </c>
      <c r="E13" s="52">
        <f>SUM(E12:E12)</f>
        <v>106701.5</v>
      </c>
      <c r="G13" s="282"/>
      <c r="H13" s="283"/>
      <c r="I13" s="283"/>
      <c r="J13" s="284"/>
    </row>
    <row r="14" spans="2:13" ht="15.75" thickBot="1" x14ac:dyDescent="0.3">
      <c r="G14" s="282"/>
      <c r="H14" s="283"/>
      <c r="I14" s="283"/>
      <c r="J14" s="284"/>
      <c r="M14" s="206"/>
    </row>
    <row r="15" spans="2:13" x14ac:dyDescent="0.25">
      <c r="B15" s="4" t="s">
        <v>132</v>
      </c>
      <c r="C15" s="128"/>
      <c r="E15" s="279"/>
      <c r="F15" s="280"/>
      <c r="G15" s="283"/>
      <c r="H15" s="283"/>
      <c r="I15" s="283"/>
      <c r="J15" s="284"/>
    </row>
    <row r="16" spans="2:13" ht="15.75" thickBot="1" x14ac:dyDescent="0.3">
      <c r="B16" s="202" t="s">
        <v>16</v>
      </c>
      <c r="C16" s="203" t="s">
        <v>1</v>
      </c>
      <c r="E16" s="290"/>
      <c r="F16" s="283"/>
      <c r="G16" s="283"/>
      <c r="H16" s="283"/>
      <c r="I16" s="283"/>
      <c r="J16" s="284"/>
      <c r="M16" s="206"/>
    </row>
    <row r="17" spans="2:11" x14ac:dyDescent="0.25">
      <c r="B17" s="293"/>
      <c r="C17" s="28"/>
      <c r="E17" s="290"/>
      <c r="F17" s="283"/>
      <c r="G17" s="283"/>
      <c r="H17" s="283"/>
      <c r="I17" s="283"/>
      <c r="J17" s="284"/>
    </row>
    <row r="18" spans="2:11" x14ac:dyDescent="0.25">
      <c r="B18" s="205"/>
      <c r="C18" s="3"/>
      <c r="E18" s="290"/>
      <c r="F18" s="283"/>
      <c r="G18" s="283"/>
      <c r="H18" s="283"/>
      <c r="I18" s="285"/>
      <c r="J18" s="284"/>
    </row>
    <row r="19" spans="2:11" x14ac:dyDescent="0.25">
      <c r="B19" s="205"/>
      <c r="C19" s="3"/>
      <c r="E19" s="290"/>
      <c r="F19" s="283"/>
      <c r="G19" s="283"/>
      <c r="H19" s="283"/>
      <c r="I19" s="283"/>
      <c r="J19" s="284"/>
    </row>
    <row r="20" spans="2:11" x14ac:dyDescent="0.25">
      <c r="B20" s="205"/>
      <c r="C20" s="3"/>
      <c r="E20" s="290"/>
      <c r="F20" s="283"/>
      <c r="G20" s="283"/>
      <c r="H20" s="283"/>
      <c r="I20" s="283"/>
      <c r="J20" s="284"/>
    </row>
    <row r="21" spans="2:11" x14ac:dyDescent="0.25">
      <c r="B21" s="205"/>
      <c r="C21" s="3"/>
      <c r="E21" s="290"/>
      <c r="F21" s="283"/>
      <c r="G21" s="283"/>
      <c r="H21" s="283"/>
      <c r="I21" s="283"/>
      <c r="J21" s="284"/>
      <c r="K21" s="275"/>
    </row>
    <row r="22" spans="2:11" x14ac:dyDescent="0.25">
      <c r="B22" s="212"/>
      <c r="C22" s="297"/>
      <c r="E22" s="290"/>
      <c r="F22" s="283"/>
      <c r="G22" s="283"/>
      <c r="H22" s="283"/>
      <c r="I22" s="283"/>
      <c r="J22" s="284"/>
      <c r="K22" s="275"/>
    </row>
    <row r="23" spans="2:11" x14ac:dyDescent="0.25">
      <c r="B23" s="205"/>
      <c r="C23" s="3"/>
      <c r="E23" s="282"/>
      <c r="F23" s="283"/>
      <c r="G23" s="283"/>
      <c r="H23" s="283"/>
      <c r="I23" s="283"/>
      <c r="J23" s="284"/>
      <c r="K23" s="275"/>
    </row>
    <row r="24" spans="2:11" x14ac:dyDescent="0.25">
      <c r="B24" s="205"/>
      <c r="C24" s="3"/>
      <c r="E24" s="282"/>
      <c r="F24" s="283"/>
      <c r="G24" s="283"/>
      <c r="H24" s="283"/>
      <c r="I24" s="283"/>
      <c r="J24" s="284"/>
      <c r="K24" s="275"/>
    </row>
    <row r="25" spans="2:11" x14ac:dyDescent="0.25">
      <c r="B25" s="212"/>
      <c r="C25" s="297"/>
      <c r="E25" s="290"/>
      <c r="F25" s="283"/>
      <c r="G25" s="283"/>
      <c r="H25" s="283"/>
      <c r="I25" s="283"/>
      <c r="J25" s="284"/>
      <c r="K25" s="275"/>
    </row>
    <row r="26" spans="2:11" x14ac:dyDescent="0.25">
      <c r="B26" s="2"/>
      <c r="C26" s="3"/>
      <c r="E26" s="282"/>
      <c r="F26" s="283"/>
      <c r="G26" s="283"/>
      <c r="H26" s="283"/>
      <c r="I26" s="283"/>
      <c r="J26" s="284"/>
      <c r="K26" s="275"/>
    </row>
    <row r="27" spans="2:11" x14ac:dyDescent="0.25">
      <c r="B27" s="201"/>
      <c r="C27" s="3"/>
      <c r="E27" s="282"/>
      <c r="F27" s="283"/>
      <c r="G27" s="283"/>
      <c r="H27" s="283"/>
      <c r="I27" s="283"/>
      <c r="J27" s="284"/>
      <c r="K27" s="275"/>
    </row>
    <row r="28" spans="2:11" x14ac:dyDescent="0.25">
      <c r="B28" s="2"/>
      <c r="C28" s="3"/>
      <c r="E28" s="282"/>
      <c r="F28" s="283"/>
      <c r="G28" s="283"/>
      <c r="H28" s="283"/>
      <c r="I28" s="283"/>
      <c r="J28" s="284"/>
      <c r="K28" s="275"/>
    </row>
    <row r="29" spans="2:11" ht="15.75" thickBot="1" x14ac:dyDescent="0.3">
      <c r="B29" s="47"/>
      <c r="C29" s="38"/>
      <c r="E29" s="282"/>
      <c r="F29" s="283"/>
      <c r="G29" s="283"/>
      <c r="H29" s="283"/>
      <c r="I29" s="283"/>
      <c r="J29" s="284"/>
      <c r="K29" s="275"/>
    </row>
    <row r="30" spans="2:11" ht="15.75" thickBot="1" x14ac:dyDescent="0.3">
      <c r="E30" s="287"/>
      <c r="F30" s="288"/>
      <c r="G30" s="288"/>
      <c r="H30" s="288"/>
      <c r="I30" s="288"/>
      <c r="J30" s="289"/>
      <c r="K30" s="275"/>
    </row>
    <row r="31" spans="2:11" x14ac:dyDescent="0.25">
      <c r="K31" s="275"/>
    </row>
    <row r="35" spans="3:18" ht="81" customHeight="1" x14ac:dyDescent="0.25"/>
    <row r="36" spans="3:18" ht="15.75" thickBot="1" x14ac:dyDescent="0.3">
      <c r="D36" s="206"/>
      <c r="E36" s="206"/>
    </row>
    <row r="37" spans="3:18" x14ac:dyDescent="0.25">
      <c r="C37" s="206"/>
      <c r="D37" s="206"/>
      <c r="E37" s="206"/>
      <c r="F37" s="206"/>
      <c r="G37" s="206"/>
      <c r="Q37" s="389" t="s">
        <v>34</v>
      </c>
      <c r="R37" s="390"/>
    </row>
    <row r="38" spans="3:18" x14ac:dyDescent="0.25">
      <c r="C38" s="206"/>
      <c r="Q38" s="40"/>
      <c r="R38" s="21" t="s">
        <v>33</v>
      </c>
    </row>
    <row r="39" spans="3:18" x14ac:dyDescent="0.25">
      <c r="E39" s="206"/>
      <c r="Q39" s="48"/>
      <c r="R39" s="21" t="s">
        <v>32</v>
      </c>
    </row>
    <row r="40" spans="3:18" ht="15.75" thickBot="1" x14ac:dyDescent="0.3">
      <c r="Q40" s="59"/>
      <c r="R40" s="22" t="s">
        <v>35</v>
      </c>
    </row>
  </sheetData>
  <mergeCells count="7">
    <mergeCell ref="B2:J2"/>
    <mergeCell ref="Q37:R37"/>
    <mergeCell ref="B4:B5"/>
    <mergeCell ref="C4:E4"/>
    <mergeCell ref="B10:B11"/>
    <mergeCell ref="C10:E10"/>
    <mergeCell ref="H4:J4"/>
  </mergeCells>
  <conditionalFormatting sqref="J6:J8">
    <cfRule type="cellIs" dxfId="5" priority="1" operator="equal">
      <formula>"No"</formula>
    </cfRule>
    <cfRule type="cellIs" dxfId="4" priority="2" operator="equal">
      <formula>"Si"</formula>
    </cfRule>
  </conditionalFormatting>
  <dataValidations count="2">
    <dataValidation type="list" allowBlank="1" showInputMessage="1" showErrorMessage="1" sqref="H4:I4" xr:uid="{E59E7F12-DDAF-43B4-94D4-175EAE641390}">
      <formula1>"Enero, Febrero, Marzo, Abril, Mayo, Junio, Julio, Agosto, Septiembre, Octubre, Noviembre, Diciembre"</formula1>
    </dataValidation>
    <dataValidation type="list" allowBlank="1" showInputMessage="1" showErrorMessage="1" sqref="J6:J8" xr:uid="{4094486B-4355-4F35-8613-3CE381FADCB6}">
      <formula1>"Si,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33AB7-159A-4387-9F6D-A10E52B4326D}">
  <sheetPr codeName="Hoja11">
    <tabColor rgb="FF00B050"/>
  </sheetPr>
  <dimension ref="B16:Q67"/>
  <sheetViews>
    <sheetView showGridLines="0" zoomScale="80" zoomScaleNormal="80" workbookViewId="0">
      <selection activeCell="P22" sqref="P22:Q27"/>
    </sheetView>
  </sheetViews>
  <sheetFormatPr baseColWidth="10" defaultColWidth="11.5703125" defaultRowHeight="15" x14ac:dyDescent="0.25"/>
  <cols>
    <col min="1" max="1" width="3.42578125" customWidth="1"/>
    <col min="2" max="2" width="12.42578125" bestFit="1" customWidth="1"/>
    <col min="3" max="4" width="13.5703125" bestFit="1" customWidth="1"/>
    <col min="5" max="6" width="13" customWidth="1"/>
    <col min="7" max="7" width="13.85546875" bestFit="1" customWidth="1"/>
    <col min="8" max="8" width="14.85546875" bestFit="1" customWidth="1"/>
    <col min="12" max="12" width="13" bestFit="1" customWidth="1"/>
    <col min="13" max="13" width="14.140625" bestFit="1" customWidth="1"/>
    <col min="30" max="30" width="9.5703125" customWidth="1"/>
  </cols>
  <sheetData>
    <row r="16" ht="15.75" thickBot="1" x14ac:dyDescent="0.3"/>
    <row r="17" spans="2:17" ht="15.75" thickBot="1" x14ac:dyDescent="0.3">
      <c r="B17" s="384" t="s">
        <v>87</v>
      </c>
      <c r="C17" s="382"/>
      <c r="D17" s="382"/>
      <c r="E17" s="382"/>
      <c r="F17" s="382"/>
      <c r="G17" s="382"/>
      <c r="H17" s="383"/>
    </row>
    <row r="18" spans="2:17" ht="15.75" thickBot="1" x14ac:dyDescent="0.3">
      <c r="B18" s="263" t="s">
        <v>21</v>
      </c>
      <c r="C18" s="264" t="s">
        <v>85</v>
      </c>
      <c r="D18" s="264" t="s">
        <v>86</v>
      </c>
      <c r="E18" s="265" t="s">
        <v>88</v>
      </c>
      <c r="F18" s="265" t="s">
        <v>89</v>
      </c>
      <c r="G18" s="266" t="s">
        <v>37</v>
      </c>
      <c r="H18" s="266" t="s">
        <v>38</v>
      </c>
    </row>
    <row r="19" spans="2:17" x14ac:dyDescent="0.25">
      <c r="B19" s="333"/>
      <c r="C19" s="19"/>
      <c r="D19" s="19"/>
      <c r="E19" s="19"/>
      <c r="F19" s="19"/>
      <c r="G19" s="268"/>
      <c r="H19" s="91"/>
    </row>
    <row r="20" spans="2:17" x14ac:dyDescent="0.25">
      <c r="B20" s="342">
        <v>45962</v>
      </c>
      <c r="C20" s="339">
        <v>2115325</v>
      </c>
      <c r="D20" s="339">
        <f>C20-(C20*0.17)</f>
        <v>1755719.75</v>
      </c>
      <c r="E20" s="339">
        <f>C20/1435</f>
        <v>1474.0940766550523</v>
      </c>
      <c r="F20" s="339">
        <f>E20-(E20*0.17)</f>
        <v>1223.4980836236934</v>
      </c>
      <c r="G20" s="270">
        <f>-100%+C20/C21</f>
        <v>0</v>
      </c>
      <c r="H20" s="271">
        <f>-100%+E20/E21</f>
        <v>3.8327526132404088E-2</v>
      </c>
      <c r="O20" s="341"/>
    </row>
    <row r="21" spans="2:17" ht="15.75" thickBot="1" x14ac:dyDescent="0.3">
      <c r="B21" s="342">
        <v>45931</v>
      </c>
      <c r="C21" s="339">
        <v>2115325</v>
      </c>
      <c r="D21" s="339">
        <f t="shared" ref="D21" si="0">C21-(C21*0.17)</f>
        <v>1755719.75</v>
      </c>
      <c r="E21" s="339">
        <f>C21/1490</f>
        <v>1419.6812080536913</v>
      </c>
      <c r="F21" s="339">
        <f t="shared" ref="F21" si="1">E21-(E21*0.17)</f>
        <v>1178.3354026845639</v>
      </c>
      <c r="G21" s="270">
        <f>-100%+C21/C22</f>
        <v>0</v>
      </c>
      <c r="H21" s="271">
        <f t="shared" ref="H21" si="2">-100%+E21/E22</f>
        <v>-2.684563758389269E-2</v>
      </c>
      <c r="N21" s="338"/>
    </row>
    <row r="22" spans="2:17" ht="15.75" thickBot="1" x14ac:dyDescent="0.3">
      <c r="B22" s="342">
        <v>45901</v>
      </c>
      <c r="C22" s="339">
        <v>2115325</v>
      </c>
      <c r="D22" s="339">
        <f t="shared" ref="D22" si="3">C22-(C22*0.17)</f>
        <v>1755719.75</v>
      </c>
      <c r="E22" s="339">
        <f>C22/1450</f>
        <v>1458.844827586207</v>
      </c>
      <c r="F22" s="339">
        <f t="shared" ref="F22:F27" si="4">E22-(E22*0.17)</f>
        <v>1210.8412068965517</v>
      </c>
      <c r="G22" s="270">
        <f t="shared" ref="G22" si="5">-100%+C22/C23</f>
        <v>7.9999591552279981E-2</v>
      </c>
      <c r="H22" s="271">
        <f t="shared" ref="H22:H27" si="6">-100%+E22/E23</f>
        <v>2.7861680235963027E-2</v>
      </c>
      <c r="P22" s="343">
        <v>1603.192982</v>
      </c>
      <c r="Q22" s="343">
        <v>1330.650175</v>
      </c>
    </row>
    <row r="23" spans="2:17" ht="15.75" thickBot="1" x14ac:dyDescent="0.3">
      <c r="B23" s="342">
        <v>45870</v>
      </c>
      <c r="C23" s="339">
        <v>1958635</v>
      </c>
      <c r="D23" s="339">
        <f t="shared" ref="D23:D28" si="7">C23-(C23*0.17)</f>
        <v>1625667.05</v>
      </c>
      <c r="E23" s="339">
        <f>C23/1380</f>
        <v>1419.3007246376812</v>
      </c>
      <c r="F23" s="339">
        <f t="shared" si="4"/>
        <v>1178.0196014492753</v>
      </c>
      <c r="G23" s="270">
        <f t="shared" ref="G23" si="8">-100%+C23/C24</f>
        <v>0</v>
      </c>
      <c r="H23" s="271">
        <f t="shared" si="6"/>
        <v>-3.2608695652173947E-2</v>
      </c>
      <c r="P23" s="343">
        <v>1614.522968</v>
      </c>
      <c r="Q23" s="343">
        <v>1340.0540639999999</v>
      </c>
    </row>
    <row r="24" spans="2:17" ht="15.75" thickBot="1" x14ac:dyDescent="0.3">
      <c r="B24" s="342">
        <v>45839</v>
      </c>
      <c r="C24" s="339">
        <v>1958635</v>
      </c>
      <c r="D24" s="339">
        <f t="shared" si="7"/>
        <v>1625667.05</v>
      </c>
      <c r="E24" s="339">
        <f>C24/1335</f>
        <v>1467.1423220973784</v>
      </c>
      <c r="F24" s="339">
        <f t="shared" si="4"/>
        <v>1217.7281273408241</v>
      </c>
      <c r="G24" s="270">
        <f t="shared" ref="G24:G29" si="9">-100%+C24/C25</f>
        <v>0</v>
      </c>
      <c r="H24" s="271">
        <f t="shared" si="6"/>
        <v>-0.101123595505618</v>
      </c>
      <c r="P24" s="343">
        <v>1614.522968</v>
      </c>
      <c r="Q24" s="343">
        <v>1340.0540639999999</v>
      </c>
    </row>
    <row r="25" spans="2:17" ht="15.75" thickBot="1" x14ac:dyDescent="0.3">
      <c r="B25" s="342">
        <v>45809</v>
      </c>
      <c r="C25" s="339">
        <v>1958635</v>
      </c>
      <c r="D25" s="339">
        <f t="shared" si="7"/>
        <v>1625667.05</v>
      </c>
      <c r="E25" s="339">
        <f>C25/1200</f>
        <v>1632.1958333333334</v>
      </c>
      <c r="F25" s="339">
        <f t="shared" si="4"/>
        <v>1354.7225416666668</v>
      </c>
      <c r="G25" s="270">
        <f t="shared" si="9"/>
        <v>0</v>
      </c>
      <c r="H25" s="271">
        <f t="shared" si="6"/>
        <v>-2.4999999999999911E-2</v>
      </c>
      <c r="P25" s="343">
        <v>1554.115646</v>
      </c>
      <c r="Q25" s="343">
        <v>1289.915986</v>
      </c>
    </row>
    <row r="26" spans="2:17" ht="15.75" thickBot="1" x14ac:dyDescent="0.3">
      <c r="B26" s="342">
        <v>45778</v>
      </c>
      <c r="C26" s="339">
        <v>1958635</v>
      </c>
      <c r="D26" s="339">
        <f t="shared" si="7"/>
        <v>1625667.05</v>
      </c>
      <c r="E26" s="339">
        <f>C26/1170</f>
        <v>1674.0470085470085</v>
      </c>
      <c r="F26" s="339">
        <f t="shared" si="4"/>
        <v>1389.4590170940171</v>
      </c>
      <c r="G26" s="270">
        <f t="shared" si="9"/>
        <v>0.1100006517297758</v>
      </c>
      <c r="H26" s="271">
        <f t="shared" si="6"/>
        <v>0.27128279770760644</v>
      </c>
      <c r="N26" s="342">
        <v>46174</v>
      </c>
      <c r="P26" s="343">
        <v>1528.12709</v>
      </c>
      <c r="Q26" s="343">
        <v>1268.3454850000001</v>
      </c>
    </row>
    <row r="27" spans="2:17" ht="15.75" thickBot="1" x14ac:dyDescent="0.3">
      <c r="B27" s="342">
        <v>45748</v>
      </c>
      <c r="C27" s="339">
        <v>1764535</v>
      </c>
      <c r="D27" s="339">
        <f t="shared" si="7"/>
        <v>1464564.05</v>
      </c>
      <c r="E27" s="339">
        <f>C27/1340</f>
        <v>1316.8171641791046</v>
      </c>
      <c r="F27" s="339">
        <f t="shared" si="4"/>
        <v>1092.9582462686567</v>
      </c>
      <c r="G27" s="270">
        <f t="shared" si="9"/>
        <v>0</v>
      </c>
      <c r="H27" s="271">
        <f t="shared" si="6"/>
        <v>-1.8656716417910335E-2</v>
      </c>
      <c r="P27" s="343">
        <v>1484.438596</v>
      </c>
      <c r="Q27" s="343">
        <v>1232.0840350000001</v>
      </c>
    </row>
    <row r="28" spans="2:17" x14ac:dyDescent="0.25">
      <c r="B28" s="342">
        <v>45717</v>
      </c>
      <c r="C28" s="339">
        <v>1764535</v>
      </c>
      <c r="D28" s="339">
        <f t="shared" si="7"/>
        <v>1464564.05</v>
      </c>
      <c r="E28" s="339">
        <f>C28/1315</f>
        <v>1341.8517110266159</v>
      </c>
      <c r="F28" s="339">
        <f t="shared" ref="F28:F33" si="10">E28-(E28*0.17)</f>
        <v>1113.7369201520912</v>
      </c>
      <c r="G28" s="270">
        <f t="shared" si="9"/>
        <v>0</v>
      </c>
      <c r="H28" s="271">
        <f t="shared" ref="H28:H33" si="11">-100%+E28/E29</f>
        <v>-6.4638783269961975E-2</v>
      </c>
    </row>
    <row r="29" spans="2:17" x14ac:dyDescent="0.25">
      <c r="B29" s="342">
        <v>45689</v>
      </c>
      <c r="C29" s="339">
        <v>1764535</v>
      </c>
      <c r="D29" s="339">
        <f t="shared" ref="D29:D34" si="12">C29-(C29*0.17)</f>
        <v>1464564.05</v>
      </c>
      <c r="E29" s="339">
        <f>C29/1230</f>
        <v>1434.5813008130081</v>
      </c>
      <c r="F29" s="339">
        <f t="shared" si="10"/>
        <v>1190.7024796747967</v>
      </c>
      <c r="G29" s="270">
        <f t="shared" si="9"/>
        <v>0</v>
      </c>
      <c r="H29" s="271">
        <f t="shared" si="11"/>
        <v>-8.1300813008130524E-3</v>
      </c>
    </row>
    <row r="30" spans="2:17" x14ac:dyDescent="0.25">
      <c r="B30" s="342">
        <v>45658</v>
      </c>
      <c r="C30" s="340">
        <v>1764535</v>
      </c>
      <c r="D30" s="340">
        <f t="shared" si="12"/>
        <v>1464564.05</v>
      </c>
      <c r="E30" s="340">
        <f>C30/1220</f>
        <v>1446.3401639344263</v>
      </c>
      <c r="F30" s="340">
        <f t="shared" si="10"/>
        <v>1200.4623360655737</v>
      </c>
      <c r="G30" s="267">
        <f t="shared" ref="G30:G64" si="13">-100%+C30/C31</f>
        <v>6.0002330817492178E-2</v>
      </c>
      <c r="H30" s="90">
        <f t="shared" si="11"/>
        <v>6.8690874512717492E-2</v>
      </c>
      <c r="L30" s="206"/>
    </row>
    <row r="31" spans="2:17" x14ac:dyDescent="0.25">
      <c r="B31" s="342">
        <v>45627</v>
      </c>
      <c r="C31" s="340">
        <v>1664652</v>
      </c>
      <c r="D31" s="340">
        <f t="shared" si="12"/>
        <v>1381661.16</v>
      </c>
      <c r="E31" s="340">
        <f>C31/1230</f>
        <v>1353.3756097560977</v>
      </c>
      <c r="F31" s="340">
        <f t="shared" si="10"/>
        <v>1123.3017560975611</v>
      </c>
      <c r="G31" s="267">
        <f t="shared" si="13"/>
        <v>0</v>
      </c>
      <c r="H31" s="90">
        <f t="shared" si="11"/>
        <v>-9.3495934959349491E-2</v>
      </c>
    </row>
    <row r="32" spans="2:17" x14ac:dyDescent="0.25">
      <c r="B32" s="342">
        <v>45597</v>
      </c>
      <c r="C32" s="340">
        <v>1664652</v>
      </c>
      <c r="D32" s="340">
        <f t="shared" si="12"/>
        <v>1381661.16</v>
      </c>
      <c r="E32" s="340">
        <f>C32/1115</f>
        <v>1492.9614349775784</v>
      </c>
      <c r="F32" s="340">
        <f t="shared" si="10"/>
        <v>1239.1579910313901</v>
      </c>
      <c r="G32" s="267">
        <f t="shared" si="13"/>
        <v>0</v>
      </c>
      <c r="H32" s="90">
        <f t="shared" si="11"/>
        <v>4.0358744394618951E-2</v>
      </c>
    </row>
    <row r="33" spans="2:13" x14ac:dyDescent="0.25">
      <c r="B33" s="342">
        <v>45566</v>
      </c>
      <c r="C33" s="340">
        <v>1664652</v>
      </c>
      <c r="D33" s="340">
        <f t="shared" si="12"/>
        <v>1381661.16</v>
      </c>
      <c r="E33" s="340">
        <f>C33/1160</f>
        <v>1435.0448275862068</v>
      </c>
      <c r="F33" s="340">
        <f t="shared" si="10"/>
        <v>1191.0872068965516</v>
      </c>
      <c r="G33" s="267">
        <f t="shared" si="13"/>
        <v>0.10000000000000009</v>
      </c>
      <c r="H33" s="90">
        <f t="shared" si="11"/>
        <v>0.17112068965517224</v>
      </c>
    </row>
    <row r="34" spans="2:13" x14ac:dyDescent="0.25">
      <c r="B34" s="342">
        <v>45536</v>
      </c>
      <c r="C34" s="340">
        <v>1513320</v>
      </c>
      <c r="D34" s="340">
        <f t="shared" si="12"/>
        <v>1256055.6000000001</v>
      </c>
      <c r="E34" s="340">
        <f>C34/1235</f>
        <v>1225.3603238866397</v>
      </c>
      <c r="F34" s="340">
        <f t="shared" ref="F34:F39" si="14">E34-(E34*0.17)</f>
        <v>1017.0490688259109</v>
      </c>
      <c r="G34" s="267">
        <f t="shared" si="13"/>
        <v>0</v>
      </c>
      <c r="H34" s="90">
        <f t="shared" ref="H34:H39" si="15">-100%+E34/E35</f>
        <v>6.0728744939271273E-2</v>
      </c>
    </row>
    <row r="35" spans="2:13" x14ac:dyDescent="0.25">
      <c r="B35" s="342">
        <v>45505</v>
      </c>
      <c r="C35" s="340">
        <v>1513320</v>
      </c>
      <c r="D35" s="340">
        <f t="shared" ref="D35:D40" si="16">C35-(C35*0.17)</f>
        <v>1256055.6000000001</v>
      </c>
      <c r="E35" s="340">
        <f>C35/1310</f>
        <v>1155.206106870229</v>
      </c>
      <c r="F35" s="340">
        <f t="shared" si="14"/>
        <v>958.82106870228995</v>
      </c>
      <c r="G35" s="267">
        <f t="shared" si="13"/>
        <v>0</v>
      </c>
      <c r="H35" s="90">
        <f t="shared" si="15"/>
        <v>5.3435114503816772E-2</v>
      </c>
    </row>
    <row r="36" spans="2:13" x14ac:dyDescent="0.25">
      <c r="B36" s="342">
        <v>45474</v>
      </c>
      <c r="C36" s="340">
        <v>1513320</v>
      </c>
      <c r="D36" s="340">
        <f t="shared" si="16"/>
        <v>1256055.6000000001</v>
      </c>
      <c r="E36" s="340">
        <f>C36/1380</f>
        <v>1096.608695652174</v>
      </c>
      <c r="F36" s="340">
        <f t="shared" si="14"/>
        <v>910.18521739130438</v>
      </c>
      <c r="G36" s="267">
        <f t="shared" si="13"/>
        <v>0.19999999999999996</v>
      </c>
      <c r="H36" s="90">
        <f t="shared" si="15"/>
        <v>0.20869565217391317</v>
      </c>
    </row>
    <row r="37" spans="2:13" x14ac:dyDescent="0.25">
      <c r="B37" s="342">
        <v>45444</v>
      </c>
      <c r="C37" s="340">
        <v>1261100</v>
      </c>
      <c r="D37" s="340">
        <f t="shared" si="16"/>
        <v>1046713</v>
      </c>
      <c r="E37" s="340">
        <f>C37/1390</f>
        <v>907.26618705035969</v>
      </c>
      <c r="F37" s="340">
        <f t="shared" si="14"/>
        <v>753.0309352517985</v>
      </c>
      <c r="G37" s="267">
        <f t="shared" si="13"/>
        <v>0</v>
      </c>
      <c r="H37" s="90">
        <f t="shared" si="15"/>
        <v>-8.9928057553956942E-2</v>
      </c>
    </row>
    <row r="38" spans="2:13" x14ac:dyDescent="0.25">
      <c r="B38" s="342">
        <v>45413</v>
      </c>
      <c r="C38" s="340">
        <v>1261100</v>
      </c>
      <c r="D38" s="340">
        <f t="shared" si="16"/>
        <v>1046713</v>
      </c>
      <c r="E38" s="340">
        <f>C38/1265</f>
        <v>996.91699604743087</v>
      </c>
      <c r="F38" s="340">
        <f t="shared" si="14"/>
        <v>827.44110671936755</v>
      </c>
      <c r="G38" s="267">
        <f t="shared" si="13"/>
        <v>0</v>
      </c>
      <c r="H38" s="90">
        <f t="shared" si="15"/>
        <v>-0.17786561264822132</v>
      </c>
    </row>
    <row r="39" spans="2:13" x14ac:dyDescent="0.25">
      <c r="B39" s="342">
        <v>45383</v>
      </c>
      <c r="C39" s="340">
        <v>1261100</v>
      </c>
      <c r="D39" s="340">
        <f t="shared" si="16"/>
        <v>1046713</v>
      </c>
      <c r="E39" s="340">
        <f>C39/1040</f>
        <v>1212.5961538461538</v>
      </c>
      <c r="F39" s="340">
        <f t="shared" si="14"/>
        <v>1006.4548076923077</v>
      </c>
      <c r="G39" s="267">
        <f t="shared" si="13"/>
        <v>0.39999955594336511</v>
      </c>
      <c r="H39" s="90">
        <f t="shared" si="15"/>
        <v>0.35961495336807547</v>
      </c>
      <c r="M39" s="206"/>
    </row>
    <row r="40" spans="2:13" x14ac:dyDescent="0.25">
      <c r="B40" s="342">
        <v>45352</v>
      </c>
      <c r="C40" s="340">
        <v>900786</v>
      </c>
      <c r="D40" s="340">
        <f t="shared" si="16"/>
        <v>747652.38</v>
      </c>
      <c r="E40" s="340">
        <f>C40/1010</f>
        <v>891.86732673267329</v>
      </c>
      <c r="F40" s="340">
        <f t="shared" ref="F40:F45" si="17">E40-(E40*0.17)</f>
        <v>740.24988118811882</v>
      </c>
      <c r="G40" s="267">
        <f t="shared" si="13"/>
        <v>0</v>
      </c>
      <c r="H40" s="90">
        <f t="shared" ref="H40:H45" si="18">-100%+E40/E41</f>
        <v>1.980198019801982E-2</v>
      </c>
    </row>
    <row r="41" spans="2:13" x14ac:dyDescent="0.25">
      <c r="B41" s="342">
        <v>45323</v>
      </c>
      <c r="C41" s="340">
        <v>900786</v>
      </c>
      <c r="D41" s="340">
        <f t="shared" ref="D41:D46" si="19">C41-(C41*0.17)</f>
        <v>747652.38</v>
      </c>
      <c r="E41" s="340">
        <f>C41/1030</f>
        <v>874.54951456310675</v>
      </c>
      <c r="F41" s="340">
        <f t="shared" si="17"/>
        <v>725.87609708737864</v>
      </c>
      <c r="G41" s="267">
        <f t="shared" si="13"/>
        <v>0</v>
      </c>
      <c r="H41" s="90">
        <f t="shared" si="18"/>
        <v>0.16019417475728148</v>
      </c>
    </row>
    <row r="42" spans="2:13" x14ac:dyDescent="0.25">
      <c r="B42" s="342">
        <v>45292</v>
      </c>
      <c r="C42" s="340">
        <v>900786</v>
      </c>
      <c r="D42" s="340">
        <f t="shared" si="19"/>
        <v>747652.38</v>
      </c>
      <c r="E42" s="340">
        <f>C42/1195</f>
        <v>753.79581589958161</v>
      </c>
      <c r="F42" s="340">
        <f t="shared" si="17"/>
        <v>625.65052719665277</v>
      </c>
      <c r="G42" s="267">
        <f t="shared" si="13"/>
        <v>0.55000602254151243</v>
      </c>
      <c r="H42" s="90">
        <f t="shared" si="18"/>
        <v>0.3035615503382596</v>
      </c>
    </row>
    <row r="43" spans="2:13" x14ac:dyDescent="0.25">
      <c r="B43" s="342">
        <v>45261</v>
      </c>
      <c r="C43" s="340">
        <v>581150</v>
      </c>
      <c r="D43" s="340">
        <f t="shared" si="19"/>
        <v>482354.5</v>
      </c>
      <c r="E43" s="340">
        <f>C43/1005</f>
        <v>578.25870646766168</v>
      </c>
      <c r="F43" s="340">
        <f t="shared" si="17"/>
        <v>479.95472636815919</v>
      </c>
      <c r="G43" s="267">
        <f t="shared" si="13"/>
        <v>0</v>
      </c>
      <c r="H43" s="90">
        <f t="shared" si="18"/>
        <v>-6.4676616915422813E-2</v>
      </c>
    </row>
    <row r="44" spans="2:13" x14ac:dyDescent="0.25">
      <c r="B44" s="342">
        <v>45231</v>
      </c>
      <c r="C44" s="340">
        <v>581150</v>
      </c>
      <c r="D44" s="340">
        <f t="shared" si="19"/>
        <v>482354.5</v>
      </c>
      <c r="E44" s="340">
        <f>C44/940</f>
        <v>618.24468085106378</v>
      </c>
      <c r="F44" s="340">
        <f t="shared" si="17"/>
        <v>513.14308510638296</v>
      </c>
      <c r="G44" s="267">
        <f t="shared" si="13"/>
        <v>0</v>
      </c>
      <c r="H44" s="90">
        <f t="shared" si="18"/>
        <v>-5.319148936170226E-2</v>
      </c>
    </row>
    <row r="45" spans="2:13" x14ac:dyDescent="0.25">
      <c r="B45" s="342">
        <v>45200</v>
      </c>
      <c r="C45" s="340">
        <v>581150</v>
      </c>
      <c r="D45" s="340">
        <f t="shared" si="19"/>
        <v>482354.5</v>
      </c>
      <c r="E45" s="340">
        <f>C45/890</f>
        <v>652.97752808988764</v>
      </c>
      <c r="F45" s="340">
        <f t="shared" si="17"/>
        <v>541.97134831460676</v>
      </c>
      <c r="G45" s="267">
        <f t="shared" si="13"/>
        <v>0.89001089484039864</v>
      </c>
      <c r="H45" s="90">
        <f t="shared" si="18"/>
        <v>0.69888619760934723</v>
      </c>
    </row>
    <row r="46" spans="2:13" x14ac:dyDescent="0.25">
      <c r="B46" s="342">
        <v>45170</v>
      </c>
      <c r="C46" s="340">
        <v>307485</v>
      </c>
      <c r="D46" s="340">
        <f t="shared" si="19"/>
        <v>255212.55</v>
      </c>
      <c r="E46" s="340">
        <f>C46/800</f>
        <v>384.35624999999999</v>
      </c>
      <c r="F46" s="340">
        <f>D46/800</f>
        <v>319.01568750000001</v>
      </c>
      <c r="G46" s="267">
        <f t="shared" si="13"/>
        <v>0</v>
      </c>
      <c r="H46" s="90">
        <f t="shared" ref="H46:H65" si="20">-100%+E46/E47</f>
        <v>-8.7500000000000022E-2</v>
      </c>
    </row>
    <row r="47" spans="2:13" x14ac:dyDescent="0.25">
      <c r="B47" s="342">
        <v>45139</v>
      </c>
      <c r="C47" s="340">
        <v>307485</v>
      </c>
      <c r="D47" s="340">
        <f t="shared" ref="D47:D66" si="21">C47-(C47*0.17)</f>
        <v>255212.55</v>
      </c>
      <c r="E47" s="340">
        <f>C47/730</f>
        <v>421.21232876712327</v>
      </c>
      <c r="F47" s="340">
        <f>D47/730</f>
        <v>349.60623287671234</v>
      </c>
      <c r="G47" s="267">
        <f t="shared" si="13"/>
        <v>0</v>
      </c>
      <c r="H47" s="90">
        <f t="shared" si="20"/>
        <v>-0.23287671232876717</v>
      </c>
    </row>
    <row r="48" spans="2:13" x14ac:dyDescent="0.25">
      <c r="B48" s="342">
        <v>45108</v>
      </c>
      <c r="C48" s="340">
        <v>307485</v>
      </c>
      <c r="D48" s="340">
        <f t="shared" si="21"/>
        <v>255212.55</v>
      </c>
      <c r="E48" s="340">
        <f>C48/560</f>
        <v>549.08035714285711</v>
      </c>
      <c r="F48" s="340">
        <f>D48/560</f>
        <v>455.73669642857141</v>
      </c>
      <c r="G48" s="267">
        <f t="shared" si="13"/>
        <v>0.24000887204097276</v>
      </c>
      <c r="H48" s="90">
        <f t="shared" si="20"/>
        <v>9.6079270821931129E-2</v>
      </c>
    </row>
    <row r="49" spans="2:13" x14ac:dyDescent="0.25">
      <c r="B49" s="342">
        <v>45078</v>
      </c>
      <c r="C49" s="340">
        <v>247970</v>
      </c>
      <c r="D49" s="340">
        <f t="shared" si="21"/>
        <v>205815.1</v>
      </c>
      <c r="E49" s="340">
        <f>C49/495</f>
        <v>500.94949494949498</v>
      </c>
      <c r="F49" s="340">
        <f>D49/495</f>
        <v>415.78808080808079</v>
      </c>
      <c r="G49" s="267">
        <f t="shared" si="13"/>
        <v>0</v>
      </c>
      <c r="H49" s="90">
        <f t="shared" si="20"/>
        <v>-1.0101010101010055E-2</v>
      </c>
    </row>
    <row r="50" spans="2:13" x14ac:dyDescent="0.25">
      <c r="B50" s="342">
        <v>45047</v>
      </c>
      <c r="C50" s="340">
        <v>247970</v>
      </c>
      <c r="D50" s="340">
        <f t="shared" si="21"/>
        <v>205815.1</v>
      </c>
      <c r="E50" s="340">
        <f>C50/490</f>
        <v>506.0612244897959</v>
      </c>
      <c r="F50" s="340">
        <f>D50/490</f>
        <v>420.03081632653061</v>
      </c>
      <c r="G50" s="267">
        <f t="shared" si="13"/>
        <v>0</v>
      </c>
      <c r="H50" s="90">
        <f t="shared" si="20"/>
        <v>-4.2857142857142816E-2</v>
      </c>
    </row>
    <row r="51" spans="2:13" x14ac:dyDescent="0.25">
      <c r="B51" s="342">
        <v>45017</v>
      </c>
      <c r="C51" s="340">
        <v>247970</v>
      </c>
      <c r="D51" s="340">
        <f t="shared" si="21"/>
        <v>205815.1</v>
      </c>
      <c r="E51" s="340">
        <f>C51/469</f>
        <v>528.72068230277182</v>
      </c>
      <c r="F51" s="340">
        <f>D51/469</f>
        <v>438.83816631130065</v>
      </c>
      <c r="G51" s="267">
        <f t="shared" si="13"/>
        <v>0.20000967866821528</v>
      </c>
      <c r="H51" s="90">
        <f t="shared" si="20"/>
        <v>1.0669132353827271E-2</v>
      </c>
    </row>
    <row r="52" spans="2:13" x14ac:dyDescent="0.25">
      <c r="B52" s="342">
        <v>44986</v>
      </c>
      <c r="C52" s="340">
        <v>206640</v>
      </c>
      <c r="D52" s="340">
        <f t="shared" si="21"/>
        <v>171511.2</v>
      </c>
      <c r="E52" s="340">
        <f>C52/395</f>
        <v>523.13924050632909</v>
      </c>
      <c r="F52" s="340">
        <f>D52/395</f>
        <v>434.20556962025319</v>
      </c>
      <c r="G52" s="267">
        <f t="shared" si="13"/>
        <v>0</v>
      </c>
      <c r="H52" s="90">
        <f t="shared" si="20"/>
        <v>-5.0632911392405E-2</v>
      </c>
      <c r="M52" s="8"/>
    </row>
    <row r="53" spans="2:13" x14ac:dyDescent="0.25">
      <c r="B53" s="342">
        <v>44958</v>
      </c>
      <c r="C53" s="340">
        <v>206640</v>
      </c>
      <c r="D53" s="340">
        <f t="shared" si="21"/>
        <v>171511.2</v>
      </c>
      <c r="E53" s="340">
        <f>C53/375</f>
        <v>551.04</v>
      </c>
      <c r="F53" s="340">
        <f>D53/375</f>
        <v>457.36320000000001</v>
      </c>
      <c r="G53" s="267">
        <f t="shared" si="13"/>
        <v>0</v>
      </c>
      <c r="H53" s="90">
        <f t="shared" si="20"/>
        <v>1.5999999999999792E-2</v>
      </c>
    </row>
    <row r="54" spans="2:13" x14ac:dyDescent="0.25">
      <c r="B54" s="342">
        <v>44927</v>
      </c>
      <c r="C54" s="340">
        <v>206640</v>
      </c>
      <c r="D54" s="340">
        <f t="shared" si="21"/>
        <v>171511.2</v>
      </c>
      <c r="E54" s="340">
        <f>C54/381</f>
        <v>542.36220472440948</v>
      </c>
      <c r="F54" s="340">
        <f>D54/381</f>
        <v>450.1606299212599</v>
      </c>
      <c r="G54" s="267">
        <f t="shared" si="13"/>
        <v>0.19999999999999996</v>
      </c>
      <c r="H54" s="90">
        <f t="shared" si="20"/>
        <v>8.9763779527559207E-2</v>
      </c>
    </row>
    <row r="55" spans="2:13" x14ac:dyDescent="0.25">
      <c r="B55" s="342">
        <v>44896</v>
      </c>
      <c r="C55" s="340">
        <v>172200</v>
      </c>
      <c r="D55" s="340">
        <f t="shared" si="21"/>
        <v>142926</v>
      </c>
      <c r="E55" s="340">
        <f>C55/346</f>
        <v>497.6878612716763</v>
      </c>
      <c r="F55" s="340">
        <f>D55/346</f>
        <v>413.08092485549133</v>
      </c>
      <c r="G55" s="267">
        <f t="shared" si="13"/>
        <v>0</v>
      </c>
      <c r="H55" s="90">
        <f t="shared" si="20"/>
        <v>-9.5375722543352581E-2</v>
      </c>
    </row>
    <row r="56" spans="2:13" x14ac:dyDescent="0.25">
      <c r="B56" s="342">
        <v>44866</v>
      </c>
      <c r="C56" s="340">
        <v>172200</v>
      </c>
      <c r="D56" s="340">
        <f t="shared" si="21"/>
        <v>142926</v>
      </c>
      <c r="E56" s="340">
        <f>C56/313</f>
        <v>550.1597444089457</v>
      </c>
      <c r="F56" s="340">
        <f>D56/313</f>
        <v>456.63258785942492</v>
      </c>
      <c r="G56" s="267">
        <f t="shared" si="13"/>
        <v>0</v>
      </c>
      <c r="H56" s="90">
        <f t="shared" si="20"/>
        <v>-7.348242811501593E-2</v>
      </c>
    </row>
    <row r="57" spans="2:13" x14ac:dyDescent="0.25">
      <c r="B57" s="342">
        <v>44835</v>
      </c>
      <c r="C57" s="340">
        <v>172200</v>
      </c>
      <c r="D57" s="340">
        <f t="shared" si="21"/>
        <v>142926</v>
      </c>
      <c r="E57" s="340">
        <f>C57/290</f>
        <v>593.79310344827582</v>
      </c>
      <c r="F57" s="340">
        <f>D57/290</f>
        <v>492.84827586206899</v>
      </c>
      <c r="G57" s="267">
        <f t="shared" si="13"/>
        <v>0.79824561403508776</v>
      </c>
      <c r="H57" s="90">
        <f t="shared" si="20"/>
        <v>0.76104053236539593</v>
      </c>
    </row>
    <row r="58" spans="2:13" x14ac:dyDescent="0.25">
      <c r="B58" s="342">
        <v>44805</v>
      </c>
      <c r="C58" s="340">
        <v>95760</v>
      </c>
      <c r="D58" s="340">
        <f t="shared" si="21"/>
        <v>79480.800000000003</v>
      </c>
      <c r="E58" s="340">
        <f>C58/284</f>
        <v>337.18309859154931</v>
      </c>
      <c r="F58" s="340">
        <f>D58/284</f>
        <v>279.86197183098591</v>
      </c>
      <c r="G58" s="267">
        <f t="shared" si="13"/>
        <v>0</v>
      </c>
      <c r="H58" s="90">
        <f t="shared" si="20"/>
        <v>3.5211267605634866E-3</v>
      </c>
    </row>
    <row r="59" spans="2:13" x14ac:dyDescent="0.25">
      <c r="B59" s="342">
        <v>44774</v>
      </c>
      <c r="C59" s="340">
        <v>95760</v>
      </c>
      <c r="D59" s="340">
        <f t="shared" si="21"/>
        <v>79480.800000000003</v>
      </c>
      <c r="E59" s="340">
        <f>C59/285</f>
        <v>336</v>
      </c>
      <c r="F59" s="340">
        <f>D59/285</f>
        <v>278.88</v>
      </c>
      <c r="G59" s="267">
        <f t="shared" si="13"/>
        <v>0</v>
      </c>
      <c r="H59" s="90">
        <f t="shared" si="20"/>
        <v>-1.0526315789473717E-2</v>
      </c>
    </row>
    <row r="60" spans="2:13" x14ac:dyDescent="0.25">
      <c r="B60" s="342">
        <v>44743</v>
      </c>
      <c r="C60" s="340">
        <v>95760</v>
      </c>
      <c r="D60" s="340">
        <f t="shared" si="21"/>
        <v>79480.800000000003</v>
      </c>
      <c r="E60" s="340">
        <f>C60/282</f>
        <v>339.57446808510639</v>
      </c>
      <c r="F60" s="340">
        <f>D60/282</f>
        <v>281.84680851063831</v>
      </c>
      <c r="G60" s="267">
        <f t="shared" si="13"/>
        <v>0.19999999999999996</v>
      </c>
      <c r="H60" s="90">
        <f t="shared" si="20"/>
        <v>1.7021276595744705E-2</v>
      </c>
      <c r="L60" s="8"/>
    </row>
    <row r="61" spans="2:13" x14ac:dyDescent="0.25">
      <c r="B61" s="342">
        <v>44713</v>
      </c>
      <c r="C61" s="340">
        <v>79800</v>
      </c>
      <c r="D61" s="340">
        <f t="shared" si="21"/>
        <v>66234</v>
      </c>
      <c r="E61" s="340">
        <f>C61/239</f>
        <v>333.89121338912133</v>
      </c>
      <c r="F61" s="340">
        <f>D61/239</f>
        <v>277.12970711297072</v>
      </c>
      <c r="G61" s="267">
        <f t="shared" si="13"/>
        <v>0</v>
      </c>
      <c r="H61" s="90">
        <f t="shared" si="20"/>
        <v>-0.13807531380753135</v>
      </c>
    </row>
    <row r="62" spans="2:13" x14ac:dyDescent="0.25">
      <c r="B62" s="342">
        <v>44682</v>
      </c>
      <c r="C62" s="340">
        <v>79800</v>
      </c>
      <c r="D62" s="340">
        <f t="shared" si="21"/>
        <v>66234</v>
      </c>
      <c r="E62" s="340">
        <f>C62/206</f>
        <v>387.378640776699</v>
      </c>
      <c r="F62" s="340">
        <f>D62/206</f>
        <v>321.52427184466018</v>
      </c>
      <c r="G62" s="267">
        <f t="shared" si="13"/>
        <v>0</v>
      </c>
      <c r="H62" s="90">
        <f t="shared" si="20"/>
        <v>-2.4271844660194164E-2</v>
      </c>
    </row>
    <row r="63" spans="2:13" x14ac:dyDescent="0.25">
      <c r="B63" s="342">
        <v>44652</v>
      </c>
      <c r="C63" s="340">
        <v>79800</v>
      </c>
      <c r="D63" s="340">
        <f t="shared" si="21"/>
        <v>66234</v>
      </c>
      <c r="E63" s="340">
        <f>C63/201</f>
        <v>397.0149253731343</v>
      </c>
      <c r="F63" s="340">
        <f>D63/201</f>
        <v>329.52238805970148</v>
      </c>
      <c r="G63" s="267">
        <f t="shared" si="13"/>
        <v>0.1399999999999999</v>
      </c>
      <c r="H63" s="90">
        <f t="shared" si="20"/>
        <v>0.13432835820895517</v>
      </c>
    </row>
    <row r="64" spans="2:13" x14ac:dyDescent="0.25">
      <c r="B64" s="342">
        <v>44621</v>
      </c>
      <c r="C64" s="340">
        <v>70000</v>
      </c>
      <c r="D64" s="340">
        <f t="shared" si="21"/>
        <v>58100</v>
      </c>
      <c r="E64" s="340">
        <f>C64/200</f>
        <v>350</v>
      </c>
      <c r="F64" s="340">
        <f>D64/200</f>
        <v>290.5</v>
      </c>
      <c r="G64" s="267">
        <f t="shared" si="13"/>
        <v>0</v>
      </c>
      <c r="H64" s="90">
        <f t="shared" si="20"/>
        <v>3.0000000000000027E-2</v>
      </c>
      <c r="K64" s="8"/>
    </row>
    <row r="65" spans="2:8" x14ac:dyDescent="0.25">
      <c r="B65" s="342">
        <v>44593</v>
      </c>
      <c r="C65" s="340">
        <v>70000</v>
      </c>
      <c r="D65" s="340">
        <f t="shared" si="21"/>
        <v>58100</v>
      </c>
      <c r="E65" s="340">
        <f>C65/206</f>
        <v>339.80582524271847</v>
      </c>
      <c r="F65" s="340">
        <f>D65/206</f>
        <v>282.03883495145629</v>
      </c>
      <c r="G65" s="267">
        <f>-100%+C65/C66</f>
        <v>0.4285714285714286</v>
      </c>
      <c r="H65" s="90">
        <f t="shared" si="20"/>
        <v>0.48404993065187263</v>
      </c>
    </row>
    <row r="66" spans="2:8" x14ac:dyDescent="0.25">
      <c r="B66" s="342">
        <v>44562</v>
      </c>
      <c r="C66" s="340">
        <v>49000</v>
      </c>
      <c r="D66" s="340">
        <f t="shared" si="21"/>
        <v>40670</v>
      </c>
      <c r="E66" s="340">
        <f>C66/214</f>
        <v>228.97196261682242</v>
      </c>
      <c r="F66" s="340">
        <f>D66/214</f>
        <v>190.04672897196261</v>
      </c>
      <c r="G66" s="267" t="s">
        <v>39</v>
      </c>
      <c r="H66" s="90" t="s">
        <v>39</v>
      </c>
    </row>
    <row r="67" spans="2:8" ht="3.75" customHeight="1" thickBot="1" x14ac:dyDescent="0.3">
      <c r="B67" s="47"/>
      <c r="C67" s="88"/>
      <c r="D67" s="88"/>
      <c r="E67" s="88"/>
      <c r="F67" s="88"/>
      <c r="G67" s="269"/>
      <c r="H67" s="92"/>
    </row>
  </sheetData>
  <mergeCells count="1">
    <mergeCell ref="B17:H17"/>
  </mergeCells>
  <phoneticPr fontId="2" type="noConversion"/>
  <conditionalFormatting sqref="G19:H67">
    <cfRule type="containsBlanks" dxfId="3" priority="1">
      <formula>LEN(TRIM(G19))=0</formula>
    </cfRule>
    <cfRule type="cellIs" dxfId="2" priority="2" operator="equal">
      <formula>0</formula>
    </cfRule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B3843-8E93-426C-98B9-6E6D7252EBE9}">
  <sheetPr codeName="Hoja4"/>
  <dimension ref="A1:B426"/>
  <sheetViews>
    <sheetView topLeftCell="A40" workbookViewId="0">
      <selection activeCell="B239" sqref="B239"/>
    </sheetView>
  </sheetViews>
  <sheetFormatPr baseColWidth="10" defaultRowHeight="15" x14ac:dyDescent="0.25"/>
  <cols>
    <col min="1" max="1" width="24.140625" bestFit="1" customWidth="1"/>
    <col min="2" max="2" width="14.140625" bestFit="1" customWidth="1"/>
  </cols>
  <sheetData>
    <row r="1" spans="1:2" x14ac:dyDescent="0.25">
      <c r="A1" t="s">
        <v>287</v>
      </c>
      <c r="B1" t="s">
        <v>288</v>
      </c>
    </row>
    <row r="2" spans="1:2" x14ac:dyDescent="0.25">
      <c r="A2" t="s">
        <v>335</v>
      </c>
      <c r="B2" t="s">
        <v>634</v>
      </c>
    </row>
    <row r="3" spans="1:2" x14ac:dyDescent="0.25">
      <c r="A3" t="s">
        <v>336</v>
      </c>
      <c r="B3" t="s">
        <v>635</v>
      </c>
    </row>
    <row r="4" spans="1:2" x14ac:dyDescent="0.25">
      <c r="A4" t="s">
        <v>337</v>
      </c>
      <c r="B4" t="s">
        <v>636</v>
      </c>
    </row>
    <row r="5" spans="1:2" x14ac:dyDescent="0.25">
      <c r="A5" t="s">
        <v>173</v>
      </c>
      <c r="B5" t="s">
        <v>637</v>
      </c>
    </row>
    <row r="6" spans="1:2" x14ac:dyDescent="0.25">
      <c r="A6" t="s">
        <v>338</v>
      </c>
      <c r="B6" t="s">
        <v>638</v>
      </c>
    </row>
    <row r="7" spans="1:2" x14ac:dyDescent="0.25">
      <c r="A7" t="s">
        <v>339</v>
      </c>
      <c r="B7" t="s">
        <v>639</v>
      </c>
    </row>
    <row r="8" spans="1:2" x14ac:dyDescent="0.25">
      <c r="A8" t="s">
        <v>340</v>
      </c>
      <c r="B8" t="s">
        <v>640</v>
      </c>
    </row>
    <row r="9" spans="1:2" x14ac:dyDescent="0.25">
      <c r="A9" t="s">
        <v>341</v>
      </c>
      <c r="B9" t="s">
        <v>641</v>
      </c>
    </row>
    <row r="10" spans="1:2" x14ac:dyDescent="0.25">
      <c r="A10" t="s">
        <v>342</v>
      </c>
      <c r="B10" t="s">
        <v>642</v>
      </c>
    </row>
    <row r="11" spans="1:2" x14ac:dyDescent="0.25">
      <c r="A11" t="s">
        <v>343</v>
      </c>
      <c r="B11" t="s">
        <v>643</v>
      </c>
    </row>
    <row r="12" spans="1:2" x14ac:dyDescent="0.25">
      <c r="A12" t="s">
        <v>344</v>
      </c>
      <c r="B12" t="s">
        <v>644</v>
      </c>
    </row>
    <row r="13" spans="1:2" x14ac:dyDescent="0.25">
      <c r="A13" t="s">
        <v>345</v>
      </c>
      <c r="B13" t="s">
        <v>645</v>
      </c>
    </row>
    <row r="14" spans="1:2" x14ac:dyDescent="0.25">
      <c r="A14" t="s">
        <v>346</v>
      </c>
      <c r="B14" t="s">
        <v>646</v>
      </c>
    </row>
    <row r="15" spans="1:2" x14ac:dyDescent="0.25">
      <c r="A15" t="s">
        <v>647</v>
      </c>
      <c r="B15" t="s">
        <v>648</v>
      </c>
    </row>
    <row r="16" spans="1:2" x14ac:dyDescent="0.25">
      <c r="A16" t="s">
        <v>649</v>
      </c>
      <c r="B16" t="s">
        <v>650</v>
      </c>
    </row>
    <row r="17" spans="1:2" x14ac:dyDescent="0.25">
      <c r="A17" t="s">
        <v>651</v>
      </c>
      <c r="B17" t="s">
        <v>652</v>
      </c>
    </row>
    <row r="18" spans="1:2" x14ac:dyDescent="0.25">
      <c r="A18" t="s">
        <v>347</v>
      </c>
      <c r="B18" t="s">
        <v>653</v>
      </c>
    </row>
    <row r="19" spans="1:2" x14ac:dyDescent="0.25">
      <c r="A19" t="s">
        <v>654</v>
      </c>
      <c r="B19" t="s">
        <v>655</v>
      </c>
    </row>
    <row r="20" spans="1:2" x14ac:dyDescent="0.25">
      <c r="A20" t="s">
        <v>348</v>
      </c>
      <c r="B20" t="s">
        <v>656</v>
      </c>
    </row>
    <row r="21" spans="1:2" x14ac:dyDescent="0.25">
      <c r="A21" t="s">
        <v>349</v>
      </c>
      <c r="B21" t="s">
        <v>657</v>
      </c>
    </row>
    <row r="22" spans="1:2" x14ac:dyDescent="0.25">
      <c r="A22" t="s">
        <v>350</v>
      </c>
      <c r="B22" t="s">
        <v>658</v>
      </c>
    </row>
    <row r="23" spans="1:2" x14ac:dyDescent="0.25">
      <c r="A23" t="s">
        <v>351</v>
      </c>
      <c r="B23" t="s">
        <v>659</v>
      </c>
    </row>
    <row r="24" spans="1:2" x14ac:dyDescent="0.25">
      <c r="A24" t="s">
        <v>352</v>
      </c>
      <c r="B24" t="s">
        <v>660</v>
      </c>
    </row>
    <row r="25" spans="1:2" x14ac:dyDescent="0.25">
      <c r="A25" t="s">
        <v>661</v>
      </c>
      <c r="B25" t="s">
        <v>662</v>
      </c>
    </row>
    <row r="26" spans="1:2" x14ac:dyDescent="0.25">
      <c r="A26" t="s">
        <v>552</v>
      </c>
      <c r="B26" t="s">
        <v>663</v>
      </c>
    </row>
    <row r="27" spans="1:2" x14ac:dyDescent="0.25">
      <c r="A27" t="s">
        <v>353</v>
      </c>
      <c r="B27" t="s">
        <v>664</v>
      </c>
    </row>
    <row r="28" spans="1:2" x14ac:dyDescent="0.25">
      <c r="A28" t="s">
        <v>665</v>
      </c>
      <c r="B28" t="s">
        <v>666</v>
      </c>
    </row>
    <row r="29" spans="1:2" x14ac:dyDescent="0.25">
      <c r="A29" t="s">
        <v>354</v>
      </c>
      <c r="B29" t="s">
        <v>667</v>
      </c>
    </row>
    <row r="30" spans="1:2" x14ac:dyDescent="0.25">
      <c r="A30" t="s">
        <v>355</v>
      </c>
      <c r="B30" t="s">
        <v>668</v>
      </c>
    </row>
    <row r="31" spans="1:2" x14ac:dyDescent="0.25">
      <c r="A31" t="s">
        <v>356</v>
      </c>
      <c r="B31" t="s">
        <v>669</v>
      </c>
    </row>
    <row r="32" spans="1:2" x14ac:dyDescent="0.25">
      <c r="A32" t="s">
        <v>670</v>
      </c>
      <c r="B32" t="s">
        <v>671</v>
      </c>
    </row>
    <row r="33" spans="1:2" x14ac:dyDescent="0.25">
      <c r="A33" t="s">
        <v>672</v>
      </c>
      <c r="B33" t="s">
        <v>673</v>
      </c>
    </row>
    <row r="34" spans="1:2" x14ac:dyDescent="0.25">
      <c r="A34" t="s">
        <v>357</v>
      </c>
      <c r="B34" t="s">
        <v>674</v>
      </c>
    </row>
    <row r="35" spans="1:2" x14ac:dyDescent="0.25">
      <c r="A35" t="s">
        <v>675</v>
      </c>
      <c r="B35" t="s">
        <v>676</v>
      </c>
    </row>
    <row r="36" spans="1:2" x14ac:dyDescent="0.25">
      <c r="A36" t="s">
        <v>358</v>
      </c>
      <c r="B36" t="s">
        <v>677</v>
      </c>
    </row>
    <row r="37" spans="1:2" x14ac:dyDescent="0.25">
      <c r="A37" t="s">
        <v>359</v>
      </c>
      <c r="B37" t="s">
        <v>678</v>
      </c>
    </row>
    <row r="38" spans="1:2" x14ac:dyDescent="0.25">
      <c r="A38" t="s">
        <v>679</v>
      </c>
      <c r="B38" t="s">
        <v>680</v>
      </c>
    </row>
    <row r="39" spans="1:2" x14ac:dyDescent="0.25">
      <c r="A39" t="s">
        <v>360</v>
      </c>
      <c r="B39" t="s">
        <v>681</v>
      </c>
    </row>
    <row r="40" spans="1:2" x14ac:dyDescent="0.25">
      <c r="A40" t="s">
        <v>361</v>
      </c>
      <c r="B40" t="s">
        <v>682</v>
      </c>
    </row>
    <row r="41" spans="1:2" x14ac:dyDescent="0.25">
      <c r="A41" t="s">
        <v>362</v>
      </c>
      <c r="B41" t="s">
        <v>683</v>
      </c>
    </row>
    <row r="42" spans="1:2" x14ac:dyDescent="0.25">
      <c r="A42" t="s">
        <v>363</v>
      </c>
      <c r="B42" t="s">
        <v>684</v>
      </c>
    </row>
    <row r="43" spans="1:2" x14ac:dyDescent="0.25">
      <c r="A43" t="s">
        <v>364</v>
      </c>
      <c r="B43" t="s">
        <v>685</v>
      </c>
    </row>
    <row r="44" spans="1:2" x14ac:dyDescent="0.25">
      <c r="A44" t="s">
        <v>686</v>
      </c>
      <c r="B44" t="s">
        <v>687</v>
      </c>
    </row>
    <row r="45" spans="1:2" x14ac:dyDescent="0.25">
      <c r="A45" t="s">
        <v>365</v>
      </c>
      <c r="B45" t="s">
        <v>688</v>
      </c>
    </row>
    <row r="46" spans="1:2" x14ac:dyDescent="0.25">
      <c r="A46" t="s">
        <v>689</v>
      </c>
      <c r="B46" t="s">
        <v>690</v>
      </c>
    </row>
    <row r="47" spans="1:2" x14ac:dyDescent="0.25">
      <c r="A47" t="s">
        <v>366</v>
      </c>
      <c r="B47" t="s">
        <v>691</v>
      </c>
    </row>
    <row r="48" spans="1:2" x14ac:dyDescent="0.25">
      <c r="A48" t="s">
        <v>367</v>
      </c>
      <c r="B48" t="s">
        <v>692</v>
      </c>
    </row>
    <row r="49" spans="1:2" x14ac:dyDescent="0.25">
      <c r="A49" t="s">
        <v>368</v>
      </c>
      <c r="B49" t="s">
        <v>693</v>
      </c>
    </row>
    <row r="50" spans="1:2" x14ac:dyDescent="0.25">
      <c r="A50" t="s">
        <v>694</v>
      </c>
      <c r="B50" t="s">
        <v>695</v>
      </c>
    </row>
    <row r="51" spans="1:2" x14ac:dyDescent="0.25">
      <c r="A51" t="s">
        <v>369</v>
      </c>
      <c r="B51" t="s">
        <v>696</v>
      </c>
    </row>
    <row r="52" spans="1:2" x14ac:dyDescent="0.25">
      <c r="A52" t="s">
        <v>697</v>
      </c>
      <c r="B52" t="s">
        <v>698</v>
      </c>
    </row>
    <row r="53" spans="1:2" x14ac:dyDescent="0.25">
      <c r="A53" t="s">
        <v>699</v>
      </c>
      <c r="B53" t="s">
        <v>700</v>
      </c>
    </row>
    <row r="54" spans="1:2" x14ac:dyDescent="0.25">
      <c r="A54" t="s">
        <v>701</v>
      </c>
      <c r="B54" t="s">
        <v>681</v>
      </c>
    </row>
    <row r="55" spans="1:2" x14ac:dyDescent="0.25">
      <c r="A55" t="s">
        <v>702</v>
      </c>
      <c r="B55" t="s">
        <v>703</v>
      </c>
    </row>
    <row r="56" spans="1:2" x14ac:dyDescent="0.25">
      <c r="A56" t="s">
        <v>704</v>
      </c>
      <c r="B56" t="s">
        <v>705</v>
      </c>
    </row>
    <row r="57" spans="1:2" x14ac:dyDescent="0.25">
      <c r="A57" t="s">
        <v>370</v>
      </c>
      <c r="B57" t="s">
        <v>706</v>
      </c>
    </row>
    <row r="58" spans="1:2" x14ac:dyDescent="0.25">
      <c r="A58" t="s">
        <v>707</v>
      </c>
      <c r="B58" t="s">
        <v>708</v>
      </c>
    </row>
    <row r="59" spans="1:2" x14ac:dyDescent="0.25">
      <c r="A59" t="s">
        <v>371</v>
      </c>
      <c r="B59" t="s">
        <v>709</v>
      </c>
    </row>
    <row r="60" spans="1:2" x14ac:dyDescent="0.25">
      <c r="A60" t="s">
        <v>172</v>
      </c>
      <c r="B60" t="s">
        <v>710</v>
      </c>
    </row>
    <row r="61" spans="1:2" x14ac:dyDescent="0.25">
      <c r="A61" t="s">
        <v>591</v>
      </c>
      <c r="B61" t="s">
        <v>711</v>
      </c>
    </row>
    <row r="62" spans="1:2" x14ac:dyDescent="0.25">
      <c r="A62" t="s">
        <v>712</v>
      </c>
      <c r="B62" t="s">
        <v>713</v>
      </c>
    </row>
    <row r="63" spans="1:2" x14ac:dyDescent="0.25">
      <c r="A63" t="s">
        <v>714</v>
      </c>
      <c r="B63" t="s">
        <v>715</v>
      </c>
    </row>
    <row r="64" spans="1:2" x14ac:dyDescent="0.25">
      <c r="A64" t="s">
        <v>716</v>
      </c>
      <c r="B64" t="s">
        <v>717</v>
      </c>
    </row>
    <row r="65" spans="1:2" x14ac:dyDescent="0.25">
      <c r="A65" t="s">
        <v>718</v>
      </c>
      <c r="B65" t="s">
        <v>719</v>
      </c>
    </row>
    <row r="66" spans="1:2" x14ac:dyDescent="0.25">
      <c r="A66" t="s">
        <v>720</v>
      </c>
      <c r="B66" t="s">
        <v>721</v>
      </c>
    </row>
    <row r="67" spans="1:2" x14ac:dyDescent="0.25">
      <c r="A67" t="s">
        <v>722</v>
      </c>
      <c r="B67" t="s">
        <v>723</v>
      </c>
    </row>
    <row r="68" spans="1:2" x14ac:dyDescent="0.25">
      <c r="A68" t="s">
        <v>724</v>
      </c>
      <c r="B68" t="s">
        <v>725</v>
      </c>
    </row>
    <row r="69" spans="1:2" x14ac:dyDescent="0.25">
      <c r="A69" t="s">
        <v>726</v>
      </c>
      <c r="B69" t="s">
        <v>727</v>
      </c>
    </row>
    <row r="70" spans="1:2" x14ac:dyDescent="0.25">
      <c r="A70" t="s">
        <v>728</v>
      </c>
      <c r="B70" t="s">
        <v>729</v>
      </c>
    </row>
    <row r="71" spans="1:2" x14ac:dyDescent="0.25">
      <c r="A71" t="s">
        <v>372</v>
      </c>
      <c r="B71" t="s">
        <v>730</v>
      </c>
    </row>
    <row r="72" spans="1:2" x14ac:dyDescent="0.25">
      <c r="A72" t="s">
        <v>731</v>
      </c>
      <c r="B72" t="s">
        <v>732</v>
      </c>
    </row>
    <row r="73" spans="1:2" x14ac:dyDescent="0.25">
      <c r="A73" t="s">
        <v>373</v>
      </c>
      <c r="B73" t="s">
        <v>733</v>
      </c>
    </row>
    <row r="74" spans="1:2" x14ac:dyDescent="0.25">
      <c r="A74" t="s">
        <v>592</v>
      </c>
      <c r="B74" t="s">
        <v>734</v>
      </c>
    </row>
    <row r="75" spans="1:2" x14ac:dyDescent="0.25">
      <c r="A75" t="s">
        <v>735</v>
      </c>
      <c r="B75" t="s">
        <v>736</v>
      </c>
    </row>
    <row r="76" spans="1:2" x14ac:dyDescent="0.25">
      <c r="A76" t="s">
        <v>737</v>
      </c>
      <c r="B76" t="s">
        <v>738</v>
      </c>
    </row>
    <row r="77" spans="1:2" x14ac:dyDescent="0.25">
      <c r="A77" t="s">
        <v>739</v>
      </c>
      <c r="B77" t="s">
        <v>740</v>
      </c>
    </row>
    <row r="78" spans="1:2" x14ac:dyDescent="0.25">
      <c r="A78" t="s">
        <v>374</v>
      </c>
      <c r="B78" t="s">
        <v>741</v>
      </c>
    </row>
    <row r="79" spans="1:2" x14ac:dyDescent="0.25">
      <c r="A79" t="s">
        <v>742</v>
      </c>
      <c r="B79" t="s">
        <v>743</v>
      </c>
    </row>
    <row r="80" spans="1:2" x14ac:dyDescent="0.25">
      <c r="A80" t="s">
        <v>744</v>
      </c>
      <c r="B80" t="s">
        <v>745</v>
      </c>
    </row>
    <row r="81" spans="1:2" x14ac:dyDescent="0.25">
      <c r="A81" t="s">
        <v>375</v>
      </c>
      <c r="B81" t="s">
        <v>746</v>
      </c>
    </row>
    <row r="82" spans="1:2" x14ac:dyDescent="0.25">
      <c r="A82" t="s">
        <v>747</v>
      </c>
      <c r="B82" t="s">
        <v>748</v>
      </c>
    </row>
    <row r="83" spans="1:2" x14ac:dyDescent="0.25">
      <c r="A83" t="s">
        <v>376</v>
      </c>
      <c r="B83" t="s">
        <v>749</v>
      </c>
    </row>
    <row r="84" spans="1:2" x14ac:dyDescent="0.25">
      <c r="A84" t="s">
        <v>750</v>
      </c>
      <c r="B84" t="s">
        <v>751</v>
      </c>
    </row>
    <row r="85" spans="1:2" x14ac:dyDescent="0.25">
      <c r="A85" t="s">
        <v>377</v>
      </c>
      <c r="B85" t="s">
        <v>752</v>
      </c>
    </row>
    <row r="86" spans="1:2" x14ac:dyDescent="0.25">
      <c r="A86" t="s">
        <v>753</v>
      </c>
      <c r="B86" t="s">
        <v>754</v>
      </c>
    </row>
    <row r="87" spans="1:2" x14ac:dyDescent="0.25">
      <c r="A87" t="s">
        <v>378</v>
      </c>
      <c r="B87" t="s">
        <v>755</v>
      </c>
    </row>
    <row r="88" spans="1:2" x14ac:dyDescent="0.25">
      <c r="A88" t="s">
        <v>756</v>
      </c>
      <c r="B88" t="s">
        <v>757</v>
      </c>
    </row>
    <row r="89" spans="1:2" x14ac:dyDescent="0.25">
      <c r="A89" t="s">
        <v>379</v>
      </c>
      <c r="B89" t="s">
        <v>758</v>
      </c>
    </row>
    <row r="90" spans="1:2" x14ac:dyDescent="0.25">
      <c r="A90" t="s">
        <v>759</v>
      </c>
      <c r="B90" t="s">
        <v>760</v>
      </c>
    </row>
    <row r="91" spans="1:2" x14ac:dyDescent="0.25">
      <c r="A91" t="s">
        <v>380</v>
      </c>
      <c r="B91" t="s">
        <v>761</v>
      </c>
    </row>
    <row r="92" spans="1:2" x14ac:dyDescent="0.25">
      <c r="A92" t="s">
        <v>381</v>
      </c>
      <c r="B92" t="s">
        <v>762</v>
      </c>
    </row>
    <row r="93" spans="1:2" x14ac:dyDescent="0.25">
      <c r="A93" t="s">
        <v>763</v>
      </c>
      <c r="B93" t="s">
        <v>764</v>
      </c>
    </row>
    <row r="94" spans="1:2" x14ac:dyDescent="0.25">
      <c r="A94" t="s">
        <v>765</v>
      </c>
      <c r="B94" t="s">
        <v>766</v>
      </c>
    </row>
    <row r="95" spans="1:2" x14ac:dyDescent="0.25">
      <c r="A95" t="s">
        <v>767</v>
      </c>
      <c r="B95" t="s">
        <v>768</v>
      </c>
    </row>
    <row r="96" spans="1:2" x14ac:dyDescent="0.25">
      <c r="A96" t="s">
        <v>382</v>
      </c>
      <c r="B96" t="s">
        <v>769</v>
      </c>
    </row>
    <row r="97" spans="1:2" x14ac:dyDescent="0.25">
      <c r="A97" t="s">
        <v>770</v>
      </c>
      <c r="B97" t="s">
        <v>771</v>
      </c>
    </row>
    <row r="98" spans="1:2" x14ac:dyDescent="0.25">
      <c r="A98" t="s">
        <v>772</v>
      </c>
      <c r="B98" t="s">
        <v>773</v>
      </c>
    </row>
    <row r="99" spans="1:2" x14ac:dyDescent="0.25">
      <c r="A99" t="s">
        <v>774</v>
      </c>
      <c r="B99" t="s">
        <v>775</v>
      </c>
    </row>
    <row r="100" spans="1:2" x14ac:dyDescent="0.25">
      <c r="A100" t="s">
        <v>776</v>
      </c>
      <c r="B100" t="s">
        <v>777</v>
      </c>
    </row>
    <row r="101" spans="1:2" x14ac:dyDescent="0.25">
      <c r="A101" t="s">
        <v>778</v>
      </c>
      <c r="B101" t="s">
        <v>779</v>
      </c>
    </row>
    <row r="102" spans="1:2" x14ac:dyDescent="0.25">
      <c r="A102" t="s">
        <v>383</v>
      </c>
      <c r="B102" t="s">
        <v>780</v>
      </c>
    </row>
    <row r="103" spans="1:2" x14ac:dyDescent="0.25">
      <c r="A103" t="s">
        <v>384</v>
      </c>
      <c r="B103" t="s">
        <v>781</v>
      </c>
    </row>
    <row r="104" spans="1:2" x14ac:dyDescent="0.25">
      <c r="A104" t="s">
        <v>385</v>
      </c>
      <c r="B104" t="s">
        <v>603</v>
      </c>
    </row>
    <row r="105" spans="1:2" x14ac:dyDescent="0.25">
      <c r="A105" t="s">
        <v>386</v>
      </c>
      <c r="B105" t="s">
        <v>782</v>
      </c>
    </row>
    <row r="106" spans="1:2" x14ac:dyDescent="0.25">
      <c r="A106" t="s">
        <v>387</v>
      </c>
      <c r="B106" t="s">
        <v>783</v>
      </c>
    </row>
    <row r="107" spans="1:2" x14ac:dyDescent="0.25">
      <c r="A107" t="s">
        <v>784</v>
      </c>
      <c r="B107" t="s">
        <v>785</v>
      </c>
    </row>
    <row r="108" spans="1:2" x14ac:dyDescent="0.25">
      <c r="A108" t="s">
        <v>786</v>
      </c>
      <c r="B108" t="s">
        <v>787</v>
      </c>
    </row>
    <row r="109" spans="1:2" x14ac:dyDescent="0.25">
      <c r="A109" t="s">
        <v>788</v>
      </c>
      <c r="B109" t="s">
        <v>789</v>
      </c>
    </row>
    <row r="110" spans="1:2" x14ac:dyDescent="0.25">
      <c r="A110" t="s">
        <v>388</v>
      </c>
      <c r="B110" t="s">
        <v>790</v>
      </c>
    </row>
    <row r="111" spans="1:2" x14ac:dyDescent="0.25">
      <c r="A111" t="s">
        <v>389</v>
      </c>
      <c r="B111" t="s">
        <v>791</v>
      </c>
    </row>
    <row r="112" spans="1:2" x14ac:dyDescent="0.25">
      <c r="A112" t="s">
        <v>390</v>
      </c>
      <c r="B112" t="s">
        <v>792</v>
      </c>
    </row>
    <row r="113" spans="1:2" x14ac:dyDescent="0.25">
      <c r="A113" t="s">
        <v>793</v>
      </c>
      <c r="B113" t="s">
        <v>794</v>
      </c>
    </row>
    <row r="114" spans="1:2" x14ac:dyDescent="0.25">
      <c r="A114" t="s">
        <v>795</v>
      </c>
      <c r="B114" t="s">
        <v>796</v>
      </c>
    </row>
    <row r="115" spans="1:2" x14ac:dyDescent="0.25">
      <c r="A115" t="s">
        <v>797</v>
      </c>
      <c r="B115" t="s">
        <v>798</v>
      </c>
    </row>
    <row r="116" spans="1:2" x14ac:dyDescent="0.25">
      <c r="A116" t="s">
        <v>391</v>
      </c>
      <c r="B116" t="s">
        <v>799</v>
      </c>
    </row>
    <row r="117" spans="1:2" x14ac:dyDescent="0.25">
      <c r="A117" t="s">
        <v>800</v>
      </c>
      <c r="B117" t="s">
        <v>801</v>
      </c>
    </row>
    <row r="118" spans="1:2" x14ac:dyDescent="0.25">
      <c r="A118" t="s">
        <v>392</v>
      </c>
      <c r="B118" t="s">
        <v>802</v>
      </c>
    </row>
    <row r="119" spans="1:2" x14ac:dyDescent="0.25">
      <c r="A119" t="s">
        <v>393</v>
      </c>
      <c r="B119" t="s">
        <v>803</v>
      </c>
    </row>
    <row r="120" spans="1:2" x14ac:dyDescent="0.25">
      <c r="A120" t="s">
        <v>95</v>
      </c>
      <c r="B120" t="s">
        <v>804</v>
      </c>
    </row>
    <row r="121" spans="1:2" x14ac:dyDescent="0.25">
      <c r="A121" t="s">
        <v>394</v>
      </c>
      <c r="B121" t="s">
        <v>805</v>
      </c>
    </row>
    <row r="122" spans="1:2" x14ac:dyDescent="0.25">
      <c r="A122" t="s">
        <v>395</v>
      </c>
      <c r="B122" t="s">
        <v>806</v>
      </c>
    </row>
    <row r="123" spans="1:2" x14ac:dyDescent="0.25">
      <c r="A123" t="s">
        <v>807</v>
      </c>
      <c r="B123" t="s">
        <v>808</v>
      </c>
    </row>
    <row r="124" spans="1:2" x14ac:dyDescent="0.25">
      <c r="A124" t="s">
        <v>809</v>
      </c>
      <c r="B124" t="s">
        <v>810</v>
      </c>
    </row>
    <row r="125" spans="1:2" x14ac:dyDescent="0.25">
      <c r="A125" t="s">
        <v>811</v>
      </c>
      <c r="B125" t="s">
        <v>812</v>
      </c>
    </row>
    <row r="126" spans="1:2" x14ac:dyDescent="0.25">
      <c r="A126" t="s">
        <v>813</v>
      </c>
      <c r="B126" t="s">
        <v>814</v>
      </c>
    </row>
    <row r="127" spans="1:2" x14ac:dyDescent="0.25">
      <c r="A127" t="s">
        <v>396</v>
      </c>
      <c r="B127" t="s">
        <v>815</v>
      </c>
    </row>
    <row r="128" spans="1:2" x14ac:dyDescent="0.25">
      <c r="A128" t="s">
        <v>397</v>
      </c>
      <c r="B128" t="s">
        <v>816</v>
      </c>
    </row>
    <row r="129" spans="1:2" x14ac:dyDescent="0.25">
      <c r="A129" t="s">
        <v>398</v>
      </c>
      <c r="B129" t="s">
        <v>817</v>
      </c>
    </row>
    <row r="130" spans="1:2" x14ac:dyDescent="0.25">
      <c r="A130" t="s">
        <v>399</v>
      </c>
      <c r="B130" t="s">
        <v>818</v>
      </c>
    </row>
    <row r="131" spans="1:2" x14ac:dyDescent="0.25">
      <c r="A131" t="s">
        <v>819</v>
      </c>
      <c r="B131" t="s">
        <v>820</v>
      </c>
    </row>
    <row r="132" spans="1:2" x14ac:dyDescent="0.25">
      <c r="A132" t="s">
        <v>821</v>
      </c>
      <c r="B132" t="s">
        <v>822</v>
      </c>
    </row>
    <row r="133" spans="1:2" x14ac:dyDescent="0.25">
      <c r="A133" t="s">
        <v>823</v>
      </c>
      <c r="B133" t="s">
        <v>824</v>
      </c>
    </row>
    <row r="134" spans="1:2" x14ac:dyDescent="0.25">
      <c r="A134" t="s">
        <v>825</v>
      </c>
      <c r="B134" t="s">
        <v>826</v>
      </c>
    </row>
    <row r="135" spans="1:2" x14ac:dyDescent="0.25">
      <c r="A135" t="s">
        <v>827</v>
      </c>
      <c r="B135" t="s">
        <v>828</v>
      </c>
    </row>
    <row r="136" spans="1:2" x14ac:dyDescent="0.25">
      <c r="A136" t="s">
        <v>400</v>
      </c>
      <c r="B136" t="s">
        <v>829</v>
      </c>
    </row>
    <row r="137" spans="1:2" x14ac:dyDescent="0.25">
      <c r="A137" t="s">
        <v>401</v>
      </c>
      <c r="B137" t="s">
        <v>830</v>
      </c>
    </row>
    <row r="138" spans="1:2" x14ac:dyDescent="0.25">
      <c r="A138" t="s">
        <v>402</v>
      </c>
      <c r="B138" t="s">
        <v>831</v>
      </c>
    </row>
    <row r="139" spans="1:2" x14ac:dyDescent="0.25">
      <c r="A139" t="s">
        <v>832</v>
      </c>
      <c r="B139" t="s">
        <v>833</v>
      </c>
    </row>
    <row r="140" spans="1:2" x14ac:dyDescent="0.25">
      <c r="A140" t="s">
        <v>403</v>
      </c>
      <c r="B140" t="s">
        <v>834</v>
      </c>
    </row>
    <row r="141" spans="1:2" x14ac:dyDescent="0.25">
      <c r="A141" t="s">
        <v>170</v>
      </c>
      <c r="B141" t="s">
        <v>835</v>
      </c>
    </row>
    <row r="142" spans="1:2" x14ac:dyDescent="0.25">
      <c r="A142" t="s">
        <v>404</v>
      </c>
      <c r="B142" t="s">
        <v>836</v>
      </c>
    </row>
    <row r="143" spans="1:2" x14ac:dyDescent="0.25">
      <c r="A143" t="s">
        <v>837</v>
      </c>
      <c r="B143" t="s">
        <v>838</v>
      </c>
    </row>
    <row r="144" spans="1:2" x14ac:dyDescent="0.25">
      <c r="A144" t="s">
        <v>405</v>
      </c>
      <c r="B144" t="s">
        <v>839</v>
      </c>
    </row>
    <row r="145" spans="1:2" x14ac:dyDescent="0.25">
      <c r="A145" t="s">
        <v>840</v>
      </c>
      <c r="B145" t="s">
        <v>841</v>
      </c>
    </row>
    <row r="146" spans="1:2" x14ac:dyDescent="0.25">
      <c r="A146" t="s">
        <v>842</v>
      </c>
      <c r="B146" t="s">
        <v>843</v>
      </c>
    </row>
    <row r="147" spans="1:2" x14ac:dyDescent="0.25">
      <c r="A147" t="s">
        <v>844</v>
      </c>
      <c r="B147" t="s">
        <v>845</v>
      </c>
    </row>
    <row r="148" spans="1:2" x14ac:dyDescent="0.25">
      <c r="A148" t="s">
        <v>406</v>
      </c>
      <c r="B148" t="s">
        <v>846</v>
      </c>
    </row>
    <row r="149" spans="1:2" x14ac:dyDescent="0.25">
      <c r="A149" t="s">
        <v>847</v>
      </c>
      <c r="B149" t="s">
        <v>848</v>
      </c>
    </row>
    <row r="150" spans="1:2" x14ac:dyDescent="0.25">
      <c r="A150" t="s">
        <v>849</v>
      </c>
      <c r="B150" t="s">
        <v>850</v>
      </c>
    </row>
    <row r="151" spans="1:2" x14ac:dyDescent="0.25">
      <c r="A151" t="s">
        <v>407</v>
      </c>
      <c r="B151" t="s">
        <v>851</v>
      </c>
    </row>
    <row r="152" spans="1:2" x14ac:dyDescent="0.25">
      <c r="A152" t="s">
        <v>852</v>
      </c>
      <c r="B152" t="s">
        <v>853</v>
      </c>
    </row>
    <row r="153" spans="1:2" x14ac:dyDescent="0.25">
      <c r="A153" t="s">
        <v>854</v>
      </c>
      <c r="B153" t="s">
        <v>855</v>
      </c>
    </row>
    <row r="154" spans="1:2" x14ac:dyDescent="0.25">
      <c r="A154" t="s">
        <v>408</v>
      </c>
      <c r="B154" t="s">
        <v>856</v>
      </c>
    </row>
    <row r="155" spans="1:2" x14ac:dyDescent="0.25">
      <c r="A155" t="s">
        <v>857</v>
      </c>
      <c r="B155" t="s">
        <v>858</v>
      </c>
    </row>
    <row r="156" spans="1:2" x14ac:dyDescent="0.25">
      <c r="A156" t="s">
        <v>859</v>
      </c>
      <c r="B156" t="s">
        <v>860</v>
      </c>
    </row>
    <row r="157" spans="1:2" x14ac:dyDescent="0.25">
      <c r="A157" t="s">
        <v>409</v>
      </c>
      <c r="B157" t="s">
        <v>861</v>
      </c>
    </row>
    <row r="158" spans="1:2" x14ac:dyDescent="0.25">
      <c r="A158" t="s">
        <v>410</v>
      </c>
      <c r="B158" t="s">
        <v>611</v>
      </c>
    </row>
    <row r="159" spans="1:2" x14ac:dyDescent="0.25">
      <c r="A159" t="s">
        <v>411</v>
      </c>
      <c r="B159" t="s">
        <v>862</v>
      </c>
    </row>
    <row r="160" spans="1:2" x14ac:dyDescent="0.25">
      <c r="A160" t="s">
        <v>863</v>
      </c>
      <c r="B160" t="s">
        <v>864</v>
      </c>
    </row>
    <row r="161" spans="1:2" x14ac:dyDescent="0.25">
      <c r="A161" t="s">
        <v>412</v>
      </c>
      <c r="B161" t="s">
        <v>865</v>
      </c>
    </row>
    <row r="162" spans="1:2" x14ac:dyDescent="0.25">
      <c r="A162" t="s">
        <v>866</v>
      </c>
      <c r="B162" t="s">
        <v>867</v>
      </c>
    </row>
    <row r="163" spans="1:2" x14ac:dyDescent="0.25">
      <c r="A163" t="s">
        <v>413</v>
      </c>
      <c r="B163" t="s">
        <v>868</v>
      </c>
    </row>
    <row r="164" spans="1:2" x14ac:dyDescent="0.25">
      <c r="A164" t="s">
        <v>869</v>
      </c>
      <c r="B164" t="s">
        <v>870</v>
      </c>
    </row>
    <row r="165" spans="1:2" x14ac:dyDescent="0.25">
      <c r="A165" t="s">
        <v>414</v>
      </c>
      <c r="B165" t="s">
        <v>871</v>
      </c>
    </row>
    <row r="166" spans="1:2" x14ac:dyDescent="0.25">
      <c r="A166" t="s">
        <v>872</v>
      </c>
      <c r="B166" t="s">
        <v>873</v>
      </c>
    </row>
    <row r="167" spans="1:2" x14ac:dyDescent="0.25">
      <c r="A167" t="s">
        <v>874</v>
      </c>
      <c r="B167" t="s">
        <v>875</v>
      </c>
    </row>
    <row r="168" spans="1:2" x14ac:dyDescent="0.25">
      <c r="A168" t="s">
        <v>876</v>
      </c>
      <c r="B168" t="s">
        <v>877</v>
      </c>
    </row>
    <row r="169" spans="1:2" x14ac:dyDescent="0.25">
      <c r="A169" t="s">
        <v>415</v>
      </c>
      <c r="B169" t="s">
        <v>619</v>
      </c>
    </row>
    <row r="170" spans="1:2" x14ac:dyDescent="0.25">
      <c r="A170" t="s">
        <v>416</v>
      </c>
      <c r="B170" t="s">
        <v>878</v>
      </c>
    </row>
    <row r="171" spans="1:2" x14ac:dyDescent="0.25">
      <c r="A171" t="s">
        <v>417</v>
      </c>
      <c r="B171" t="s">
        <v>604</v>
      </c>
    </row>
    <row r="172" spans="1:2" x14ac:dyDescent="0.25">
      <c r="A172" t="s">
        <v>418</v>
      </c>
      <c r="B172" t="s">
        <v>879</v>
      </c>
    </row>
    <row r="173" spans="1:2" x14ac:dyDescent="0.25">
      <c r="A173" t="s">
        <v>419</v>
      </c>
      <c r="B173" t="s">
        <v>880</v>
      </c>
    </row>
    <row r="174" spans="1:2" x14ac:dyDescent="0.25">
      <c r="A174" t="s">
        <v>881</v>
      </c>
      <c r="B174" t="s">
        <v>624</v>
      </c>
    </row>
    <row r="175" spans="1:2" x14ac:dyDescent="0.25">
      <c r="A175" t="s">
        <v>420</v>
      </c>
      <c r="B175" t="s">
        <v>882</v>
      </c>
    </row>
    <row r="176" spans="1:2" x14ac:dyDescent="0.25">
      <c r="A176" t="s">
        <v>883</v>
      </c>
      <c r="B176" t="s">
        <v>884</v>
      </c>
    </row>
    <row r="177" spans="1:2" x14ac:dyDescent="0.25">
      <c r="A177" t="s">
        <v>885</v>
      </c>
      <c r="B177" t="s">
        <v>886</v>
      </c>
    </row>
    <row r="178" spans="1:2" x14ac:dyDescent="0.25">
      <c r="A178" t="s">
        <v>887</v>
      </c>
      <c r="B178" t="s">
        <v>888</v>
      </c>
    </row>
    <row r="179" spans="1:2" x14ac:dyDescent="0.25">
      <c r="A179" t="s">
        <v>421</v>
      </c>
      <c r="B179" t="s">
        <v>614</v>
      </c>
    </row>
    <row r="180" spans="1:2" x14ac:dyDescent="0.25">
      <c r="A180" t="s">
        <v>889</v>
      </c>
      <c r="B180" t="s">
        <v>890</v>
      </c>
    </row>
    <row r="181" spans="1:2" x14ac:dyDescent="0.25">
      <c r="A181" t="s">
        <v>422</v>
      </c>
      <c r="B181" t="s">
        <v>621</v>
      </c>
    </row>
    <row r="182" spans="1:2" x14ac:dyDescent="0.25">
      <c r="A182" t="s">
        <v>423</v>
      </c>
      <c r="B182" t="s">
        <v>622</v>
      </c>
    </row>
    <row r="183" spans="1:2" x14ac:dyDescent="0.25">
      <c r="A183" t="s">
        <v>891</v>
      </c>
      <c r="B183" t="s">
        <v>892</v>
      </c>
    </row>
    <row r="184" spans="1:2" x14ac:dyDescent="0.25">
      <c r="A184" t="s">
        <v>424</v>
      </c>
      <c r="B184" t="s">
        <v>893</v>
      </c>
    </row>
    <row r="185" spans="1:2" x14ac:dyDescent="0.25">
      <c r="A185" t="s">
        <v>425</v>
      </c>
      <c r="B185" t="s">
        <v>894</v>
      </c>
    </row>
    <row r="186" spans="1:2" x14ac:dyDescent="0.25">
      <c r="A186" t="s">
        <v>426</v>
      </c>
      <c r="B186" t="s">
        <v>895</v>
      </c>
    </row>
    <row r="187" spans="1:2" x14ac:dyDescent="0.25">
      <c r="A187" t="s">
        <v>593</v>
      </c>
      <c r="B187" t="s">
        <v>896</v>
      </c>
    </row>
    <row r="188" spans="1:2" x14ac:dyDescent="0.25">
      <c r="A188" t="s">
        <v>427</v>
      </c>
      <c r="B188" t="s">
        <v>897</v>
      </c>
    </row>
    <row r="189" spans="1:2" x14ac:dyDescent="0.25">
      <c r="A189" t="s">
        <v>594</v>
      </c>
      <c r="B189" t="s">
        <v>898</v>
      </c>
    </row>
    <row r="190" spans="1:2" x14ac:dyDescent="0.25">
      <c r="A190" t="s">
        <v>428</v>
      </c>
      <c r="B190" t="s">
        <v>899</v>
      </c>
    </row>
    <row r="191" spans="1:2" x14ac:dyDescent="0.25">
      <c r="A191" t="s">
        <v>429</v>
      </c>
      <c r="B191" t="s">
        <v>900</v>
      </c>
    </row>
    <row r="192" spans="1:2" x14ac:dyDescent="0.25">
      <c r="A192" t="s">
        <v>430</v>
      </c>
      <c r="B192" t="s">
        <v>901</v>
      </c>
    </row>
    <row r="193" spans="1:2" x14ac:dyDescent="0.25">
      <c r="A193" t="s">
        <v>431</v>
      </c>
      <c r="B193" t="s">
        <v>902</v>
      </c>
    </row>
    <row r="194" spans="1:2" x14ac:dyDescent="0.25">
      <c r="A194" t="s">
        <v>432</v>
      </c>
      <c r="B194" t="s">
        <v>903</v>
      </c>
    </row>
    <row r="195" spans="1:2" x14ac:dyDescent="0.25">
      <c r="A195" t="s">
        <v>904</v>
      </c>
      <c r="B195" t="s">
        <v>905</v>
      </c>
    </row>
    <row r="196" spans="1:2" x14ac:dyDescent="0.25">
      <c r="A196" t="s">
        <v>433</v>
      </c>
      <c r="B196" t="s">
        <v>906</v>
      </c>
    </row>
    <row r="197" spans="1:2" x14ac:dyDescent="0.25">
      <c r="A197" t="s">
        <v>434</v>
      </c>
      <c r="B197" t="s">
        <v>907</v>
      </c>
    </row>
    <row r="198" spans="1:2" x14ac:dyDescent="0.25">
      <c r="A198" t="s">
        <v>908</v>
      </c>
      <c r="B198" t="s">
        <v>909</v>
      </c>
    </row>
    <row r="199" spans="1:2" x14ac:dyDescent="0.25">
      <c r="A199" t="s">
        <v>910</v>
      </c>
      <c r="B199" t="s">
        <v>911</v>
      </c>
    </row>
    <row r="200" spans="1:2" x14ac:dyDescent="0.25">
      <c r="A200" t="s">
        <v>912</v>
      </c>
      <c r="B200" t="s">
        <v>913</v>
      </c>
    </row>
    <row r="201" spans="1:2" x14ac:dyDescent="0.25">
      <c r="A201" t="s">
        <v>914</v>
      </c>
      <c r="B201" t="s">
        <v>915</v>
      </c>
    </row>
    <row r="202" spans="1:2" x14ac:dyDescent="0.25">
      <c r="A202" t="s">
        <v>916</v>
      </c>
      <c r="B202" t="s">
        <v>917</v>
      </c>
    </row>
    <row r="203" spans="1:2" x14ac:dyDescent="0.25">
      <c r="A203" t="s">
        <v>161</v>
      </c>
      <c r="B203" t="s">
        <v>918</v>
      </c>
    </row>
    <row r="204" spans="1:2" x14ac:dyDescent="0.25">
      <c r="A204" t="s">
        <v>435</v>
      </c>
      <c r="B204" t="s">
        <v>620</v>
      </c>
    </row>
    <row r="205" spans="1:2" x14ac:dyDescent="0.25">
      <c r="A205" t="s">
        <v>919</v>
      </c>
      <c r="B205" t="s">
        <v>920</v>
      </c>
    </row>
    <row r="206" spans="1:2" x14ac:dyDescent="0.25">
      <c r="A206" t="s">
        <v>436</v>
      </c>
      <c r="B206" t="s">
        <v>921</v>
      </c>
    </row>
    <row r="207" spans="1:2" x14ac:dyDescent="0.25">
      <c r="A207" t="s">
        <v>437</v>
      </c>
      <c r="B207" t="s">
        <v>922</v>
      </c>
    </row>
    <row r="208" spans="1:2" x14ac:dyDescent="0.25">
      <c r="A208" t="s">
        <v>438</v>
      </c>
      <c r="B208" t="s">
        <v>923</v>
      </c>
    </row>
    <row r="209" spans="1:2" x14ac:dyDescent="0.25">
      <c r="A209" t="s">
        <v>439</v>
      </c>
      <c r="B209" t="s">
        <v>924</v>
      </c>
    </row>
    <row r="210" spans="1:2" x14ac:dyDescent="0.25">
      <c r="A210" t="s">
        <v>440</v>
      </c>
      <c r="B210" t="s">
        <v>925</v>
      </c>
    </row>
    <row r="211" spans="1:2" x14ac:dyDescent="0.25">
      <c r="A211" t="s">
        <v>441</v>
      </c>
      <c r="B211" t="s">
        <v>926</v>
      </c>
    </row>
    <row r="212" spans="1:2" x14ac:dyDescent="0.25">
      <c r="A212" t="s">
        <v>442</v>
      </c>
      <c r="B212" t="s">
        <v>927</v>
      </c>
    </row>
    <row r="213" spans="1:2" x14ac:dyDescent="0.25">
      <c r="A213" t="s">
        <v>443</v>
      </c>
      <c r="B213" t="s">
        <v>928</v>
      </c>
    </row>
    <row r="214" spans="1:2" x14ac:dyDescent="0.25">
      <c r="A214" t="s">
        <v>601</v>
      </c>
      <c r="B214" t="s">
        <v>929</v>
      </c>
    </row>
    <row r="215" spans="1:2" x14ac:dyDescent="0.25">
      <c r="A215" t="s">
        <v>444</v>
      </c>
      <c r="B215" t="s">
        <v>930</v>
      </c>
    </row>
    <row r="216" spans="1:2" x14ac:dyDescent="0.25">
      <c r="A216" t="s">
        <v>931</v>
      </c>
      <c r="B216" t="s">
        <v>932</v>
      </c>
    </row>
    <row r="217" spans="1:2" x14ac:dyDescent="0.25">
      <c r="A217" t="s">
        <v>933</v>
      </c>
      <c r="B217" t="s">
        <v>934</v>
      </c>
    </row>
    <row r="218" spans="1:2" x14ac:dyDescent="0.25">
      <c r="A218" t="s">
        <v>935</v>
      </c>
      <c r="B218" t="s">
        <v>936</v>
      </c>
    </row>
    <row r="219" spans="1:2" x14ac:dyDescent="0.25">
      <c r="A219" t="s">
        <v>445</v>
      </c>
      <c r="B219" t="s">
        <v>937</v>
      </c>
    </row>
    <row r="220" spans="1:2" x14ac:dyDescent="0.25">
      <c r="A220" t="s">
        <v>446</v>
      </c>
      <c r="B220" t="s">
        <v>938</v>
      </c>
    </row>
    <row r="221" spans="1:2" x14ac:dyDescent="0.25">
      <c r="A221" t="s">
        <v>447</v>
      </c>
      <c r="B221" t="s">
        <v>615</v>
      </c>
    </row>
    <row r="222" spans="1:2" x14ac:dyDescent="0.25">
      <c r="A222" t="s">
        <v>448</v>
      </c>
      <c r="B222" t="s">
        <v>939</v>
      </c>
    </row>
    <row r="223" spans="1:2" x14ac:dyDescent="0.25">
      <c r="A223" t="s">
        <v>449</v>
      </c>
      <c r="B223" t="s">
        <v>843</v>
      </c>
    </row>
    <row r="224" spans="1:2" x14ac:dyDescent="0.25">
      <c r="A224" t="s">
        <v>940</v>
      </c>
      <c r="B224" t="s">
        <v>941</v>
      </c>
    </row>
    <row r="225" spans="1:2" x14ac:dyDescent="0.25">
      <c r="A225" t="s">
        <v>185</v>
      </c>
      <c r="B225" t="s">
        <v>942</v>
      </c>
    </row>
    <row r="226" spans="1:2" x14ac:dyDescent="0.25">
      <c r="A226" t="s">
        <v>450</v>
      </c>
      <c r="B226" t="s">
        <v>943</v>
      </c>
    </row>
    <row r="227" spans="1:2" x14ac:dyDescent="0.25">
      <c r="A227" t="s">
        <v>944</v>
      </c>
      <c r="B227" t="s">
        <v>945</v>
      </c>
    </row>
    <row r="228" spans="1:2" x14ac:dyDescent="0.25">
      <c r="A228" t="s">
        <v>595</v>
      </c>
      <c r="B228" t="s">
        <v>946</v>
      </c>
    </row>
    <row r="229" spans="1:2" x14ac:dyDescent="0.25">
      <c r="A229" t="s">
        <v>451</v>
      </c>
      <c r="B229" t="s">
        <v>937</v>
      </c>
    </row>
    <row r="230" spans="1:2" x14ac:dyDescent="0.25">
      <c r="A230" t="s">
        <v>452</v>
      </c>
      <c r="B230" t="s">
        <v>947</v>
      </c>
    </row>
    <row r="231" spans="1:2" x14ac:dyDescent="0.25">
      <c r="A231" t="s">
        <v>453</v>
      </c>
      <c r="B231" t="s">
        <v>948</v>
      </c>
    </row>
    <row r="232" spans="1:2" x14ac:dyDescent="0.25">
      <c r="A232" t="s">
        <v>454</v>
      </c>
      <c r="B232" t="s">
        <v>949</v>
      </c>
    </row>
    <row r="233" spans="1:2" x14ac:dyDescent="0.25">
      <c r="A233" t="s">
        <v>455</v>
      </c>
      <c r="B233" t="s">
        <v>950</v>
      </c>
    </row>
    <row r="234" spans="1:2" x14ac:dyDescent="0.25">
      <c r="A234" t="s">
        <v>456</v>
      </c>
      <c r="B234" t="s">
        <v>951</v>
      </c>
    </row>
    <row r="235" spans="1:2" x14ac:dyDescent="0.25">
      <c r="A235" t="s">
        <v>952</v>
      </c>
      <c r="B235" t="s">
        <v>953</v>
      </c>
    </row>
    <row r="236" spans="1:2" x14ac:dyDescent="0.25">
      <c r="A236" t="s">
        <v>954</v>
      </c>
      <c r="B236" t="s">
        <v>936</v>
      </c>
    </row>
    <row r="237" spans="1:2" x14ac:dyDescent="0.25">
      <c r="A237" t="s">
        <v>457</v>
      </c>
      <c r="B237" t="s">
        <v>955</v>
      </c>
    </row>
    <row r="238" spans="1:2" x14ac:dyDescent="0.25">
      <c r="A238" t="s">
        <v>174</v>
      </c>
      <c r="B238" t="s">
        <v>626</v>
      </c>
    </row>
    <row r="239" spans="1:2" x14ac:dyDescent="0.25">
      <c r="A239" t="s">
        <v>458</v>
      </c>
      <c r="B239" t="s">
        <v>956</v>
      </c>
    </row>
    <row r="240" spans="1:2" x14ac:dyDescent="0.25">
      <c r="A240" t="s">
        <v>459</v>
      </c>
      <c r="B240" t="s">
        <v>957</v>
      </c>
    </row>
    <row r="241" spans="1:2" x14ac:dyDescent="0.25">
      <c r="A241" t="s">
        <v>460</v>
      </c>
      <c r="B241" t="s">
        <v>958</v>
      </c>
    </row>
    <row r="242" spans="1:2" x14ac:dyDescent="0.25">
      <c r="A242" t="s">
        <v>461</v>
      </c>
      <c r="B242" t="s">
        <v>959</v>
      </c>
    </row>
    <row r="243" spans="1:2" x14ac:dyDescent="0.25">
      <c r="A243" t="s">
        <v>960</v>
      </c>
      <c r="B243" t="s">
        <v>961</v>
      </c>
    </row>
    <row r="244" spans="1:2" x14ac:dyDescent="0.25">
      <c r="A244" t="s">
        <v>462</v>
      </c>
      <c r="B244" t="s">
        <v>962</v>
      </c>
    </row>
    <row r="245" spans="1:2" x14ac:dyDescent="0.25">
      <c r="A245" t="s">
        <v>963</v>
      </c>
      <c r="B245" t="s">
        <v>964</v>
      </c>
    </row>
    <row r="246" spans="1:2" x14ac:dyDescent="0.25">
      <c r="A246" t="s">
        <v>965</v>
      </c>
      <c r="B246" t="s">
        <v>966</v>
      </c>
    </row>
    <row r="247" spans="1:2" x14ac:dyDescent="0.25">
      <c r="A247" t="s">
        <v>967</v>
      </c>
      <c r="B247" t="s">
        <v>968</v>
      </c>
    </row>
    <row r="248" spans="1:2" x14ac:dyDescent="0.25">
      <c r="A248" t="s">
        <v>463</v>
      </c>
      <c r="B248" t="s">
        <v>969</v>
      </c>
    </row>
    <row r="249" spans="1:2" x14ac:dyDescent="0.25">
      <c r="A249" t="s">
        <v>970</v>
      </c>
      <c r="B249" t="s">
        <v>971</v>
      </c>
    </row>
    <row r="250" spans="1:2" x14ac:dyDescent="0.25">
      <c r="A250" t="s">
        <v>972</v>
      </c>
      <c r="B250" t="s">
        <v>973</v>
      </c>
    </row>
    <row r="251" spans="1:2" x14ac:dyDescent="0.25">
      <c r="A251" t="s">
        <v>464</v>
      </c>
      <c r="B251" t="s">
        <v>974</v>
      </c>
    </row>
    <row r="252" spans="1:2" x14ac:dyDescent="0.25">
      <c r="A252" t="s">
        <v>465</v>
      </c>
      <c r="B252" t="s">
        <v>975</v>
      </c>
    </row>
    <row r="253" spans="1:2" x14ac:dyDescent="0.25">
      <c r="A253" t="s">
        <v>553</v>
      </c>
      <c r="B253" t="s">
        <v>976</v>
      </c>
    </row>
    <row r="254" spans="1:2" x14ac:dyDescent="0.25">
      <c r="A254" t="s">
        <v>466</v>
      </c>
      <c r="B254" t="s">
        <v>977</v>
      </c>
    </row>
    <row r="255" spans="1:2" x14ac:dyDescent="0.25">
      <c r="A255" t="s">
        <v>978</v>
      </c>
      <c r="B255" t="s">
        <v>979</v>
      </c>
    </row>
    <row r="256" spans="1:2" x14ac:dyDescent="0.25">
      <c r="A256" t="s">
        <v>980</v>
      </c>
      <c r="B256" t="s">
        <v>981</v>
      </c>
    </row>
    <row r="257" spans="1:2" x14ac:dyDescent="0.25">
      <c r="A257" t="s">
        <v>982</v>
      </c>
      <c r="B257" t="s">
        <v>983</v>
      </c>
    </row>
    <row r="258" spans="1:2" x14ac:dyDescent="0.25">
      <c r="A258" t="s">
        <v>467</v>
      </c>
      <c r="B258" t="s">
        <v>984</v>
      </c>
    </row>
    <row r="259" spans="1:2" x14ac:dyDescent="0.25">
      <c r="A259" t="s">
        <v>468</v>
      </c>
      <c r="B259" t="s">
        <v>985</v>
      </c>
    </row>
    <row r="260" spans="1:2" x14ac:dyDescent="0.25">
      <c r="A260" t="s">
        <v>986</v>
      </c>
      <c r="B260" t="s">
        <v>987</v>
      </c>
    </row>
    <row r="261" spans="1:2" x14ac:dyDescent="0.25">
      <c r="A261" t="s">
        <v>218</v>
      </c>
      <c r="B261" t="s">
        <v>988</v>
      </c>
    </row>
    <row r="262" spans="1:2" x14ac:dyDescent="0.25">
      <c r="A262" t="s">
        <v>989</v>
      </c>
      <c r="B262" t="s">
        <v>990</v>
      </c>
    </row>
    <row r="263" spans="1:2" x14ac:dyDescent="0.25">
      <c r="A263" t="s">
        <v>991</v>
      </c>
      <c r="B263" t="s">
        <v>992</v>
      </c>
    </row>
    <row r="264" spans="1:2" x14ac:dyDescent="0.25">
      <c r="A264" t="s">
        <v>993</v>
      </c>
      <c r="B264" t="s">
        <v>684</v>
      </c>
    </row>
    <row r="265" spans="1:2" x14ac:dyDescent="0.25">
      <c r="A265" t="s">
        <v>994</v>
      </c>
      <c r="B265" t="s">
        <v>995</v>
      </c>
    </row>
    <row r="266" spans="1:2" x14ac:dyDescent="0.25">
      <c r="A266" t="s">
        <v>469</v>
      </c>
      <c r="B266" t="s">
        <v>996</v>
      </c>
    </row>
    <row r="267" spans="1:2" x14ac:dyDescent="0.25">
      <c r="A267" t="s">
        <v>470</v>
      </c>
      <c r="B267" t="s">
        <v>997</v>
      </c>
    </row>
    <row r="268" spans="1:2" x14ac:dyDescent="0.25">
      <c r="A268" t="s">
        <v>471</v>
      </c>
      <c r="B268" t="s">
        <v>998</v>
      </c>
    </row>
    <row r="269" spans="1:2" x14ac:dyDescent="0.25">
      <c r="A269" t="s">
        <v>999</v>
      </c>
      <c r="B269" t="s">
        <v>1000</v>
      </c>
    </row>
    <row r="270" spans="1:2" x14ac:dyDescent="0.25">
      <c r="A270" t="s">
        <v>472</v>
      </c>
      <c r="B270" t="s">
        <v>1001</v>
      </c>
    </row>
    <row r="271" spans="1:2" x14ac:dyDescent="0.25">
      <c r="A271" t="s">
        <v>1002</v>
      </c>
      <c r="B271" t="s">
        <v>1003</v>
      </c>
    </row>
    <row r="272" spans="1:2" x14ac:dyDescent="0.25">
      <c r="A272" t="s">
        <v>473</v>
      </c>
      <c r="B272" t="s">
        <v>1004</v>
      </c>
    </row>
    <row r="273" spans="1:2" x14ac:dyDescent="0.25">
      <c r="A273" t="s">
        <v>474</v>
      </c>
      <c r="B273" t="s">
        <v>1005</v>
      </c>
    </row>
    <row r="274" spans="1:2" x14ac:dyDescent="0.25">
      <c r="A274" t="s">
        <v>1006</v>
      </c>
      <c r="B274" t="s">
        <v>1007</v>
      </c>
    </row>
    <row r="275" spans="1:2" x14ac:dyDescent="0.25">
      <c r="A275" t="s">
        <v>475</v>
      </c>
      <c r="B275" t="s">
        <v>1008</v>
      </c>
    </row>
    <row r="276" spans="1:2" x14ac:dyDescent="0.25">
      <c r="A276" t="s">
        <v>476</v>
      </c>
      <c r="B276" t="s">
        <v>1009</v>
      </c>
    </row>
    <row r="277" spans="1:2" x14ac:dyDescent="0.25">
      <c r="A277" t="s">
        <v>1010</v>
      </c>
      <c r="B277" t="s">
        <v>1011</v>
      </c>
    </row>
    <row r="278" spans="1:2" x14ac:dyDescent="0.25">
      <c r="A278" t="s">
        <v>477</v>
      </c>
      <c r="B278" t="s">
        <v>1012</v>
      </c>
    </row>
    <row r="279" spans="1:2" x14ac:dyDescent="0.25">
      <c r="A279" t="s">
        <v>478</v>
      </c>
      <c r="B279" t="s">
        <v>1013</v>
      </c>
    </row>
    <row r="280" spans="1:2" x14ac:dyDescent="0.25">
      <c r="A280" t="s">
        <v>479</v>
      </c>
      <c r="B280" t="s">
        <v>1014</v>
      </c>
    </row>
    <row r="281" spans="1:2" x14ac:dyDescent="0.25">
      <c r="A281" t="s">
        <v>480</v>
      </c>
      <c r="B281" t="s">
        <v>1015</v>
      </c>
    </row>
    <row r="282" spans="1:2" x14ac:dyDescent="0.25">
      <c r="A282" t="s">
        <v>481</v>
      </c>
      <c r="B282" t="s">
        <v>1016</v>
      </c>
    </row>
    <row r="283" spans="1:2" x14ac:dyDescent="0.25">
      <c r="A283" t="s">
        <v>482</v>
      </c>
      <c r="B283" t="s">
        <v>1017</v>
      </c>
    </row>
    <row r="284" spans="1:2" x14ac:dyDescent="0.25">
      <c r="A284" t="s">
        <v>483</v>
      </c>
      <c r="B284" t="s">
        <v>1018</v>
      </c>
    </row>
    <row r="285" spans="1:2" x14ac:dyDescent="0.25">
      <c r="A285" t="s">
        <v>1019</v>
      </c>
      <c r="B285" t="s">
        <v>1020</v>
      </c>
    </row>
    <row r="286" spans="1:2" x14ac:dyDescent="0.25">
      <c r="A286" t="s">
        <v>484</v>
      </c>
      <c r="B286" t="s">
        <v>1021</v>
      </c>
    </row>
    <row r="287" spans="1:2" x14ac:dyDescent="0.25">
      <c r="A287" t="s">
        <v>485</v>
      </c>
      <c r="B287" t="s">
        <v>1022</v>
      </c>
    </row>
    <row r="288" spans="1:2" x14ac:dyDescent="0.25">
      <c r="A288" t="s">
        <v>486</v>
      </c>
      <c r="B288" t="s">
        <v>1023</v>
      </c>
    </row>
    <row r="289" spans="1:2" x14ac:dyDescent="0.25">
      <c r="A289" t="s">
        <v>487</v>
      </c>
      <c r="B289" t="s">
        <v>1024</v>
      </c>
    </row>
    <row r="290" spans="1:2" x14ac:dyDescent="0.25">
      <c r="A290" t="s">
        <v>1025</v>
      </c>
      <c r="B290" t="s">
        <v>1026</v>
      </c>
    </row>
    <row r="291" spans="1:2" x14ac:dyDescent="0.25">
      <c r="A291" t="s">
        <v>1027</v>
      </c>
      <c r="B291" t="s">
        <v>1028</v>
      </c>
    </row>
    <row r="292" spans="1:2" x14ac:dyDescent="0.25">
      <c r="A292" t="s">
        <v>1029</v>
      </c>
      <c r="B292" t="s">
        <v>1030</v>
      </c>
    </row>
    <row r="293" spans="1:2" x14ac:dyDescent="0.25">
      <c r="A293" t="s">
        <v>171</v>
      </c>
      <c r="B293" t="s">
        <v>1031</v>
      </c>
    </row>
    <row r="294" spans="1:2" x14ac:dyDescent="0.25">
      <c r="A294" t="s">
        <v>488</v>
      </c>
      <c r="B294" t="s">
        <v>1032</v>
      </c>
    </row>
    <row r="295" spans="1:2" x14ac:dyDescent="0.25">
      <c r="A295" t="s">
        <v>489</v>
      </c>
      <c r="B295" t="s">
        <v>1033</v>
      </c>
    </row>
    <row r="296" spans="1:2" x14ac:dyDescent="0.25">
      <c r="A296" t="s">
        <v>490</v>
      </c>
      <c r="B296" t="s">
        <v>1034</v>
      </c>
    </row>
    <row r="297" spans="1:2" x14ac:dyDescent="0.25">
      <c r="A297" t="s">
        <v>491</v>
      </c>
      <c r="B297" t="s">
        <v>1035</v>
      </c>
    </row>
    <row r="298" spans="1:2" x14ac:dyDescent="0.25">
      <c r="A298" t="s">
        <v>492</v>
      </c>
      <c r="B298" t="s">
        <v>1036</v>
      </c>
    </row>
    <row r="299" spans="1:2" x14ac:dyDescent="0.25">
      <c r="A299" t="s">
        <v>1037</v>
      </c>
      <c r="B299" t="s">
        <v>1038</v>
      </c>
    </row>
    <row r="300" spans="1:2" x14ac:dyDescent="0.25">
      <c r="A300" t="s">
        <v>493</v>
      </c>
      <c r="B300" t="s">
        <v>1039</v>
      </c>
    </row>
    <row r="301" spans="1:2" x14ac:dyDescent="0.25">
      <c r="A301" t="s">
        <v>494</v>
      </c>
      <c r="B301" t="s">
        <v>1040</v>
      </c>
    </row>
    <row r="302" spans="1:2" x14ac:dyDescent="0.25">
      <c r="A302" t="s">
        <v>495</v>
      </c>
      <c r="B302" t="s">
        <v>783</v>
      </c>
    </row>
    <row r="303" spans="1:2" x14ac:dyDescent="0.25">
      <c r="A303" t="s">
        <v>496</v>
      </c>
      <c r="B303" t="s">
        <v>1041</v>
      </c>
    </row>
    <row r="304" spans="1:2" x14ac:dyDescent="0.25">
      <c r="A304" t="s">
        <v>1042</v>
      </c>
      <c r="B304" t="s">
        <v>1043</v>
      </c>
    </row>
    <row r="305" spans="1:2" x14ac:dyDescent="0.25">
      <c r="A305" t="s">
        <v>1044</v>
      </c>
      <c r="B305" t="s">
        <v>1045</v>
      </c>
    </row>
    <row r="306" spans="1:2" x14ac:dyDescent="0.25">
      <c r="A306" t="s">
        <v>1046</v>
      </c>
      <c r="B306" t="s">
        <v>1047</v>
      </c>
    </row>
    <row r="307" spans="1:2" x14ac:dyDescent="0.25">
      <c r="A307" t="s">
        <v>1048</v>
      </c>
      <c r="B307" t="s">
        <v>1049</v>
      </c>
    </row>
    <row r="308" spans="1:2" x14ac:dyDescent="0.25">
      <c r="A308" t="s">
        <v>1050</v>
      </c>
      <c r="B308" t="s">
        <v>1051</v>
      </c>
    </row>
    <row r="309" spans="1:2" x14ac:dyDescent="0.25">
      <c r="A309" t="s">
        <v>1052</v>
      </c>
      <c r="B309" t="s">
        <v>1053</v>
      </c>
    </row>
    <row r="310" spans="1:2" x14ac:dyDescent="0.25">
      <c r="A310" t="s">
        <v>497</v>
      </c>
      <c r="B310" t="s">
        <v>1054</v>
      </c>
    </row>
    <row r="311" spans="1:2" x14ac:dyDescent="0.25">
      <c r="A311" t="s">
        <v>1055</v>
      </c>
      <c r="B311" t="s">
        <v>1056</v>
      </c>
    </row>
    <row r="312" spans="1:2" x14ac:dyDescent="0.25">
      <c r="A312" t="s">
        <v>498</v>
      </c>
      <c r="B312" t="s">
        <v>1057</v>
      </c>
    </row>
    <row r="313" spans="1:2" x14ac:dyDescent="0.25">
      <c r="A313" t="s">
        <v>499</v>
      </c>
      <c r="B313" t="s">
        <v>1058</v>
      </c>
    </row>
    <row r="314" spans="1:2" x14ac:dyDescent="0.25">
      <c r="A314" t="s">
        <v>500</v>
      </c>
      <c r="B314" t="s">
        <v>1059</v>
      </c>
    </row>
    <row r="315" spans="1:2" x14ac:dyDescent="0.25">
      <c r="A315" t="s">
        <v>501</v>
      </c>
      <c r="B315" t="s">
        <v>1060</v>
      </c>
    </row>
    <row r="316" spans="1:2" x14ac:dyDescent="0.25">
      <c r="A316" t="s">
        <v>1061</v>
      </c>
      <c r="B316" t="s">
        <v>1062</v>
      </c>
    </row>
    <row r="317" spans="1:2" x14ac:dyDescent="0.25">
      <c r="A317" t="s">
        <v>502</v>
      </c>
      <c r="B317" t="s">
        <v>1063</v>
      </c>
    </row>
    <row r="318" spans="1:2" x14ac:dyDescent="0.25">
      <c r="A318" t="s">
        <v>503</v>
      </c>
      <c r="B318" t="s">
        <v>1064</v>
      </c>
    </row>
    <row r="319" spans="1:2" x14ac:dyDescent="0.25">
      <c r="A319" t="s">
        <v>504</v>
      </c>
      <c r="B319" t="s">
        <v>616</v>
      </c>
    </row>
    <row r="320" spans="1:2" x14ac:dyDescent="0.25">
      <c r="A320" t="s">
        <v>505</v>
      </c>
      <c r="B320" t="s">
        <v>1065</v>
      </c>
    </row>
    <row r="321" spans="1:2" x14ac:dyDescent="0.25">
      <c r="A321" t="s">
        <v>506</v>
      </c>
      <c r="B321" t="s">
        <v>1066</v>
      </c>
    </row>
    <row r="322" spans="1:2" x14ac:dyDescent="0.25">
      <c r="A322" t="s">
        <v>1067</v>
      </c>
      <c r="B322" t="s">
        <v>1068</v>
      </c>
    </row>
    <row r="323" spans="1:2" x14ac:dyDescent="0.25">
      <c r="A323" t="s">
        <v>507</v>
      </c>
      <c r="B323" t="s">
        <v>1069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1072</v>
      </c>
      <c r="B325" t="s">
        <v>1073</v>
      </c>
    </row>
    <row r="326" spans="1:2" x14ac:dyDescent="0.25">
      <c r="A326" t="s">
        <v>508</v>
      </c>
      <c r="B326" t="s">
        <v>1074</v>
      </c>
    </row>
    <row r="327" spans="1:2" x14ac:dyDescent="0.25">
      <c r="A327" t="s">
        <v>509</v>
      </c>
      <c r="B327" t="s">
        <v>1075</v>
      </c>
    </row>
    <row r="328" spans="1:2" x14ac:dyDescent="0.25">
      <c r="A328" t="s">
        <v>510</v>
      </c>
      <c r="B328" t="s">
        <v>1076</v>
      </c>
    </row>
    <row r="329" spans="1:2" x14ac:dyDescent="0.25">
      <c r="A329" t="s">
        <v>511</v>
      </c>
      <c r="B329" t="s">
        <v>1077</v>
      </c>
    </row>
    <row r="330" spans="1:2" x14ac:dyDescent="0.25">
      <c r="A330" t="s">
        <v>1078</v>
      </c>
      <c r="B330" t="s">
        <v>1079</v>
      </c>
    </row>
    <row r="331" spans="1:2" x14ac:dyDescent="0.25">
      <c r="A331" t="s">
        <v>512</v>
      </c>
      <c r="B331" t="s">
        <v>1080</v>
      </c>
    </row>
    <row r="332" spans="1:2" x14ac:dyDescent="0.25">
      <c r="A332" t="s">
        <v>184</v>
      </c>
      <c r="B332" t="s">
        <v>1081</v>
      </c>
    </row>
    <row r="333" spans="1:2" x14ac:dyDescent="0.25">
      <c r="A333" t="s">
        <v>513</v>
      </c>
      <c r="B333" t="s">
        <v>1082</v>
      </c>
    </row>
    <row r="334" spans="1:2" x14ac:dyDescent="0.25">
      <c r="A334" t="s">
        <v>514</v>
      </c>
      <c r="B334" t="s">
        <v>1083</v>
      </c>
    </row>
    <row r="335" spans="1:2" x14ac:dyDescent="0.25">
      <c r="A335" t="s">
        <v>1084</v>
      </c>
      <c r="B335" t="s">
        <v>1085</v>
      </c>
    </row>
    <row r="336" spans="1:2" x14ac:dyDescent="0.25">
      <c r="A336" t="s">
        <v>1086</v>
      </c>
      <c r="B336" t="s">
        <v>1087</v>
      </c>
    </row>
    <row r="337" spans="1:2" x14ac:dyDescent="0.25">
      <c r="A337" t="s">
        <v>1088</v>
      </c>
      <c r="B337" t="s">
        <v>1089</v>
      </c>
    </row>
    <row r="338" spans="1:2" x14ac:dyDescent="0.25">
      <c r="A338" t="s">
        <v>1090</v>
      </c>
      <c r="B338" t="s">
        <v>1021</v>
      </c>
    </row>
    <row r="339" spans="1:2" x14ac:dyDescent="0.25">
      <c r="A339" t="s">
        <v>1091</v>
      </c>
      <c r="B339" t="s">
        <v>1092</v>
      </c>
    </row>
    <row r="340" spans="1:2" x14ac:dyDescent="0.25">
      <c r="A340" t="s">
        <v>515</v>
      </c>
      <c r="B340" t="s">
        <v>618</v>
      </c>
    </row>
    <row r="341" spans="1:2" x14ac:dyDescent="0.25">
      <c r="A341" t="s">
        <v>1093</v>
      </c>
      <c r="B341" t="s">
        <v>897</v>
      </c>
    </row>
    <row r="342" spans="1:2" x14ac:dyDescent="0.25">
      <c r="A342" t="s">
        <v>516</v>
      </c>
      <c r="B342" t="s">
        <v>1094</v>
      </c>
    </row>
    <row r="343" spans="1:2" x14ac:dyDescent="0.25">
      <c r="A343" t="s">
        <v>1095</v>
      </c>
      <c r="B343" t="s">
        <v>1096</v>
      </c>
    </row>
    <row r="344" spans="1:2" x14ac:dyDescent="0.25">
      <c r="A344" t="s">
        <v>1097</v>
      </c>
      <c r="B344" t="s">
        <v>1098</v>
      </c>
    </row>
    <row r="345" spans="1:2" x14ac:dyDescent="0.25">
      <c r="A345" t="s">
        <v>517</v>
      </c>
      <c r="B345" t="s">
        <v>1099</v>
      </c>
    </row>
    <row r="346" spans="1:2" x14ac:dyDescent="0.25">
      <c r="A346" t="s">
        <v>518</v>
      </c>
      <c r="B346" t="s">
        <v>1100</v>
      </c>
    </row>
    <row r="347" spans="1:2" x14ac:dyDescent="0.25">
      <c r="A347" t="s">
        <v>1101</v>
      </c>
      <c r="B347" t="s">
        <v>1102</v>
      </c>
    </row>
    <row r="348" spans="1:2" x14ac:dyDescent="0.25">
      <c r="A348" t="s">
        <v>1103</v>
      </c>
      <c r="B348" t="s">
        <v>1104</v>
      </c>
    </row>
    <row r="349" spans="1:2" x14ac:dyDescent="0.25">
      <c r="A349" t="s">
        <v>519</v>
      </c>
      <c r="B349" t="s">
        <v>1105</v>
      </c>
    </row>
    <row r="350" spans="1:2" x14ac:dyDescent="0.25">
      <c r="A350" t="s">
        <v>1106</v>
      </c>
      <c r="B350" t="s">
        <v>1107</v>
      </c>
    </row>
    <row r="351" spans="1:2" x14ac:dyDescent="0.25">
      <c r="A351" t="s">
        <v>1108</v>
      </c>
      <c r="B351" t="s">
        <v>1109</v>
      </c>
    </row>
    <row r="352" spans="1:2" x14ac:dyDescent="0.25">
      <c r="A352" t="s">
        <v>1110</v>
      </c>
      <c r="B352" t="s">
        <v>1111</v>
      </c>
    </row>
    <row r="353" spans="1:2" x14ac:dyDescent="0.25">
      <c r="A353" t="s">
        <v>520</v>
      </c>
      <c r="B353" t="s">
        <v>1112</v>
      </c>
    </row>
    <row r="354" spans="1:2" x14ac:dyDescent="0.25">
      <c r="A354" t="s">
        <v>155</v>
      </c>
      <c r="B354" t="s">
        <v>1113</v>
      </c>
    </row>
    <row r="355" spans="1:2" x14ac:dyDescent="0.25">
      <c r="A355" t="s">
        <v>521</v>
      </c>
      <c r="B355" t="s">
        <v>1114</v>
      </c>
    </row>
    <row r="356" spans="1:2" x14ac:dyDescent="0.25">
      <c r="A356" t="s">
        <v>522</v>
      </c>
      <c r="B356" t="s">
        <v>1115</v>
      </c>
    </row>
    <row r="357" spans="1:2" x14ac:dyDescent="0.25">
      <c r="A357" t="s">
        <v>602</v>
      </c>
      <c r="B357" t="s">
        <v>1116</v>
      </c>
    </row>
    <row r="358" spans="1:2" x14ac:dyDescent="0.25">
      <c r="A358" t="s">
        <v>1117</v>
      </c>
      <c r="B358" t="s">
        <v>1118</v>
      </c>
    </row>
    <row r="359" spans="1:2" x14ac:dyDescent="0.25">
      <c r="A359" t="s">
        <v>1119</v>
      </c>
      <c r="B359" t="s">
        <v>1120</v>
      </c>
    </row>
    <row r="360" spans="1:2" x14ac:dyDescent="0.25">
      <c r="A360" t="s">
        <v>523</v>
      </c>
      <c r="B360" t="s">
        <v>1121</v>
      </c>
    </row>
    <row r="361" spans="1:2" x14ac:dyDescent="0.25">
      <c r="A361" t="s">
        <v>1122</v>
      </c>
      <c r="B361" t="s">
        <v>1123</v>
      </c>
    </row>
    <row r="362" spans="1:2" x14ac:dyDescent="0.25">
      <c r="A362" t="s">
        <v>1124</v>
      </c>
      <c r="B362" t="s">
        <v>1125</v>
      </c>
    </row>
    <row r="363" spans="1:2" x14ac:dyDescent="0.25">
      <c r="A363" t="s">
        <v>524</v>
      </c>
      <c r="B363" t="s">
        <v>1126</v>
      </c>
    </row>
    <row r="364" spans="1:2" x14ac:dyDescent="0.25">
      <c r="A364" t="s">
        <v>1127</v>
      </c>
      <c r="B364" t="s">
        <v>1026</v>
      </c>
    </row>
    <row r="365" spans="1:2" x14ac:dyDescent="0.25">
      <c r="A365" t="s">
        <v>1128</v>
      </c>
      <c r="B365" t="s">
        <v>1129</v>
      </c>
    </row>
    <row r="366" spans="1:2" x14ac:dyDescent="0.25">
      <c r="A366" t="s">
        <v>1130</v>
      </c>
      <c r="B366" t="s">
        <v>1131</v>
      </c>
    </row>
    <row r="367" spans="1:2" x14ac:dyDescent="0.25">
      <c r="A367" t="s">
        <v>525</v>
      </c>
      <c r="B367" t="s">
        <v>1132</v>
      </c>
    </row>
    <row r="368" spans="1:2" x14ac:dyDescent="0.25">
      <c r="A368" t="s">
        <v>1133</v>
      </c>
      <c r="B368" t="s">
        <v>1134</v>
      </c>
    </row>
    <row r="369" spans="1:2" x14ac:dyDescent="0.25">
      <c r="A369" t="s">
        <v>1135</v>
      </c>
      <c r="B369" t="s">
        <v>1136</v>
      </c>
    </row>
    <row r="370" spans="1:2" x14ac:dyDescent="0.25">
      <c r="A370" t="s">
        <v>1137</v>
      </c>
      <c r="B370" t="s">
        <v>1138</v>
      </c>
    </row>
    <row r="371" spans="1:2" x14ac:dyDescent="0.25">
      <c r="A371" t="s">
        <v>526</v>
      </c>
      <c r="B371" t="s">
        <v>1139</v>
      </c>
    </row>
    <row r="372" spans="1:2" x14ac:dyDescent="0.25">
      <c r="A372" t="s">
        <v>527</v>
      </c>
      <c r="B372" t="s">
        <v>1140</v>
      </c>
    </row>
    <row r="373" spans="1:2" x14ac:dyDescent="0.25">
      <c r="A373" t="s">
        <v>528</v>
      </c>
      <c r="B373" t="s">
        <v>1141</v>
      </c>
    </row>
    <row r="374" spans="1:2" x14ac:dyDescent="0.25">
      <c r="A374" t="s">
        <v>1142</v>
      </c>
      <c r="B374" t="s">
        <v>1143</v>
      </c>
    </row>
    <row r="375" spans="1:2" x14ac:dyDescent="0.25">
      <c r="A375" t="s">
        <v>1144</v>
      </c>
      <c r="B375" t="s">
        <v>1145</v>
      </c>
    </row>
    <row r="376" spans="1:2" x14ac:dyDescent="0.25">
      <c r="A376" t="s">
        <v>1146</v>
      </c>
      <c r="B376" t="s">
        <v>1147</v>
      </c>
    </row>
    <row r="377" spans="1:2" x14ac:dyDescent="0.25">
      <c r="A377" t="s">
        <v>1148</v>
      </c>
      <c r="B377" t="s">
        <v>1149</v>
      </c>
    </row>
    <row r="378" spans="1:2" x14ac:dyDescent="0.25">
      <c r="A378" t="s">
        <v>529</v>
      </c>
      <c r="B378" t="s">
        <v>1150</v>
      </c>
    </row>
    <row r="379" spans="1:2" x14ac:dyDescent="0.25">
      <c r="A379" t="s">
        <v>530</v>
      </c>
      <c r="B379" t="s">
        <v>1151</v>
      </c>
    </row>
    <row r="380" spans="1:2" x14ac:dyDescent="0.25">
      <c r="A380" t="s">
        <v>1152</v>
      </c>
      <c r="B380" t="s">
        <v>1153</v>
      </c>
    </row>
    <row r="381" spans="1:2" x14ac:dyDescent="0.25">
      <c r="A381" t="s">
        <v>531</v>
      </c>
      <c r="B381" t="s">
        <v>926</v>
      </c>
    </row>
    <row r="382" spans="1:2" x14ac:dyDescent="0.25">
      <c r="A382" t="s">
        <v>532</v>
      </c>
      <c r="B382" t="s">
        <v>1154</v>
      </c>
    </row>
    <row r="383" spans="1:2" x14ac:dyDescent="0.25">
      <c r="A383" t="s">
        <v>1155</v>
      </c>
      <c r="B383" t="s">
        <v>1156</v>
      </c>
    </row>
    <row r="384" spans="1:2" x14ac:dyDescent="0.25">
      <c r="A384" t="s">
        <v>169</v>
      </c>
      <c r="B384" t="s">
        <v>1157</v>
      </c>
    </row>
    <row r="385" spans="1:2" x14ac:dyDescent="0.25">
      <c r="A385" t="s">
        <v>1158</v>
      </c>
      <c r="B385" t="s">
        <v>1159</v>
      </c>
    </row>
    <row r="386" spans="1:2" x14ac:dyDescent="0.25">
      <c r="A386" t="s">
        <v>1160</v>
      </c>
      <c r="B386" t="s">
        <v>1161</v>
      </c>
    </row>
    <row r="387" spans="1:2" x14ac:dyDescent="0.25">
      <c r="A387" t="s">
        <v>1162</v>
      </c>
      <c r="B387" t="s">
        <v>1163</v>
      </c>
    </row>
    <row r="388" spans="1:2" x14ac:dyDescent="0.25">
      <c r="A388" t="s">
        <v>1164</v>
      </c>
      <c r="B388" t="s">
        <v>1165</v>
      </c>
    </row>
    <row r="389" spans="1:2" x14ac:dyDescent="0.25">
      <c r="A389" t="s">
        <v>1166</v>
      </c>
      <c r="B389" t="s">
        <v>1167</v>
      </c>
    </row>
    <row r="390" spans="1:2" x14ac:dyDescent="0.25">
      <c r="A390" t="s">
        <v>533</v>
      </c>
      <c r="B390" t="s">
        <v>1168</v>
      </c>
    </row>
    <row r="391" spans="1:2" x14ac:dyDescent="0.25">
      <c r="A391" t="s">
        <v>534</v>
      </c>
      <c r="B391" t="s">
        <v>1169</v>
      </c>
    </row>
    <row r="392" spans="1:2" x14ac:dyDescent="0.25">
      <c r="A392" t="s">
        <v>1170</v>
      </c>
      <c r="B392" t="s">
        <v>1171</v>
      </c>
    </row>
    <row r="393" spans="1:2" x14ac:dyDescent="0.25">
      <c r="A393" t="s">
        <v>1172</v>
      </c>
      <c r="B393" t="s">
        <v>613</v>
      </c>
    </row>
    <row r="394" spans="1:2" x14ac:dyDescent="0.25">
      <c r="A394" t="s">
        <v>1173</v>
      </c>
      <c r="B394" t="s">
        <v>1174</v>
      </c>
    </row>
    <row r="395" spans="1:2" x14ac:dyDescent="0.25">
      <c r="A395" t="s">
        <v>535</v>
      </c>
      <c r="B395" t="s">
        <v>1175</v>
      </c>
    </row>
    <row r="396" spans="1:2" x14ac:dyDescent="0.25">
      <c r="A396" t="s">
        <v>1176</v>
      </c>
      <c r="B396" t="s">
        <v>880</v>
      </c>
    </row>
    <row r="397" spans="1:2" x14ac:dyDescent="0.25">
      <c r="A397" t="s">
        <v>536</v>
      </c>
      <c r="B397" t="s">
        <v>1177</v>
      </c>
    </row>
    <row r="398" spans="1:2" x14ac:dyDescent="0.25">
      <c r="A398" t="s">
        <v>537</v>
      </c>
      <c r="B398" t="s">
        <v>1178</v>
      </c>
    </row>
    <row r="399" spans="1:2" x14ac:dyDescent="0.25">
      <c r="A399" t="s">
        <v>1179</v>
      </c>
      <c r="B399" t="s">
        <v>1180</v>
      </c>
    </row>
    <row r="400" spans="1:2" x14ac:dyDescent="0.25">
      <c r="A400" t="s">
        <v>1181</v>
      </c>
      <c r="B400" t="s">
        <v>1182</v>
      </c>
    </row>
    <row r="401" spans="1:2" x14ac:dyDescent="0.25">
      <c r="A401" t="s">
        <v>1183</v>
      </c>
      <c r="B401" t="s">
        <v>1184</v>
      </c>
    </row>
    <row r="402" spans="1:2" x14ac:dyDescent="0.25">
      <c r="A402" t="s">
        <v>1185</v>
      </c>
      <c r="B402" t="s">
        <v>1186</v>
      </c>
    </row>
    <row r="403" spans="1:2" x14ac:dyDescent="0.25">
      <c r="A403" t="s">
        <v>538</v>
      </c>
      <c r="B403" t="s">
        <v>1187</v>
      </c>
    </row>
    <row r="404" spans="1:2" x14ac:dyDescent="0.25">
      <c r="A404" t="s">
        <v>539</v>
      </c>
      <c r="B404" t="s">
        <v>1188</v>
      </c>
    </row>
    <row r="405" spans="1:2" x14ac:dyDescent="0.25">
      <c r="A405" t="s">
        <v>540</v>
      </c>
      <c r="B405" t="s">
        <v>1189</v>
      </c>
    </row>
    <row r="406" spans="1:2" x14ac:dyDescent="0.25">
      <c r="A406" t="s">
        <v>541</v>
      </c>
      <c r="B406" t="s">
        <v>1190</v>
      </c>
    </row>
    <row r="407" spans="1:2" x14ac:dyDescent="0.25">
      <c r="A407" t="s">
        <v>542</v>
      </c>
      <c r="B407" t="s">
        <v>1191</v>
      </c>
    </row>
    <row r="408" spans="1:2" x14ac:dyDescent="0.25">
      <c r="A408" t="s">
        <v>625</v>
      </c>
      <c r="B408" t="s">
        <v>1192</v>
      </c>
    </row>
    <row r="409" spans="1:2" x14ac:dyDescent="0.25">
      <c r="A409" t="s">
        <v>543</v>
      </c>
      <c r="B409" t="s">
        <v>1193</v>
      </c>
    </row>
    <row r="410" spans="1:2" x14ac:dyDescent="0.25">
      <c r="A410" t="s">
        <v>1194</v>
      </c>
      <c r="B410" t="s">
        <v>1195</v>
      </c>
    </row>
    <row r="411" spans="1:2" x14ac:dyDescent="0.25">
      <c r="A411" t="s">
        <v>544</v>
      </c>
      <c r="B411" t="s">
        <v>1196</v>
      </c>
    </row>
    <row r="412" spans="1:2" x14ac:dyDescent="0.25">
      <c r="A412" t="s">
        <v>545</v>
      </c>
      <c r="B412" t="s">
        <v>1197</v>
      </c>
    </row>
    <row r="413" spans="1:2" x14ac:dyDescent="0.25">
      <c r="A413" t="s">
        <v>546</v>
      </c>
      <c r="B413" t="s">
        <v>1198</v>
      </c>
    </row>
    <row r="414" spans="1:2" x14ac:dyDescent="0.25">
      <c r="A414" t="s">
        <v>547</v>
      </c>
      <c r="B414" t="s">
        <v>1199</v>
      </c>
    </row>
    <row r="415" spans="1:2" x14ac:dyDescent="0.25">
      <c r="A415" t="s">
        <v>1200</v>
      </c>
      <c r="B415" t="s">
        <v>1201</v>
      </c>
    </row>
    <row r="416" spans="1:2" x14ac:dyDescent="0.25">
      <c r="A416" t="s">
        <v>548</v>
      </c>
      <c r="B416" t="s">
        <v>617</v>
      </c>
    </row>
    <row r="417" spans="1:2" x14ac:dyDescent="0.25">
      <c r="A417" t="s">
        <v>1202</v>
      </c>
      <c r="B417" t="s">
        <v>1203</v>
      </c>
    </row>
    <row r="418" spans="1:2" x14ac:dyDescent="0.25">
      <c r="A418" t="s">
        <v>549</v>
      </c>
      <c r="B418" t="s">
        <v>1204</v>
      </c>
    </row>
    <row r="419" spans="1:2" x14ac:dyDescent="0.25">
      <c r="A419" t="s">
        <v>554</v>
      </c>
      <c r="B419" t="s">
        <v>1205</v>
      </c>
    </row>
    <row r="420" spans="1:2" x14ac:dyDescent="0.25">
      <c r="A420" t="s">
        <v>550</v>
      </c>
      <c r="B420" t="s">
        <v>1206</v>
      </c>
    </row>
    <row r="421" spans="1:2" x14ac:dyDescent="0.25">
      <c r="A421" t="s">
        <v>1207</v>
      </c>
      <c r="B421" t="s">
        <v>1208</v>
      </c>
    </row>
    <row r="422" spans="1:2" x14ac:dyDescent="0.25">
      <c r="A422" t="s">
        <v>1209</v>
      </c>
      <c r="B422" t="s">
        <v>1210</v>
      </c>
    </row>
    <row r="423" spans="1:2" x14ac:dyDescent="0.25">
      <c r="A423" t="s">
        <v>551</v>
      </c>
      <c r="B423" t="s">
        <v>1211</v>
      </c>
    </row>
    <row r="424" spans="1:2" x14ac:dyDescent="0.25">
      <c r="A424" t="s">
        <v>1212</v>
      </c>
      <c r="B424" t="s">
        <v>1213</v>
      </c>
    </row>
    <row r="425" spans="1:2" x14ac:dyDescent="0.25">
      <c r="A425" t="s">
        <v>1214</v>
      </c>
      <c r="B425" t="s">
        <v>1215</v>
      </c>
    </row>
    <row r="426" spans="1:2" x14ac:dyDescent="0.25">
      <c r="A426" t="s">
        <v>1216</v>
      </c>
      <c r="B426" t="s">
        <v>1217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3D5BD-2168-4B8B-A37B-4CC60C0F3E12}">
  <sheetPr codeName="Hoja8"/>
  <dimension ref="A1:B96"/>
  <sheetViews>
    <sheetView workbookViewId="0">
      <selection activeCell="A30" sqref="A30:B73"/>
    </sheetView>
  </sheetViews>
  <sheetFormatPr baseColWidth="10" defaultRowHeight="15" x14ac:dyDescent="0.25"/>
  <cols>
    <col min="1" max="1" width="15.28515625" bestFit="1" customWidth="1"/>
    <col min="2" max="3" width="17.140625" bestFit="1" customWidth="1"/>
  </cols>
  <sheetData>
    <row r="1" spans="1:2" x14ac:dyDescent="0.25">
      <c r="A1" t="s">
        <v>233</v>
      </c>
      <c r="B1" t="s">
        <v>230</v>
      </c>
    </row>
    <row r="2" spans="1:2" x14ac:dyDescent="0.25">
      <c r="A2" t="s">
        <v>231</v>
      </c>
      <c r="B2" t="s">
        <v>709</v>
      </c>
    </row>
    <row r="3" spans="1:2" x14ac:dyDescent="0.25">
      <c r="A3" t="s">
        <v>294</v>
      </c>
      <c r="B3" t="s">
        <v>1259</v>
      </c>
    </row>
    <row r="4" spans="1:2" x14ac:dyDescent="0.25">
      <c r="A4" t="s">
        <v>234</v>
      </c>
      <c r="B4" t="s">
        <v>1260</v>
      </c>
    </row>
    <row r="5" spans="1:2" x14ac:dyDescent="0.25">
      <c r="A5" t="s">
        <v>295</v>
      </c>
      <c r="B5" t="s">
        <v>1261</v>
      </c>
    </row>
    <row r="6" spans="1:2" x14ac:dyDescent="0.25">
      <c r="A6" t="s">
        <v>158</v>
      </c>
      <c r="B6" t="s">
        <v>1262</v>
      </c>
    </row>
    <row r="7" spans="1:2" x14ac:dyDescent="0.25">
      <c r="A7" t="s">
        <v>296</v>
      </c>
      <c r="B7" t="s">
        <v>1263</v>
      </c>
    </row>
    <row r="8" spans="1:2" x14ac:dyDescent="0.25">
      <c r="A8" t="s">
        <v>202</v>
      </c>
      <c r="B8" t="s">
        <v>1264</v>
      </c>
    </row>
    <row r="9" spans="1:2" x14ac:dyDescent="0.25">
      <c r="A9" t="s">
        <v>297</v>
      </c>
      <c r="B9" t="s">
        <v>612</v>
      </c>
    </row>
    <row r="10" spans="1:2" x14ac:dyDescent="0.25">
      <c r="A10" t="s">
        <v>150</v>
      </c>
      <c r="B10" t="s">
        <v>757</v>
      </c>
    </row>
    <row r="11" spans="1:2" x14ac:dyDescent="0.25">
      <c r="A11" t="s">
        <v>298</v>
      </c>
      <c r="B11" t="s">
        <v>1265</v>
      </c>
    </row>
    <row r="12" spans="1:2" x14ac:dyDescent="0.25">
      <c r="A12" t="s">
        <v>235</v>
      </c>
      <c r="B12" t="s">
        <v>1266</v>
      </c>
    </row>
    <row r="13" spans="1:2" x14ac:dyDescent="0.25">
      <c r="A13" t="s">
        <v>299</v>
      </c>
      <c r="B13" t="s">
        <v>1267</v>
      </c>
    </row>
    <row r="14" spans="1:2" x14ac:dyDescent="0.25">
      <c r="A14" t="s">
        <v>156</v>
      </c>
      <c r="B14" t="s">
        <v>1268</v>
      </c>
    </row>
    <row r="15" spans="1:2" x14ac:dyDescent="0.25">
      <c r="A15" t="s">
        <v>300</v>
      </c>
      <c r="B15" t="s">
        <v>1269</v>
      </c>
    </row>
    <row r="16" spans="1:2" x14ac:dyDescent="0.25">
      <c r="A16" t="s">
        <v>301</v>
      </c>
      <c r="B16" t="s">
        <v>1270</v>
      </c>
    </row>
    <row r="17" spans="1:2" x14ac:dyDescent="0.25">
      <c r="A17" t="s">
        <v>237</v>
      </c>
      <c r="B17" t="s">
        <v>1271</v>
      </c>
    </row>
    <row r="18" spans="1:2" x14ac:dyDescent="0.25">
      <c r="A18" t="s">
        <v>302</v>
      </c>
      <c r="B18" t="s">
        <v>1272</v>
      </c>
    </row>
    <row r="19" spans="1:2" x14ac:dyDescent="0.25">
      <c r="A19" t="s">
        <v>143</v>
      </c>
      <c r="B19" t="s">
        <v>1273</v>
      </c>
    </row>
    <row r="20" spans="1:2" x14ac:dyDescent="0.25">
      <c r="A20" t="s">
        <v>303</v>
      </c>
      <c r="B20" t="s">
        <v>1274</v>
      </c>
    </row>
    <row r="21" spans="1:2" x14ac:dyDescent="0.25">
      <c r="A21" t="s">
        <v>304</v>
      </c>
      <c r="B21" t="s">
        <v>1275</v>
      </c>
    </row>
    <row r="22" spans="1:2" x14ac:dyDescent="0.25">
      <c r="A22" t="s">
        <v>149</v>
      </c>
      <c r="B22" t="s">
        <v>969</v>
      </c>
    </row>
    <row r="23" spans="1:2" x14ac:dyDescent="0.25">
      <c r="A23" t="s">
        <v>305</v>
      </c>
      <c r="B23" t="s">
        <v>1276</v>
      </c>
    </row>
    <row r="24" spans="1:2" x14ac:dyDescent="0.25">
      <c r="A24" t="s">
        <v>290</v>
      </c>
      <c r="B24" t="s">
        <v>1277</v>
      </c>
    </row>
    <row r="25" spans="1:2" x14ac:dyDescent="0.25">
      <c r="A25" t="s">
        <v>306</v>
      </c>
      <c r="B25" t="s">
        <v>1278</v>
      </c>
    </row>
    <row r="26" spans="1:2" x14ac:dyDescent="0.25">
      <c r="A26" t="s">
        <v>142</v>
      </c>
      <c r="B26" t="s">
        <v>1279</v>
      </c>
    </row>
    <row r="27" spans="1:2" x14ac:dyDescent="0.25">
      <c r="A27" t="s">
        <v>307</v>
      </c>
      <c r="B27" t="s">
        <v>1280</v>
      </c>
    </row>
    <row r="28" spans="1:2" x14ac:dyDescent="0.25">
      <c r="A28" t="s">
        <v>239</v>
      </c>
      <c r="B28" t="s">
        <v>1281</v>
      </c>
    </row>
    <row r="29" spans="1:2" x14ac:dyDescent="0.25">
      <c r="A29" t="s">
        <v>308</v>
      </c>
      <c r="B29" t="s">
        <v>1282</v>
      </c>
    </row>
    <row r="30" spans="1:2" x14ac:dyDescent="0.25">
      <c r="A30" t="s">
        <v>240</v>
      </c>
      <c r="B30" t="s">
        <v>1283</v>
      </c>
    </row>
    <row r="31" spans="1:2" x14ac:dyDescent="0.25">
      <c r="A31" t="s">
        <v>309</v>
      </c>
      <c r="B31" t="s">
        <v>1284</v>
      </c>
    </row>
    <row r="32" spans="1:2" x14ac:dyDescent="0.25">
      <c r="A32" t="s">
        <v>310</v>
      </c>
      <c r="B32" t="s">
        <v>1285</v>
      </c>
    </row>
    <row r="33" spans="1:2" x14ac:dyDescent="0.25">
      <c r="A33" t="s">
        <v>241</v>
      </c>
      <c r="B33" t="s">
        <v>1286</v>
      </c>
    </row>
    <row r="34" spans="1:2" x14ac:dyDescent="0.25">
      <c r="A34" t="s">
        <v>242</v>
      </c>
      <c r="B34" t="s">
        <v>1287</v>
      </c>
    </row>
    <row r="35" spans="1:2" x14ac:dyDescent="0.25">
      <c r="A35" t="s">
        <v>311</v>
      </c>
      <c r="B35" t="s">
        <v>1288</v>
      </c>
    </row>
    <row r="36" spans="1:2" x14ac:dyDescent="0.25">
      <c r="A36" t="s">
        <v>243</v>
      </c>
      <c r="B36" t="s">
        <v>1289</v>
      </c>
    </row>
    <row r="37" spans="1:2" x14ac:dyDescent="0.25">
      <c r="A37" t="s">
        <v>312</v>
      </c>
      <c r="B37" t="s">
        <v>1290</v>
      </c>
    </row>
    <row r="38" spans="1:2" x14ac:dyDescent="0.25">
      <c r="A38" t="s">
        <v>244</v>
      </c>
      <c r="B38" t="s">
        <v>1291</v>
      </c>
    </row>
    <row r="39" spans="1:2" x14ac:dyDescent="0.25">
      <c r="A39" t="s">
        <v>313</v>
      </c>
      <c r="B39" t="s">
        <v>1292</v>
      </c>
    </row>
    <row r="40" spans="1:2" x14ac:dyDescent="0.25">
      <c r="A40" t="s">
        <v>245</v>
      </c>
      <c r="B40" t="s">
        <v>1293</v>
      </c>
    </row>
    <row r="41" spans="1:2" x14ac:dyDescent="0.25">
      <c r="A41" t="s">
        <v>314</v>
      </c>
      <c r="B41" t="s">
        <v>1294</v>
      </c>
    </row>
    <row r="42" spans="1:2" x14ac:dyDescent="0.25">
      <c r="A42" t="s">
        <v>246</v>
      </c>
      <c r="B42" t="s">
        <v>1295</v>
      </c>
    </row>
    <row r="43" spans="1:2" x14ac:dyDescent="0.25">
      <c r="A43" t="s">
        <v>315</v>
      </c>
      <c r="B43" t="s">
        <v>1296</v>
      </c>
    </row>
    <row r="50" spans="1:2" x14ac:dyDescent="0.25">
      <c r="A50" t="s">
        <v>247</v>
      </c>
      <c r="B50" t="s">
        <v>230</v>
      </c>
    </row>
    <row r="51" spans="1:2" x14ac:dyDescent="0.25">
      <c r="A51" t="s">
        <v>248</v>
      </c>
      <c r="B51" t="s">
        <v>1218</v>
      </c>
    </row>
    <row r="52" spans="1:2" x14ac:dyDescent="0.25">
      <c r="A52" t="s">
        <v>249</v>
      </c>
      <c r="B52" t="s">
        <v>1219</v>
      </c>
    </row>
    <row r="53" spans="1:2" x14ac:dyDescent="0.25">
      <c r="A53" t="s">
        <v>250</v>
      </c>
      <c r="B53" t="s">
        <v>1220</v>
      </c>
    </row>
    <row r="54" spans="1:2" x14ac:dyDescent="0.25">
      <c r="A54" t="s">
        <v>251</v>
      </c>
      <c r="B54" t="s">
        <v>1221</v>
      </c>
    </row>
    <row r="55" spans="1:2" x14ac:dyDescent="0.25">
      <c r="A55" t="s">
        <v>252</v>
      </c>
      <c r="B55" t="s">
        <v>1222</v>
      </c>
    </row>
    <row r="56" spans="1:2" x14ac:dyDescent="0.25">
      <c r="A56" t="s">
        <v>253</v>
      </c>
      <c r="B56" t="s">
        <v>1223</v>
      </c>
    </row>
    <row r="57" spans="1:2" x14ac:dyDescent="0.25">
      <c r="A57" t="s">
        <v>254</v>
      </c>
      <c r="B57" t="s">
        <v>1224</v>
      </c>
    </row>
    <row r="58" spans="1:2" x14ac:dyDescent="0.25">
      <c r="A58" t="s">
        <v>255</v>
      </c>
      <c r="B58" t="s">
        <v>1225</v>
      </c>
    </row>
    <row r="59" spans="1:2" x14ac:dyDescent="0.25">
      <c r="A59" t="s">
        <v>256</v>
      </c>
      <c r="B59" t="s">
        <v>1226</v>
      </c>
    </row>
    <row r="60" spans="1:2" x14ac:dyDescent="0.25">
      <c r="A60" t="s">
        <v>257</v>
      </c>
      <c r="B60" t="s">
        <v>610</v>
      </c>
    </row>
    <row r="61" spans="1:2" x14ac:dyDescent="0.25">
      <c r="A61" t="s">
        <v>258</v>
      </c>
      <c r="B61" t="s">
        <v>1227</v>
      </c>
    </row>
    <row r="62" spans="1:2" x14ac:dyDescent="0.25">
      <c r="A62" t="s">
        <v>259</v>
      </c>
      <c r="B62" t="s">
        <v>1228</v>
      </c>
    </row>
    <row r="63" spans="1:2" x14ac:dyDescent="0.25">
      <c r="A63" t="s">
        <v>260</v>
      </c>
      <c r="B63" t="s">
        <v>1229</v>
      </c>
    </row>
    <row r="64" spans="1:2" x14ac:dyDescent="0.25">
      <c r="A64" t="s">
        <v>236</v>
      </c>
      <c r="B64" t="s">
        <v>1230</v>
      </c>
    </row>
    <row r="65" spans="1:2" x14ac:dyDescent="0.25">
      <c r="A65" t="s">
        <v>261</v>
      </c>
      <c r="B65" t="s">
        <v>1231</v>
      </c>
    </row>
    <row r="66" spans="1:2" x14ac:dyDescent="0.25">
      <c r="A66" t="s">
        <v>262</v>
      </c>
      <c r="B66" t="s">
        <v>1232</v>
      </c>
    </row>
    <row r="67" spans="1:2" x14ac:dyDescent="0.25">
      <c r="A67" t="s">
        <v>263</v>
      </c>
      <c r="B67" t="s">
        <v>1233</v>
      </c>
    </row>
    <row r="68" spans="1:2" x14ac:dyDescent="0.25">
      <c r="A68" t="s">
        <v>264</v>
      </c>
      <c r="B68" t="s">
        <v>1234</v>
      </c>
    </row>
    <row r="69" spans="1:2" x14ac:dyDescent="0.25">
      <c r="A69" t="s">
        <v>265</v>
      </c>
      <c r="B69" t="s">
        <v>1235</v>
      </c>
    </row>
    <row r="70" spans="1:2" x14ac:dyDescent="0.25">
      <c r="A70" t="s">
        <v>266</v>
      </c>
      <c r="B70" t="s">
        <v>1236</v>
      </c>
    </row>
    <row r="71" spans="1:2" x14ac:dyDescent="0.25">
      <c r="A71" t="s">
        <v>267</v>
      </c>
      <c r="B71" t="s">
        <v>609</v>
      </c>
    </row>
    <row r="72" spans="1:2" x14ac:dyDescent="0.25">
      <c r="A72" t="s">
        <v>268</v>
      </c>
      <c r="B72" t="s">
        <v>1237</v>
      </c>
    </row>
    <row r="73" spans="1:2" x14ac:dyDescent="0.25">
      <c r="A73" t="s">
        <v>269</v>
      </c>
      <c r="B73" t="s">
        <v>1238</v>
      </c>
    </row>
    <row r="74" spans="1:2" x14ac:dyDescent="0.25">
      <c r="A74" t="s">
        <v>270</v>
      </c>
      <c r="B74" t="s">
        <v>1239</v>
      </c>
    </row>
    <row r="75" spans="1:2" x14ac:dyDescent="0.25">
      <c r="A75" t="s">
        <v>232</v>
      </c>
      <c r="B75" t="s">
        <v>1240</v>
      </c>
    </row>
    <row r="76" spans="1:2" x14ac:dyDescent="0.25">
      <c r="A76" t="s">
        <v>141</v>
      </c>
      <c r="B76" t="s">
        <v>1241</v>
      </c>
    </row>
    <row r="77" spans="1:2" x14ac:dyDescent="0.25">
      <c r="A77" t="s">
        <v>271</v>
      </c>
      <c r="B77" t="s">
        <v>1242</v>
      </c>
    </row>
    <row r="78" spans="1:2" x14ac:dyDescent="0.25">
      <c r="A78" t="s">
        <v>1243</v>
      </c>
      <c r="B78" t="s">
        <v>623</v>
      </c>
    </row>
    <row r="79" spans="1:2" x14ac:dyDescent="0.25">
      <c r="A79" t="s">
        <v>272</v>
      </c>
      <c r="B79" t="s">
        <v>1244</v>
      </c>
    </row>
    <row r="80" spans="1:2" x14ac:dyDescent="0.25">
      <c r="A80" t="s">
        <v>273</v>
      </c>
      <c r="B80" t="s">
        <v>608</v>
      </c>
    </row>
    <row r="81" spans="1:2" x14ac:dyDescent="0.25">
      <c r="A81" t="s">
        <v>289</v>
      </c>
      <c r="B81" t="s">
        <v>1245</v>
      </c>
    </row>
    <row r="82" spans="1:2" x14ac:dyDescent="0.25">
      <c r="A82" t="s">
        <v>274</v>
      </c>
      <c r="B82" t="s">
        <v>1246</v>
      </c>
    </row>
    <row r="83" spans="1:2" x14ac:dyDescent="0.25">
      <c r="A83" t="s">
        <v>275</v>
      </c>
      <c r="B83" t="s">
        <v>1071</v>
      </c>
    </row>
    <row r="84" spans="1:2" x14ac:dyDescent="0.25">
      <c r="A84" t="s">
        <v>332</v>
      </c>
      <c r="B84" t="s">
        <v>333</v>
      </c>
    </row>
    <row r="85" spans="1:2" x14ac:dyDescent="0.25">
      <c r="A85" t="s">
        <v>238</v>
      </c>
      <c r="B85" t="s">
        <v>1247</v>
      </c>
    </row>
    <row r="86" spans="1:2" x14ac:dyDescent="0.25">
      <c r="A86" t="s">
        <v>276</v>
      </c>
      <c r="B86" t="s">
        <v>1248</v>
      </c>
    </row>
    <row r="87" spans="1:2" x14ac:dyDescent="0.25">
      <c r="A87" t="s">
        <v>277</v>
      </c>
      <c r="B87" t="s">
        <v>1249</v>
      </c>
    </row>
    <row r="88" spans="1:2" x14ac:dyDescent="0.25">
      <c r="A88" t="s">
        <v>278</v>
      </c>
      <c r="B88" t="s">
        <v>1250</v>
      </c>
    </row>
    <row r="89" spans="1:2" x14ac:dyDescent="0.25">
      <c r="A89" t="s">
        <v>279</v>
      </c>
      <c r="B89" t="s">
        <v>1251</v>
      </c>
    </row>
    <row r="90" spans="1:2" x14ac:dyDescent="0.25">
      <c r="A90" t="s">
        <v>280</v>
      </c>
      <c r="B90" t="s">
        <v>1252</v>
      </c>
    </row>
    <row r="91" spans="1:2" x14ac:dyDescent="0.25">
      <c r="A91" t="s">
        <v>281</v>
      </c>
      <c r="B91" t="s">
        <v>1253</v>
      </c>
    </row>
    <row r="92" spans="1:2" x14ac:dyDescent="0.25">
      <c r="A92" t="s">
        <v>282</v>
      </c>
      <c r="B92" t="s">
        <v>1254</v>
      </c>
    </row>
    <row r="93" spans="1:2" x14ac:dyDescent="0.25">
      <c r="A93" t="s">
        <v>283</v>
      </c>
      <c r="B93" t="s">
        <v>1255</v>
      </c>
    </row>
    <row r="94" spans="1:2" x14ac:dyDescent="0.25">
      <c r="A94" t="s">
        <v>284</v>
      </c>
      <c r="B94" t="s">
        <v>1256</v>
      </c>
    </row>
    <row r="95" spans="1:2" x14ac:dyDescent="0.25">
      <c r="A95" t="s">
        <v>285</v>
      </c>
      <c r="B95" t="s">
        <v>1257</v>
      </c>
    </row>
    <row r="96" spans="1:2" x14ac:dyDescent="0.25">
      <c r="A96" t="s">
        <v>286</v>
      </c>
      <c r="B96" t="s">
        <v>1258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1520F-C862-434F-BE55-0C196C6E8FCE}">
  <sheetPr codeName="Hoja6">
    <tabColor rgb="FF0070C0"/>
  </sheetPr>
  <dimension ref="B1:T38"/>
  <sheetViews>
    <sheetView showGridLines="0" zoomScale="80" zoomScaleNormal="80" workbookViewId="0">
      <selection activeCell="O24" sqref="O24"/>
    </sheetView>
  </sheetViews>
  <sheetFormatPr baseColWidth="10" defaultColWidth="11.5703125" defaultRowHeight="15" x14ac:dyDescent="0.25"/>
  <cols>
    <col min="1" max="1" width="37.42578125" customWidth="1"/>
    <col min="2" max="2" width="14.7109375" customWidth="1"/>
    <col min="3" max="3" width="15.42578125" customWidth="1"/>
    <col min="4" max="4" width="15.7109375" customWidth="1"/>
    <col min="5" max="5" width="5.7109375" customWidth="1"/>
    <col min="6" max="6" width="14.7109375" customWidth="1"/>
    <col min="7" max="7" width="15.42578125" customWidth="1"/>
    <col min="8" max="8" width="15.7109375" customWidth="1"/>
    <col min="9" max="9" width="5.7109375" customWidth="1"/>
    <col min="10" max="10" width="14.7109375" customWidth="1"/>
    <col min="11" max="11" width="15.42578125" customWidth="1"/>
    <col min="12" max="12" width="15.7109375" customWidth="1"/>
    <col min="13" max="13" width="5.7109375" customWidth="1"/>
    <col min="14" max="14" width="14.7109375" customWidth="1"/>
    <col min="15" max="15" width="19.28515625" bestFit="1" customWidth="1"/>
    <col min="16" max="16" width="15.7109375" customWidth="1"/>
    <col min="17" max="17" width="5.5703125" customWidth="1"/>
    <col min="19" max="19" width="19.85546875" customWidth="1"/>
    <col min="20" max="20" width="15.7109375" customWidth="1"/>
  </cols>
  <sheetData>
    <row r="1" spans="2:20" ht="15.75" thickBot="1" x14ac:dyDescent="0.3"/>
    <row r="2" spans="2:20" ht="15.75" thickBot="1" x14ac:dyDescent="0.3">
      <c r="B2" s="350" t="s">
        <v>630</v>
      </c>
      <c r="C2" s="351"/>
      <c r="D2" s="352"/>
      <c r="F2" s="350" t="s">
        <v>631</v>
      </c>
      <c r="G2" s="351"/>
      <c r="H2" s="352"/>
      <c r="J2" s="350" t="s">
        <v>632</v>
      </c>
      <c r="K2" s="351"/>
      <c r="L2" s="352"/>
      <c r="N2" s="350" t="s">
        <v>633</v>
      </c>
      <c r="O2" s="351"/>
      <c r="P2" s="352"/>
      <c r="R2" s="350" t="s">
        <v>194</v>
      </c>
      <c r="S2" s="351"/>
      <c r="T2" s="352"/>
    </row>
    <row r="3" spans="2:20" ht="15.75" thickBot="1" x14ac:dyDescent="0.3">
      <c r="B3" s="235" t="s">
        <v>116</v>
      </c>
      <c r="C3" s="236" t="s">
        <v>117</v>
      </c>
      <c r="D3" s="237" t="s">
        <v>118</v>
      </c>
      <c r="F3" s="235" t="s">
        <v>148</v>
      </c>
      <c r="G3" s="236" t="s">
        <v>117</v>
      </c>
      <c r="H3" s="237" t="s">
        <v>118</v>
      </c>
      <c r="J3" s="235" t="s">
        <v>193</v>
      </c>
      <c r="K3" s="236" t="s">
        <v>117</v>
      </c>
      <c r="L3" s="237" t="s">
        <v>118</v>
      </c>
      <c r="N3" s="118" t="s">
        <v>116</v>
      </c>
      <c r="O3" s="241" t="s">
        <v>117</v>
      </c>
      <c r="P3" s="242" t="s">
        <v>118</v>
      </c>
      <c r="R3" s="118" t="s">
        <v>116</v>
      </c>
      <c r="S3" s="241" t="s">
        <v>117</v>
      </c>
      <c r="T3" s="242" t="s">
        <v>118</v>
      </c>
    </row>
    <row r="4" spans="2:20" s="122" customFormat="1" ht="18" customHeight="1" x14ac:dyDescent="0.3">
      <c r="B4" s="250" t="s">
        <v>119</v>
      </c>
      <c r="C4" s="155">
        <f>Dolar!B3</f>
        <v>1435</v>
      </c>
      <c r="D4" s="233" t="s">
        <v>39</v>
      </c>
      <c r="F4" s="255" t="s">
        <v>158</v>
      </c>
      <c r="G4" s="155" t="str">
        <f>VLOOKUP(F4,Acciones!A1:B101,2,FALSE)</f>
        <v>11.000,00</v>
      </c>
      <c r="H4" s="156">
        <f>Tabla9[[#This Row],[Precio en ARS]]/C5</f>
        <v>7.6758288150613723</v>
      </c>
      <c r="J4" s="259" t="s">
        <v>173</v>
      </c>
      <c r="K4" s="155" t="str">
        <f>VLOOKUP(J4,Cedears[],2,FALSE)</f>
        <v>19.470,00</v>
      </c>
      <c r="L4" s="162">
        <f>Tabla10[[#This Row],[Precio en ARS]]/C5</f>
        <v>13.586217002658628</v>
      </c>
      <c r="N4" s="243" t="s">
        <v>20</v>
      </c>
      <c r="O4" s="155">
        <f>Crypto!B2</f>
        <v>103805188.81</v>
      </c>
      <c r="P4" s="233">
        <f>Crypto!D3</f>
        <v>68836.89</v>
      </c>
      <c r="R4" s="249" t="s">
        <v>192</v>
      </c>
      <c r="S4" s="216" cm="1">
        <f t="array" ref="S4">Bonos[Cierre]</f>
        <v>85740</v>
      </c>
      <c r="T4" s="233">
        <f>S4/C8</f>
        <v>59.829596600305642</v>
      </c>
    </row>
    <row r="5" spans="2:20" s="122" customFormat="1" ht="18" customHeight="1" x14ac:dyDescent="0.3">
      <c r="B5" s="239" t="s">
        <v>123</v>
      </c>
      <c r="C5" s="123">
        <f>Dolar!F8</f>
        <v>1433.07</v>
      </c>
      <c r="D5" s="234" t="s">
        <v>39</v>
      </c>
      <c r="F5" s="200" t="s">
        <v>202</v>
      </c>
      <c r="G5" s="123" t="str">
        <f>VLOOKUP(F5,Acciones!A2:B102,2,FALSE)</f>
        <v>305,00</v>
      </c>
      <c r="H5" s="124">
        <f>G5/Tabla13[[#This Row],[Precio en ARS]]</f>
        <v>0.21282979896306531</v>
      </c>
      <c r="J5" s="200" t="s">
        <v>172</v>
      </c>
      <c r="K5" s="123" t="str">
        <f>VLOOKUP(J5,Cedears[],2,FALSE)</f>
        <v>14.910,00</v>
      </c>
      <c r="L5" s="186">
        <f>Tabla10[[#This Row],[Precio en ARS]]/Tabla13[[#This Row],[Precio en ARS]]</f>
        <v>10.404237057505915</v>
      </c>
      <c r="N5" s="244"/>
      <c r="O5" s="154"/>
      <c r="P5" s="245"/>
      <c r="R5" s="244"/>
      <c r="S5" s="154"/>
      <c r="T5" s="245"/>
    </row>
    <row r="6" spans="2:20" s="122" customFormat="1" ht="18" customHeight="1" x14ac:dyDescent="0.3">
      <c r="B6" s="251" t="s">
        <v>120</v>
      </c>
      <c r="C6" s="123">
        <f>Dolar!B5</f>
        <v>1865.5</v>
      </c>
      <c r="D6" s="234" t="s">
        <v>39</v>
      </c>
      <c r="F6" s="170" t="s">
        <v>150</v>
      </c>
      <c r="G6" s="123" t="str">
        <f>VLOOKUP(F6,Acciones!A3:B103,2,FALSE)</f>
        <v>2.200,00</v>
      </c>
      <c r="H6" s="124">
        <f>Tabla9[[#This Row],[Precio en ARS]]/C5</f>
        <v>1.5351657630122744</v>
      </c>
      <c r="J6" s="198" t="s">
        <v>170</v>
      </c>
      <c r="K6" s="123" t="str">
        <f>VLOOKUP(J6,Cedears[],2,FALSE)</f>
        <v>7.670,00</v>
      </c>
      <c r="L6" s="186">
        <f>Tabla10[[#This Row],[Precio en ARS]]/C5</f>
        <v>5.3521460919564294</v>
      </c>
      <c r="N6" s="244"/>
      <c r="O6" s="154"/>
      <c r="P6" s="245"/>
      <c r="R6" s="244"/>
      <c r="S6" s="154"/>
      <c r="T6" s="245"/>
    </row>
    <row r="7" spans="2:20" s="122" customFormat="1" ht="18" customHeight="1" x14ac:dyDescent="0.3">
      <c r="B7" s="252" t="s">
        <v>115</v>
      </c>
      <c r="C7" s="123">
        <f>Dolar!C6</f>
        <v>1425</v>
      </c>
      <c r="D7" s="234" t="s">
        <v>39</v>
      </c>
      <c r="F7" s="160" t="s">
        <v>156</v>
      </c>
      <c r="G7" s="123" t="str">
        <f>VLOOKUP(F7,Acciones!A4:B104,2,FALSE)</f>
        <v>1.627,00</v>
      </c>
      <c r="H7" s="124">
        <f>Tabla9[[#This Row],[Precio en ARS]]/C5</f>
        <v>1.135324862009532</v>
      </c>
      <c r="J7" s="185" t="s">
        <v>161</v>
      </c>
      <c r="K7" s="123" t="str">
        <f>VLOOKUP(J7,Cedears[],2,FALSE)</f>
        <v>23.520,00</v>
      </c>
      <c r="L7" s="186">
        <f>Tabla10[[#This Row],[Precio en ARS]]/C5</f>
        <v>16.412317611840315</v>
      </c>
      <c r="N7" s="244"/>
      <c r="O7" s="154"/>
      <c r="P7" s="245"/>
      <c r="R7" s="244"/>
      <c r="S7" s="154"/>
      <c r="T7" s="245"/>
    </row>
    <row r="8" spans="2:20" s="122" customFormat="1" ht="18" customHeight="1" x14ac:dyDescent="0.3">
      <c r="B8" s="253" t="s">
        <v>147</v>
      </c>
      <c r="C8" s="123">
        <f>USD_1[[#This Row],[Value.al30.ci.price]]</f>
        <v>1433.07</v>
      </c>
      <c r="D8" s="234" t="s">
        <v>39</v>
      </c>
      <c r="F8" s="157" t="s">
        <v>143</v>
      </c>
      <c r="G8" s="123" t="str">
        <f>VLOOKUP(F8,Acciones!A5:B105,2,FALSE)</f>
        <v>6.505,00</v>
      </c>
      <c r="H8" s="124">
        <f>Tabla9[[#This Row],[Precio en ARS]]/C5</f>
        <v>4.5392060401794749</v>
      </c>
      <c r="J8" s="219" t="s">
        <v>185</v>
      </c>
      <c r="K8" s="123" t="str">
        <f>VLOOKUP(J8,Cedears[],2,FALSE)</f>
        <v>21.120,00</v>
      </c>
      <c r="L8" s="186">
        <f>Tabla10[[#This Row],[Precio en ARS]]/C5</f>
        <v>14.737591324917835</v>
      </c>
      <c r="N8" s="244"/>
      <c r="O8" s="154"/>
      <c r="P8" s="245"/>
      <c r="R8" s="244"/>
      <c r="S8" s="154"/>
      <c r="T8" s="245"/>
    </row>
    <row r="9" spans="2:20" s="122" customFormat="1" ht="18" customHeight="1" x14ac:dyDescent="0.3">
      <c r="B9" s="254" t="s">
        <v>124</v>
      </c>
      <c r="C9" s="123">
        <f>Dolar!E7</f>
        <v>1464.72</v>
      </c>
      <c r="D9" s="234" t="s">
        <v>39</v>
      </c>
      <c r="F9" s="141" t="s">
        <v>141</v>
      </c>
      <c r="G9" s="123" t="str">
        <f>VLOOKUP(F9,Acciones!A6:B106,2,FALSE)</f>
        <v>5.430,00</v>
      </c>
      <c r="H9" s="124">
        <f>Tabla9[[#This Row],[Precio en ARS]]/C5</f>
        <v>3.7890682241621136</v>
      </c>
      <c r="J9" s="140" t="s">
        <v>174</v>
      </c>
      <c r="K9" s="123" t="str">
        <f>VLOOKUP(J9,Cedears[],2,FALSE)</f>
        <v>20.070,00</v>
      </c>
      <c r="L9" s="186">
        <f>Tabla10[[#This Row],[Precio en ARS]]/C5</f>
        <v>14.004898574389248</v>
      </c>
      <c r="N9" s="244"/>
      <c r="O9" s="154"/>
      <c r="P9" s="245"/>
      <c r="R9" s="244"/>
      <c r="S9" s="154"/>
      <c r="T9" s="245"/>
    </row>
    <row r="10" spans="2:20" ht="18" customHeight="1" x14ac:dyDescent="0.3">
      <c r="B10" s="246"/>
      <c r="C10" s="247"/>
      <c r="D10" s="248"/>
      <c r="F10" s="158" t="s">
        <v>149</v>
      </c>
      <c r="G10" s="123" t="str">
        <f>VLOOKUP(F10,Acciones!A7:B107,2,FALSE)</f>
        <v>2.980,00</v>
      </c>
      <c r="H10" s="124">
        <f>Tabla9[[#This Row],[Precio en ARS]]/C5</f>
        <v>2.0794518062620808</v>
      </c>
      <c r="J10" s="258" t="s">
        <v>218</v>
      </c>
      <c r="K10" s="123" t="str">
        <f>VLOOKUP(J10,Cedears[],2,FALSE)</f>
        <v>11.090,00</v>
      </c>
      <c r="L10" s="186">
        <f>Tabla10[[#This Row],[Precio en ARS]]/C5</f>
        <v>7.738631050820965</v>
      </c>
      <c r="N10" s="246"/>
      <c r="O10" s="247"/>
      <c r="P10" s="248"/>
      <c r="R10" s="246"/>
      <c r="S10" s="247"/>
      <c r="T10" s="248"/>
    </row>
    <row r="11" spans="2:20" s="122" customFormat="1" ht="18" customHeight="1" x14ac:dyDescent="0.3">
      <c r="B11"/>
      <c r="C11"/>
      <c r="D11"/>
      <c r="F11" s="140" t="s">
        <v>142</v>
      </c>
      <c r="G11" s="123" t="str">
        <f>VLOOKUP(F11,Acciones!A8:B108,2,FALSE)</f>
        <v>4.482,50</v>
      </c>
      <c r="H11" s="124">
        <f>Tabla9[[#This Row],[Precio en ARS]]/C5</f>
        <v>3.1279002421375091</v>
      </c>
      <c r="J11" s="199" t="s">
        <v>171</v>
      </c>
      <c r="K11" s="123" t="str">
        <f>VLOOKUP(J11,Cedears[],2,FALSE)</f>
        <v>8.630,00</v>
      </c>
      <c r="L11" s="186">
        <f>Tabla10[[#This Row],[Precio en ARS]]/C5</f>
        <v>6.0220366067254218</v>
      </c>
      <c r="N11"/>
      <c r="O11"/>
      <c r="P11"/>
    </row>
    <row r="12" spans="2:20" ht="18.75" x14ac:dyDescent="0.3">
      <c r="E12" s="122"/>
      <c r="F12" s="159" t="s">
        <v>241</v>
      </c>
      <c r="G12" s="123" t="str">
        <f>VLOOKUP(F12,Acciones!A9:B109,2,FALSE)</f>
        <v>3.817,50</v>
      </c>
      <c r="H12" s="124">
        <f>Tabla9[[#This Row],[Precio en ARS]]/C5</f>
        <v>2.6638615001360715</v>
      </c>
      <c r="I12" s="122"/>
      <c r="J12" s="158" t="s">
        <v>184</v>
      </c>
      <c r="K12" s="123" t="str">
        <f>VLOOKUP(J12,Cedears[],2,FALSE)</f>
        <v>50.400,00</v>
      </c>
      <c r="L12" s="186">
        <f>Tabla10[[#This Row],[Precio en ARS]]/C5</f>
        <v>35.169252025372103</v>
      </c>
      <c r="M12" s="122"/>
    </row>
    <row r="13" spans="2:20" ht="18.75" x14ac:dyDescent="0.3">
      <c r="E13" s="122"/>
      <c r="F13" s="178" t="s">
        <v>242</v>
      </c>
      <c r="G13" s="123" t="str">
        <f>VLOOKUP(F13,Acciones_Lider[],2,FALSE)</f>
        <v>8.665,00</v>
      </c>
      <c r="H13" s="124">
        <f>Tabla9[[#This Row],[Precio en ARS]]/C5</f>
        <v>6.0464596984097083</v>
      </c>
      <c r="I13" s="122"/>
      <c r="J13" s="260" t="s">
        <v>155</v>
      </c>
      <c r="K13" s="123" t="str">
        <f>VLOOKUP(J13,Cedears[],2,FALSE)</f>
        <v>38.640,00</v>
      </c>
      <c r="L13" s="186">
        <f>Tabla10[[#This Row],[Precio en ARS]]/C5</f>
        <v>26.963093219451945</v>
      </c>
      <c r="M13" s="122"/>
    </row>
    <row r="14" spans="2:20" ht="18.75" x14ac:dyDescent="0.3">
      <c r="E14" s="122"/>
      <c r="F14" s="256" t="s">
        <v>246</v>
      </c>
      <c r="G14" s="123" t="str">
        <f>VLOOKUP(F14,Acciones_Lider[],2,FALSE)</f>
        <v>52.175,00</v>
      </c>
      <c r="H14" s="124">
        <f>Tabla9[[#This Row],[Precio en ARS]]/C5</f>
        <v>36.407851675075193</v>
      </c>
      <c r="I14" s="122"/>
      <c r="J14" s="125" t="s">
        <v>169</v>
      </c>
      <c r="K14" s="123" t="str">
        <f>VLOOKUP(J14,Cedears[],2,FALSE)</f>
        <v>29.140,00</v>
      </c>
      <c r="L14" s="186">
        <f>Tabla10[[#This Row],[Precio en ARS]]/C5</f>
        <v>20.333968333717127</v>
      </c>
      <c r="M14" s="122"/>
    </row>
    <row r="15" spans="2:20" ht="18.75" x14ac:dyDescent="0.25">
      <c r="C15" s="206"/>
      <c r="F15" s="180"/>
      <c r="G15" s="62"/>
      <c r="H15" s="65"/>
      <c r="J15" s="180"/>
      <c r="K15" s="62"/>
      <c r="L15" s="65"/>
    </row>
    <row r="16" spans="2:20" ht="18.75" x14ac:dyDescent="0.25">
      <c r="F16" s="180"/>
      <c r="G16" s="62"/>
      <c r="H16" s="65"/>
      <c r="J16" s="180"/>
      <c r="K16" s="62"/>
      <c r="L16" s="65"/>
    </row>
    <row r="17" spans="3:12" ht="18.75" x14ac:dyDescent="0.25">
      <c r="F17" s="180"/>
      <c r="G17" s="62"/>
      <c r="H17" s="65"/>
      <c r="J17" s="180"/>
      <c r="K17" s="62"/>
      <c r="L17" s="65"/>
    </row>
    <row r="18" spans="3:12" ht="18.75" x14ac:dyDescent="0.25">
      <c r="F18" s="180"/>
      <c r="G18" s="62"/>
      <c r="H18" s="65"/>
      <c r="J18" s="180"/>
      <c r="K18" s="62"/>
      <c r="L18" s="65"/>
    </row>
    <row r="19" spans="3:12" ht="18.75" x14ac:dyDescent="0.25">
      <c r="C19" s="206"/>
      <c r="F19" s="180"/>
      <c r="G19" s="62"/>
      <c r="H19" s="65"/>
      <c r="J19" s="180"/>
      <c r="K19" s="62"/>
      <c r="L19" s="65"/>
    </row>
    <row r="20" spans="3:12" ht="18.75" x14ac:dyDescent="0.25">
      <c r="F20" s="180"/>
      <c r="G20" s="62"/>
      <c r="H20" s="65"/>
      <c r="J20" s="180"/>
      <c r="K20" s="62"/>
      <c r="L20" s="65"/>
    </row>
    <row r="21" spans="3:12" ht="18.75" x14ac:dyDescent="0.25">
      <c r="F21" s="180"/>
      <c r="G21" s="62"/>
      <c r="H21" s="65"/>
      <c r="J21" s="180"/>
      <c r="K21" s="62"/>
      <c r="L21" s="65"/>
    </row>
    <row r="22" spans="3:12" ht="18.75" x14ac:dyDescent="0.25">
      <c r="F22" s="180"/>
      <c r="G22" s="62"/>
      <c r="H22" s="65"/>
      <c r="J22" s="180"/>
      <c r="K22" s="62"/>
      <c r="L22" s="65"/>
    </row>
    <row r="23" spans="3:12" ht="18.75" x14ac:dyDescent="0.25">
      <c r="F23" s="180"/>
      <c r="G23" s="62"/>
      <c r="H23" s="65"/>
      <c r="J23" s="180"/>
      <c r="K23" s="62"/>
      <c r="L23" s="65"/>
    </row>
    <row r="24" spans="3:12" ht="18.75" x14ac:dyDescent="0.25">
      <c r="F24" s="180"/>
      <c r="G24" s="62"/>
      <c r="H24" s="65"/>
      <c r="J24" s="180"/>
      <c r="K24" s="62"/>
      <c r="L24" s="65"/>
    </row>
    <row r="25" spans="3:12" ht="18.75" x14ac:dyDescent="0.25">
      <c r="F25" s="180"/>
      <c r="G25" s="62"/>
      <c r="H25" s="65"/>
      <c r="J25" s="180"/>
      <c r="K25" s="62"/>
      <c r="L25" s="65"/>
    </row>
    <row r="26" spans="3:12" ht="19.5" thickBot="1" x14ac:dyDescent="0.3">
      <c r="F26" s="181"/>
      <c r="G26" s="143"/>
      <c r="H26" s="144"/>
      <c r="J26" s="181"/>
      <c r="K26" s="143"/>
      <c r="L26" s="144"/>
    </row>
    <row r="38" spans="8:8" x14ac:dyDescent="0.25">
      <c r="H38" s="193"/>
    </row>
  </sheetData>
  <mergeCells count="5">
    <mergeCell ref="R2:T2"/>
    <mergeCell ref="B2:D2"/>
    <mergeCell ref="F2:H2"/>
    <mergeCell ref="N2:P2"/>
    <mergeCell ref="J2:L2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AB5A2-52DC-4B6A-A78D-C639D5BFA4E3}">
  <sheetPr codeName="Hoja13">
    <tabColor rgb="FF0070C0"/>
  </sheetPr>
  <dimension ref="B1:O38"/>
  <sheetViews>
    <sheetView showGridLines="0" zoomScale="80" zoomScaleNormal="80" workbookViewId="0">
      <selection activeCell="J20" sqref="J20"/>
    </sheetView>
  </sheetViews>
  <sheetFormatPr baseColWidth="10" defaultColWidth="11.5703125" defaultRowHeight="15" x14ac:dyDescent="0.25"/>
  <cols>
    <col min="1" max="1" width="2.85546875" customWidth="1"/>
    <col min="2" max="2" width="10.7109375" customWidth="1"/>
    <col min="3" max="3" width="10.85546875" customWidth="1"/>
    <col min="4" max="4" width="15.42578125" customWidth="1"/>
    <col min="5" max="5" width="15.7109375" customWidth="1"/>
    <col min="6" max="6" width="5.7109375" customWidth="1"/>
    <col min="7" max="7" width="10.7109375" customWidth="1"/>
    <col min="8" max="8" width="10.85546875" customWidth="1"/>
    <col min="9" max="9" width="15.42578125" customWidth="1"/>
    <col min="10" max="10" width="15.7109375" customWidth="1"/>
    <col min="11" max="11" width="6" customWidth="1"/>
    <col min="12" max="12" width="10.7109375" customWidth="1"/>
    <col min="13" max="13" width="10.85546875" customWidth="1"/>
    <col min="14" max="14" width="15.42578125" customWidth="1"/>
    <col min="15" max="15" width="15.7109375" customWidth="1"/>
    <col min="17" max="17" width="7" customWidth="1"/>
    <col min="18" max="18" width="11.5703125" customWidth="1"/>
  </cols>
  <sheetData>
    <row r="1" spans="2:15" ht="15.75" thickBot="1" x14ac:dyDescent="0.3"/>
    <row r="2" spans="2:15" ht="15.75" thickBot="1" x14ac:dyDescent="0.3">
      <c r="B2" s="350" t="s">
        <v>167</v>
      </c>
      <c r="C2" s="351"/>
      <c r="D2" s="351"/>
      <c r="E2" s="352"/>
      <c r="G2" s="350" t="s">
        <v>168</v>
      </c>
      <c r="H2" s="351"/>
      <c r="I2" s="351"/>
      <c r="J2" s="352"/>
      <c r="L2" s="350" t="s">
        <v>209</v>
      </c>
      <c r="M2" s="351"/>
      <c r="N2" s="351"/>
      <c r="O2" s="352"/>
    </row>
    <row r="3" spans="2:15" ht="15.75" thickBot="1" x14ac:dyDescent="0.3">
      <c r="B3" s="235" t="s">
        <v>148</v>
      </c>
      <c r="C3" s="235" t="s">
        <v>164</v>
      </c>
      <c r="D3" s="236" t="s">
        <v>117</v>
      </c>
      <c r="E3" s="237" t="s">
        <v>118</v>
      </c>
      <c r="G3" s="235" t="s">
        <v>148</v>
      </c>
      <c r="H3" s="235" t="s">
        <v>164</v>
      </c>
      <c r="I3" s="236" t="s">
        <v>117</v>
      </c>
      <c r="J3" s="237" t="s">
        <v>118</v>
      </c>
      <c r="L3" s="118" t="s">
        <v>148</v>
      </c>
      <c r="M3" s="118" t="s">
        <v>164</v>
      </c>
      <c r="N3" s="241" t="s">
        <v>117</v>
      </c>
      <c r="O3" s="242" t="s">
        <v>118</v>
      </c>
    </row>
    <row r="4" spans="2:15" s="122" customFormat="1" ht="18" customHeight="1" x14ac:dyDescent="0.3">
      <c r="B4" s="255" t="s">
        <v>158</v>
      </c>
      <c r="C4" s="327">
        <v>0</v>
      </c>
      <c r="D4" s="155">
        <f>C4*Tabla9[[#This Row],[Precio en ARS]]</f>
        <v>0</v>
      </c>
      <c r="E4" s="156">
        <f>Tabla14[[#This Row],[Cantidad]]*Tabla9[[#This Row],[Precio en USD]]</f>
        <v>0</v>
      </c>
      <c r="G4" s="259" t="s">
        <v>173</v>
      </c>
      <c r="H4" s="329">
        <v>0</v>
      </c>
      <c r="I4" s="161">
        <f>H4*Tabla10[[#This Row],[Precio en ARS]]</f>
        <v>0</v>
      </c>
      <c r="J4" s="162">
        <f>Tabla15[[#This Row],[Cantidad]]*Tabla10[[#This Row],[Precio en USD]]</f>
        <v>0</v>
      </c>
      <c r="L4" s="249" t="s">
        <v>192</v>
      </c>
      <c r="M4" s="327">
        <v>0</v>
      </c>
      <c r="N4" s="161">
        <f>M4*Tabla12[[#This Row],[Precio en ARS]]</f>
        <v>0</v>
      </c>
      <c r="O4" s="240">
        <f>Tabla16[[#This Row],[Cantidad]]*Tabla12[[#This Row],[Precio en USD]]</f>
        <v>0</v>
      </c>
    </row>
    <row r="5" spans="2:15" s="122" customFormat="1" ht="18" customHeight="1" x14ac:dyDescent="0.3">
      <c r="B5" s="200" t="s">
        <v>202</v>
      </c>
      <c r="C5" s="328">
        <v>0</v>
      </c>
      <c r="D5" s="123">
        <f>C5*Tabla9[[#This Row],[Precio en ARS]]</f>
        <v>0</v>
      </c>
      <c r="E5" s="124">
        <f>Tabla14[[#This Row],[Cantidad]]*Tabla9[[#This Row],[Precio en USD]]</f>
        <v>0</v>
      </c>
      <c r="G5" s="200" t="s">
        <v>172</v>
      </c>
      <c r="H5" s="328">
        <v>0</v>
      </c>
      <c r="I5" s="184">
        <f>H5*Tabla10[[#This Row],[Precio en ARS]]</f>
        <v>0</v>
      </c>
      <c r="J5" s="186">
        <f>Tabla15[[#This Row],[Cantidad]]*Tabla10[[#This Row],[Precio en USD]]</f>
        <v>0</v>
      </c>
      <c r="L5" s="232"/>
      <c r="M5" s="177"/>
      <c r="N5" s="123"/>
      <c r="O5" s="234"/>
    </row>
    <row r="6" spans="2:15" s="122" customFormat="1" ht="18" customHeight="1" x14ac:dyDescent="0.3">
      <c r="B6" s="170" t="s">
        <v>150</v>
      </c>
      <c r="C6" s="328">
        <v>0</v>
      </c>
      <c r="D6" s="123">
        <f>C6*Tabla9[[#This Row],[Precio en ARS]]</f>
        <v>0</v>
      </c>
      <c r="E6" s="124">
        <f>Tabla14[[#This Row],[Cantidad]]*Tabla9[[#This Row],[Precio en USD]]</f>
        <v>0</v>
      </c>
      <c r="G6" s="198" t="s">
        <v>170</v>
      </c>
      <c r="H6" s="328">
        <v>0</v>
      </c>
      <c r="I6" s="184">
        <f>H6*Tabla10[[#This Row],[Precio en ARS]]</f>
        <v>0</v>
      </c>
      <c r="J6" s="186">
        <f>Tabla15[[#This Row],[Cantidad]]*Tabla10[[#This Row],[Precio en USD]]</f>
        <v>0</v>
      </c>
      <c r="L6" s="232"/>
      <c r="M6" s="177"/>
      <c r="N6" s="123"/>
      <c r="O6" s="234"/>
    </row>
    <row r="7" spans="2:15" s="122" customFormat="1" ht="18" customHeight="1" x14ac:dyDescent="0.3">
      <c r="B7" s="160" t="s">
        <v>156</v>
      </c>
      <c r="C7" s="328">
        <v>0</v>
      </c>
      <c r="D7" s="123">
        <f>C7*Tabla9[[#This Row],[Precio en ARS]]</f>
        <v>0</v>
      </c>
      <c r="E7" s="124">
        <f>Tabla14[[#This Row],[Cantidad]]*Tabla9[[#This Row],[Precio en USD]]</f>
        <v>0</v>
      </c>
      <c r="G7" s="185" t="s">
        <v>161</v>
      </c>
      <c r="H7" s="328">
        <v>0</v>
      </c>
      <c r="I7" s="184">
        <f>H7*Tabla10[[#This Row],[Precio en ARS]]</f>
        <v>0</v>
      </c>
      <c r="J7" s="186">
        <f>Tabla15[[#This Row],[Cantidad]]*Tabla10[[#This Row],[Precio en USD]]</f>
        <v>0</v>
      </c>
      <c r="L7" s="232"/>
      <c r="M7" s="177"/>
      <c r="N7" s="123"/>
      <c r="O7" s="234"/>
    </row>
    <row r="8" spans="2:15" s="122" customFormat="1" ht="18" customHeight="1" x14ac:dyDescent="0.3">
      <c r="B8" s="157" t="s">
        <v>143</v>
      </c>
      <c r="C8" s="328">
        <v>0</v>
      </c>
      <c r="D8" s="123">
        <f>C8*Tabla9[[#This Row],[Precio en ARS]]</f>
        <v>0</v>
      </c>
      <c r="E8" s="124">
        <f>Tabla14[[#This Row],[Cantidad]]*Tabla9[[#This Row],[Precio en USD]]</f>
        <v>0</v>
      </c>
      <c r="G8" s="219" t="s">
        <v>185</v>
      </c>
      <c r="H8" s="328">
        <v>0</v>
      </c>
      <c r="I8" s="184">
        <f>H8*Tabla10[[#This Row],[Precio en ARS]]</f>
        <v>0</v>
      </c>
      <c r="J8" s="186">
        <f>Tabla15[[#This Row],[Cantidad]]*Tabla10[[#This Row],[Precio en USD]]</f>
        <v>0</v>
      </c>
      <c r="L8" s="232"/>
      <c r="M8" s="177"/>
      <c r="N8" s="123"/>
      <c r="O8" s="234"/>
    </row>
    <row r="9" spans="2:15" s="122" customFormat="1" ht="18" customHeight="1" x14ac:dyDescent="0.3">
      <c r="B9" s="141" t="s">
        <v>141</v>
      </c>
      <c r="C9" s="328">
        <v>0</v>
      </c>
      <c r="D9" s="123">
        <f>C9*Tabla9[[#This Row],[Precio en ARS]]</f>
        <v>0</v>
      </c>
      <c r="E9" s="124">
        <f>Tabla14[[#This Row],[Cantidad]]*Tabla9[[#This Row],[Precio en USD]]</f>
        <v>0</v>
      </c>
      <c r="G9" s="140" t="s">
        <v>174</v>
      </c>
      <c r="H9" s="328">
        <v>0</v>
      </c>
      <c r="I9" s="184">
        <f>H9*Tabla10[[#This Row],[Precio en ARS]]</f>
        <v>0</v>
      </c>
      <c r="J9" s="186">
        <f>Tabla15[[#This Row],[Cantidad]]*Tabla10[[#This Row],[Precio en USD]]</f>
        <v>0</v>
      </c>
      <c r="L9" s="232"/>
      <c r="M9" s="177"/>
      <c r="N9" s="123"/>
      <c r="O9" s="234"/>
    </row>
    <row r="10" spans="2:15" ht="18" customHeight="1" x14ac:dyDescent="0.3">
      <c r="B10" s="158" t="s">
        <v>149</v>
      </c>
      <c r="C10" s="328">
        <v>0</v>
      </c>
      <c r="D10" s="123">
        <f>C10*Tabla9[[#This Row],[Precio en ARS]]</f>
        <v>0</v>
      </c>
      <c r="E10" s="124">
        <f>Tabla14[[#This Row],[Cantidad]]*Tabla9[[#This Row],[Precio en USD]]</f>
        <v>0</v>
      </c>
      <c r="G10" s="258" t="s">
        <v>218</v>
      </c>
      <c r="H10" s="328">
        <v>0</v>
      </c>
      <c r="I10" s="184">
        <f>H10*Tabla10[[#This Row],[Precio en ARS]]</f>
        <v>0</v>
      </c>
      <c r="J10" s="186">
        <f>Tabla15[[#This Row],[Cantidad]]*Tabla10[[#This Row],[Precio en USD]]</f>
        <v>0</v>
      </c>
      <c r="L10" s="232"/>
      <c r="M10" s="177"/>
      <c r="N10" s="123"/>
      <c r="O10" s="234"/>
    </row>
    <row r="11" spans="2:15" s="122" customFormat="1" ht="18" customHeight="1" x14ac:dyDescent="0.3">
      <c r="B11" s="140" t="s">
        <v>142</v>
      </c>
      <c r="C11" s="328">
        <v>0</v>
      </c>
      <c r="D11" s="123">
        <f>C11*Tabla9[[#This Row],[Precio en ARS]]</f>
        <v>0</v>
      </c>
      <c r="E11" s="124">
        <f>Tabla14[[#This Row],[Cantidad]]*Tabla9[[#This Row],[Precio en USD]]</f>
        <v>0</v>
      </c>
      <c r="G11" s="199" t="s">
        <v>171</v>
      </c>
      <c r="H11" s="328">
        <v>0</v>
      </c>
      <c r="I11" s="184">
        <f>H11*Tabla10[[#This Row],[Precio en ARS]]</f>
        <v>0</v>
      </c>
      <c r="J11" s="186">
        <f>Tabla15[[#This Row],[Cantidad]]*Tabla10[[#This Row],[Precio en USD]]</f>
        <v>0</v>
      </c>
      <c r="L11" s="232"/>
      <c r="M11" s="177"/>
      <c r="N11" s="123"/>
      <c r="O11" s="234"/>
    </row>
    <row r="12" spans="2:15" ht="18.75" customHeight="1" x14ac:dyDescent="0.3">
      <c r="B12" s="159" t="s">
        <v>151</v>
      </c>
      <c r="C12" s="328">
        <v>0</v>
      </c>
      <c r="D12" s="123">
        <f>C12*Tabla9[[#This Row],[Precio en ARS]]</f>
        <v>0</v>
      </c>
      <c r="E12" s="124">
        <f>Tabla14[[#This Row],[Cantidad]]*Tabla9[[#This Row],[Precio en USD]]</f>
        <v>0</v>
      </c>
      <c r="F12" s="122"/>
      <c r="G12" s="158" t="s">
        <v>184</v>
      </c>
      <c r="H12" s="328">
        <v>0</v>
      </c>
      <c r="I12" s="184">
        <f>H12*Tabla10[[#This Row],[Precio en ARS]]</f>
        <v>0</v>
      </c>
      <c r="J12" s="186">
        <f>Tabla15[[#This Row],[Cantidad]]*Tabla10[[#This Row],[Precio en USD]]</f>
        <v>0</v>
      </c>
      <c r="L12" s="232"/>
      <c r="M12" s="177"/>
      <c r="N12" s="123"/>
      <c r="O12" s="234"/>
    </row>
    <row r="13" spans="2:15" ht="18.75" x14ac:dyDescent="0.3">
      <c r="B13" s="178" t="s">
        <v>157</v>
      </c>
      <c r="C13" s="328">
        <v>0</v>
      </c>
      <c r="D13" s="123">
        <f>C13*Tabla9[[#This Row],[Precio en ARS]]</f>
        <v>0</v>
      </c>
      <c r="E13" s="124">
        <f>Tabla14[[#This Row],[Cantidad]]*Tabla9[[#This Row],[Precio en USD]]</f>
        <v>0</v>
      </c>
      <c r="F13" s="122"/>
      <c r="G13" s="260" t="s">
        <v>155</v>
      </c>
      <c r="H13" s="328">
        <v>0</v>
      </c>
      <c r="I13" s="184">
        <f>H13*Tabla10[[#This Row],[Precio en ARS]]</f>
        <v>0</v>
      </c>
      <c r="J13" s="186">
        <f>Tabla15[[#This Row],[Cantidad]]*Tabla10[[#This Row],[Precio en USD]]</f>
        <v>0</v>
      </c>
      <c r="L13" s="232"/>
      <c r="M13" s="177"/>
      <c r="N13" s="123"/>
      <c r="O13" s="234"/>
    </row>
    <row r="14" spans="2:15" ht="18.75" customHeight="1" x14ac:dyDescent="0.3">
      <c r="B14" s="256" t="s">
        <v>146</v>
      </c>
      <c r="C14" s="328">
        <v>0</v>
      </c>
      <c r="D14" s="123">
        <f>C14*Tabla9[[#This Row],[Precio en ARS]]</f>
        <v>0</v>
      </c>
      <c r="E14" s="124">
        <f>Tabla14[[#This Row],[Cantidad]]*Tabla9[[#This Row],[Precio en USD]]</f>
        <v>0</v>
      </c>
      <c r="F14" s="122"/>
      <c r="G14" s="125" t="s">
        <v>169</v>
      </c>
      <c r="H14" s="328">
        <v>0</v>
      </c>
      <c r="I14" s="184">
        <f>H14*Tabla10[[#This Row],[Precio en ARS]]</f>
        <v>0</v>
      </c>
      <c r="J14" s="186">
        <f>Tabla15[[#This Row],[Cantidad]]*Tabla10[[#This Row],[Precio en USD]]</f>
        <v>0</v>
      </c>
      <c r="L14" s="232"/>
      <c r="M14" s="177"/>
      <c r="N14" s="123"/>
      <c r="O14" s="234"/>
    </row>
    <row r="15" spans="2:15" ht="18.75" customHeight="1" x14ac:dyDescent="0.3">
      <c r="B15" s="180"/>
      <c r="C15" s="177"/>
      <c r="D15" s="123"/>
      <c r="E15" s="124"/>
      <c r="G15" s="180"/>
      <c r="H15" s="177"/>
      <c r="I15" s="184"/>
      <c r="J15" s="186"/>
      <c r="L15" s="232"/>
      <c r="M15" s="177"/>
      <c r="N15" s="123"/>
      <c r="O15" s="234"/>
    </row>
    <row r="16" spans="2:15" ht="18.75" customHeight="1" x14ac:dyDescent="0.3">
      <c r="B16" s="180"/>
      <c r="C16" s="177"/>
      <c r="D16" s="123"/>
      <c r="E16" s="124"/>
      <c r="G16" s="180"/>
      <c r="H16" s="177"/>
      <c r="I16" s="184"/>
      <c r="J16" s="186"/>
      <c r="L16" s="232"/>
      <c r="M16" s="177"/>
      <c r="N16" s="123"/>
      <c r="O16" s="234"/>
    </row>
    <row r="17" spans="2:15" ht="18.75" customHeight="1" x14ac:dyDescent="0.3">
      <c r="B17" s="180"/>
      <c r="C17" s="177"/>
      <c r="D17" s="123"/>
      <c r="E17" s="124"/>
      <c r="G17" s="180"/>
      <c r="H17" s="177"/>
      <c r="I17" s="184"/>
      <c r="J17" s="186"/>
      <c r="L17" s="232"/>
      <c r="M17" s="177"/>
      <c r="N17" s="123"/>
      <c r="O17" s="234"/>
    </row>
    <row r="18" spans="2:15" ht="18.75" customHeight="1" x14ac:dyDescent="0.3">
      <c r="B18" s="180"/>
      <c r="C18" s="177"/>
      <c r="D18" s="123"/>
      <c r="E18" s="124"/>
      <c r="G18" s="180"/>
      <c r="H18" s="177"/>
      <c r="I18" s="184"/>
      <c r="J18" s="186"/>
      <c r="L18" s="232"/>
      <c r="M18" s="177"/>
      <c r="N18" s="123"/>
      <c r="O18" s="234"/>
    </row>
    <row r="19" spans="2:15" ht="18.75" customHeight="1" x14ac:dyDescent="0.3">
      <c r="B19" s="180"/>
      <c r="C19" s="177"/>
      <c r="D19" s="123"/>
      <c r="E19" s="124"/>
      <c r="G19" s="180"/>
      <c r="H19" s="177"/>
      <c r="I19" s="184"/>
      <c r="J19" s="186"/>
      <c r="L19" s="232"/>
      <c r="M19" s="177"/>
      <c r="N19" s="123"/>
      <c r="O19" s="234"/>
    </row>
    <row r="20" spans="2:15" ht="18.75" customHeight="1" x14ac:dyDescent="0.3">
      <c r="B20" s="180"/>
      <c r="C20" s="177"/>
      <c r="D20" s="123"/>
      <c r="E20" s="124"/>
      <c r="G20" s="180"/>
      <c r="H20" s="177"/>
      <c r="I20" s="184"/>
      <c r="J20" s="186"/>
      <c r="L20" s="232"/>
      <c r="M20" s="177"/>
      <c r="N20" s="123"/>
      <c r="O20" s="234"/>
    </row>
    <row r="21" spans="2:15" ht="18.75" customHeight="1" x14ac:dyDescent="0.3">
      <c r="B21" s="180"/>
      <c r="C21" s="177"/>
      <c r="D21" s="123"/>
      <c r="E21" s="124"/>
      <c r="G21" s="180"/>
      <c r="H21" s="177"/>
      <c r="I21" s="184"/>
      <c r="J21" s="186"/>
      <c r="L21" s="232"/>
      <c r="M21" s="177"/>
      <c r="N21" s="123"/>
      <c r="O21" s="234"/>
    </row>
    <row r="22" spans="2:15" ht="18.75" customHeight="1" x14ac:dyDescent="0.3">
      <c r="B22" s="180"/>
      <c r="C22" s="177"/>
      <c r="D22" s="123"/>
      <c r="E22" s="124"/>
      <c r="G22" s="180"/>
      <c r="H22" s="177"/>
      <c r="I22" s="184"/>
      <c r="J22" s="186"/>
      <c r="L22" s="232"/>
      <c r="M22" s="177"/>
      <c r="N22" s="123"/>
      <c r="O22" s="234"/>
    </row>
    <row r="23" spans="2:15" ht="18.75" customHeight="1" x14ac:dyDescent="0.3">
      <c r="B23" s="180"/>
      <c r="C23" s="177"/>
      <c r="D23" s="123"/>
      <c r="E23" s="124"/>
      <c r="G23" s="180"/>
      <c r="H23" s="177"/>
      <c r="I23" s="184"/>
      <c r="J23" s="186"/>
      <c r="L23" s="232"/>
      <c r="M23" s="177"/>
      <c r="N23" s="123"/>
      <c r="O23" s="234"/>
    </row>
    <row r="24" spans="2:15" ht="18.75" customHeight="1" x14ac:dyDescent="0.3">
      <c r="B24" s="180"/>
      <c r="C24" s="177"/>
      <c r="D24" s="123"/>
      <c r="E24" s="124"/>
      <c r="G24" s="180"/>
      <c r="H24" s="177"/>
      <c r="I24" s="184"/>
      <c r="J24" s="186"/>
      <c r="L24" s="232"/>
      <c r="M24" s="177"/>
      <c r="N24" s="123"/>
      <c r="O24" s="234"/>
    </row>
    <row r="25" spans="2:15" ht="18.75" customHeight="1" x14ac:dyDescent="0.3">
      <c r="B25" s="180"/>
      <c r="C25" s="177"/>
      <c r="D25" s="123"/>
      <c r="E25" s="124"/>
      <c r="G25" s="180"/>
      <c r="H25" s="177"/>
      <c r="I25" s="184"/>
      <c r="J25" s="186"/>
      <c r="L25" s="232"/>
      <c r="M25" s="177"/>
      <c r="N25" s="123"/>
      <c r="O25" s="234"/>
    </row>
    <row r="26" spans="2:15" ht="18.75" customHeight="1" x14ac:dyDescent="0.3">
      <c r="B26" s="180"/>
      <c r="C26" s="177"/>
      <c r="D26" s="123"/>
      <c r="E26" s="124"/>
      <c r="G26" s="180"/>
      <c r="H26" s="177"/>
      <c r="I26" s="184"/>
      <c r="J26" s="186"/>
      <c r="L26" s="232"/>
      <c r="M26" s="177"/>
      <c r="N26" s="123"/>
      <c r="O26" s="234"/>
    </row>
    <row r="27" spans="2:15" ht="18.75" customHeight="1" x14ac:dyDescent="0.3">
      <c r="B27" s="180"/>
      <c r="C27" s="177"/>
      <c r="D27" s="123"/>
      <c r="E27" s="124"/>
      <c r="G27" s="180"/>
      <c r="H27" s="177"/>
      <c r="I27" s="184"/>
      <c r="J27" s="186"/>
      <c r="L27" s="232"/>
      <c r="M27" s="177"/>
      <c r="N27" s="123"/>
      <c r="O27" s="234"/>
    </row>
    <row r="28" spans="2:15" ht="18.75" customHeight="1" x14ac:dyDescent="0.3">
      <c r="B28" s="180"/>
      <c r="C28" s="177"/>
      <c r="D28" s="123"/>
      <c r="E28" s="124"/>
      <c r="G28" s="180"/>
      <c r="H28" s="177"/>
      <c r="I28" s="184"/>
      <c r="J28" s="186"/>
      <c r="L28" s="232"/>
      <c r="M28" s="177"/>
      <c r="N28" s="123"/>
      <c r="O28" s="234"/>
    </row>
    <row r="29" spans="2:15" ht="18.75" customHeight="1" x14ac:dyDescent="0.3">
      <c r="B29" s="180"/>
      <c r="C29" s="177"/>
      <c r="D29" s="123"/>
      <c r="E29" s="124"/>
      <c r="G29" s="180"/>
      <c r="H29" s="177"/>
      <c r="I29" s="184"/>
      <c r="J29" s="186"/>
      <c r="L29" s="232"/>
      <c r="M29" s="177"/>
      <c r="N29" s="123"/>
      <c r="O29" s="234"/>
    </row>
    <row r="30" spans="2:15" ht="19.5" customHeight="1" x14ac:dyDescent="0.3">
      <c r="B30" s="180"/>
      <c r="C30" s="177"/>
      <c r="D30" s="123"/>
      <c r="E30" s="124"/>
      <c r="G30" s="180"/>
      <c r="H30" s="177"/>
      <c r="I30" s="184"/>
      <c r="J30" s="186"/>
      <c r="L30" s="232"/>
      <c r="M30" s="177"/>
      <c r="N30" s="123"/>
      <c r="O30" s="234"/>
    </row>
    <row r="31" spans="2:15" ht="18.75" customHeight="1" thickBot="1" x14ac:dyDescent="0.35">
      <c r="B31" s="181"/>
      <c r="C31" s="179"/>
      <c r="D31" s="182"/>
      <c r="E31" s="183"/>
      <c r="G31" s="181"/>
      <c r="H31" s="179"/>
      <c r="I31" s="273"/>
      <c r="J31" s="261"/>
      <c r="L31" s="238"/>
      <c r="M31" s="187"/>
      <c r="N31" s="188"/>
      <c r="O31" s="257"/>
    </row>
    <row r="32" spans="2:15" ht="19.5" thickBot="1" x14ac:dyDescent="0.3">
      <c r="B32" s="403" t="s">
        <v>5</v>
      </c>
      <c r="C32" s="404"/>
      <c r="D32" s="189">
        <f>SUM(D4:D31)</f>
        <v>0</v>
      </c>
      <c r="E32" s="190">
        <f>SUM(E4:E31)</f>
        <v>0</v>
      </c>
      <c r="G32" s="401" t="s">
        <v>5</v>
      </c>
      <c r="H32" s="402"/>
      <c r="I32" s="189">
        <f>SUM(I4:I31)</f>
        <v>0</v>
      </c>
      <c r="J32" s="190">
        <f>SUM(J4:J31)</f>
        <v>0</v>
      </c>
      <c r="L32" s="401" t="s">
        <v>5</v>
      </c>
      <c r="M32" s="402"/>
      <c r="N32" s="189">
        <f>SUM(N4:N31)</f>
        <v>0</v>
      </c>
      <c r="O32" s="190">
        <f>SUM(O4:O31)</f>
        <v>0</v>
      </c>
    </row>
    <row r="38" spans="8:8" x14ac:dyDescent="0.25">
      <c r="H38" s="193"/>
    </row>
  </sheetData>
  <mergeCells count="6">
    <mergeCell ref="L2:O2"/>
    <mergeCell ref="L32:M32"/>
    <mergeCell ref="B32:C32"/>
    <mergeCell ref="G32:H32"/>
    <mergeCell ref="B2:E2"/>
    <mergeCell ref="G2:J2"/>
  </mergeCells>
  <phoneticPr fontId="2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82BA4-C375-4B83-8144-6E23035D7CF2}">
  <sheetPr codeName="Hoja10">
    <tabColor theme="5" tint="-0.249977111117893"/>
  </sheetPr>
  <dimension ref="B1:P40"/>
  <sheetViews>
    <sheetView showGridLines="0" zoomScale="80" zoomScaleNormal="80" workbookViewId="0">
      <selection activeCell="O22" sqref="O22"/>
    </sheetView>
  </sheetViews>
  <sheetFormatPr baseColWidth="10" defaultColWidth="11.5703125" defaultRowHeight="15" x14ac:dyDescent="0.25"/>
  <cols>
    <col min="1" max="1" width="3.85546875" customWidth="1"/>
    <col min="2" max="2" width="12.140625" bestFit="1" customWidth="1"/>
    <col min="3" max="3" width="20" bestFit="1" customWidth="1"/>
    <col min="4" max="4" width="11.5703125" customWidth="1"/>
    <col min="5" max="5" width="11.140625" customWidth="1"/>
    <col min="6" max="6" width="22.140625" bestFit="1" customWidth="1"/>
    <col min="7" max="7" width="17.42578125" customWidth="1"/>
    <col min="8" max="8" width="4.7109375" customWidth="1"/>
    <col min="9" max="9" width="3.28515625" customWidth="1"/>
    <col min="10" max="10" width="15.42578125" bestFit="1" customWidth="1"/>
    <col min="11" max="11" width="15.5703125" bestFit="1" customWidth="1"/>
    <col min="12" max="12" width="8.7109375" bestFit="1" customWidth="1"/>
    <col min="13" max="13" width="8.5703125" bestFit="1" customWidth="1"/>
    <col min="14" max="14" width="15.85546875" bestFit="1" customWidth="1"/>
    <col min="15" max="15" width="18.7109375" bestFit="1" customWidth="1"/>
    <col min="16" max="16" width="18.28515625" bestFit="1" customWidth="1"/>
    <col min="25" max="25" width="29.5703125" customWidth="1"/>
  </cols>
  <sheetData>
    <row r="1" spans="2:16" ht="15.75" thickBot="1" x14ac:dyDescent="0.3"/>
    <row r="2" spans="2:16" ht="15.75" thickBot="1" x14ac:dyDescent="0.3">
      <c r="B2" s="350" t="s">
        <v>121</v>
      </c>
      <c r="C2" s="351"/>
      <c r="D2" s="351"/>
      <c r="E2" s="351"/>
      <c r="F2" s="351"/>
      <c r="G2" s="351"/>
      <c r="H2" s="352"/>
      <c r="J2" s="350" t="s">
        <v>15</v>
      </c>
      <c r="K2" s="351"/>
      <c r="L2" s="351"/>
      <c r="M2" s="351"/>
      <c r="N2" s="351"/>
      <c r="O2" s="351"/>
      <c r="P2" s="352"/>
    </row>
    <row r="3" spans="2:16" ht="15.75" thickBot="1" x14ac:dyDescent="0.3">
      <c r="B3" s="118" t="s">
        <v>48</v>
      </c>
      <c r="C3" s="111" t="s">
        <v>50</v>
      </c>
      <c r="D3" s="111" t="s">
        <v>45</v>
      </c>
      <c r="E3" s="111" t="s">
        <v>55</v>
      </c>
      <c r="F3" s="111" t="s">
        <v>46</v>
      </c>
      <c r="G3" s="111" t="s">
        <v>47</v>
      </c>
      <c r="H3" s="119" t="s">
        <v>95</v>
      </c>
      <c r="J3" s="106" t="s">
        <v>71</v>
      </c>
      <c r="K3" s="120" t="s">
        <v>76</v>
      </c>
      <c r="L3" s="77" t="s">
        <v>69</v>
      </c>
      <c r="M3" s="78" t="s">
        <v>70</v>
      </c>
      <c r="N3" s="79" t="s">
        <v>77</v>
      </c>
      <c r="O3" s="120" t="s">
        <v>79</v>
      </c>
      <c r="P3" s="112" t="s">
        <v>78</v>
      </c>
    </row>
    <row r="4" spans="2:16" ht="15.75" thickBot="1" x14ac:dyDescent="0.3">
      <c r="B4" s="335">
        <v>46157</v>
      </c>
      <c r="C4" s="34" t="s">
        <v>1302</v>
      </c>
      <c r="D4" s="34" t="s">
        <v>136</v>
      </c>
      <c r="E4" s="34" t="s">
        <v>56</v>
      </c>
      <c r="F4" s="54" t="s">
        <v>1303</v>
      </c>
      <c r="G4" s="330" t="s">
        <v>1304</v>
      </c>
      <c r="H4" s="98" t="s">
        <v>94</v>
      </c>
      <c r="J4" s="73">
        <f>SUMPRODUCT(1/COUNTIF(C4:C39, C4:C39))</f>
        <v>16</v>
      </c>
      <c r="K4" s="74">
        <f>COUNTIF(C4:C40, "*")</f>
        <v>36</v>
      </c>
      <c r="L4" s="74">
        <f>COUNTIF(H4:H40, "✓")</f>
        <v>19</v>
      </c>
      <c r="M4" s="74">
        <f>COUNTIF(H4:H40, "X")</f>
        <v>17</v>
      </c>
      <c r="N4" s="74">
        <v>1</v>
      </c>
      <c r="O4" s="75">
        <f>L4/K4</f>
        <v>0.52777777777777779</v>
      </c>
      <c r="P4" s="76">
        <f>N4/J4</f>
        <v>6.25E-2</v>
      </c>
    </row>
    <row r="5" spans="2:16" x14ac:dyDescent="0.25">
      <c r="B5" s="335">
        <v>46128</v>
      </c>
      <c r="C5" s="34" t="s">
        <v>1299</v>
      </c>
      <c r="D5" s="34" t="s">
        <v>136</v>
      </c>
      <c r="E5" s="34" t="s">
        <v>56</v>
      </c>
      <c r="F5" s="34" t="s">
        <v>1301</v>
      </c>
      <c r="G5" s="94" t="s">
        <v>1300</v>
      </c>
      <c r="H5" s="98" t="s">
        <v>94</v>
      </c>
    </row>
    <row r="6" spans="2:16" x14ac:dyDescent="0.25">
      <c r="B6" s="99">
        <v>45983</v>
      </c>
      <c r="C6" s="34" t="s">
        <v>597</v>
      </c>
      <c r="D6" s="34" t="s">
        <v>136</v>
      </c>
      <c r="E6" s="34" t="s">
        <v>100</v>
      </c>
      <c r="F6" s="34" t="s">
        <v>600</v>
      </c>
      <c r="G6" s="94" t="s">
        <v>606</v>
      </c>
      <c r="H6" s="98" t="s">
        <v>94</v>
      </c>
    </row>
    <row r="7" spans="2:16" x14ac:dyDescent="0.25">
      <c r="B7" s="99">
        <v>45982</v>
      </c>
      <c r="C7" s="34" t="s">
        <v>597</v>
      </c>
      <c r="D7" s="34" t="s">
        <v>136</v>
      </c>
      <c r="E7" s="34" t="s">
        <v>100</v>
      </c>
      <c r="F7" s="34" t="s">
        <v>598</v>
      </c>
      <c r="G7" s="93" t="s">
        <v>599</v>
      </c>
      <c r="H7" s="291" t="s">
        <v>93</v>
      </c>
    </row>
    <row r="8" spans="2:16" x14ac:dyDescent="0.25">
      <c r="B8" s="99">
        <v>45806</v>
      </c>
      <c r="C8" s="34" t="s">
        <v>317</v>
      </c>
      <c r="D8" s="34" t="s">
        <v>136</v>
      </c>
      <c r="E8" s="34" t="s">
        <v>56</v>
      </c>
      <c r="F8" s="34" t="s">
        <v>52</v>
      </c>
      <c r="G8" s="94" t="s">
        <v>217</v>
      </c>
      <c r="H8" s="98" t="s">
        <v>94</v>
      </c>
    </row>
    <row r="9" spans="2:16" x14ac:dyDescent="0.25">
      <c r="B9" s="99">
        <v>45773</v>
      </c>
      <c r="C9" s="34" t="s">
        <v>291</v>
      </c>
      <c r="D9" s="34" t="s">
        <v>136</v>
      </c>
      <c r="E9" s="34" t="s">
        <v>57</v>
      </c>
      <c r="F9" s="34" t="s">
        <v>316</v>
      </c>
      <c r="G9" s="94" t="s">
        <v>138</v>
      </c>
      <c r="H9" s="331" t="s">
        <v>94</v>
      </c>
    </row>
    <row r="10" spans="2:16" x14ac:dyDescent="0.25">
      <c r="B10" s="99">
        <v>45772</v>
      </c>
      <c r="C10" s="34" t="s">
        <v>291</v>
      </c>
      <c r="D10" s="34" t="s">
        <v>136</v>
      </c>
      <c r="E10" s="34" t="s">
        <v>56</v>
      </c>
      <c r="F10" s="34" t="s">
        <v>292</v>
      </c>
      <c r="G10" s="93" t="s">
        <v>65</v>
      </c>
      <c r="H10" s="291" t="s">
        <v>93</v>
      </c>
    </row>
    <row r="11" spans="2:16" x14ac:dyDescent="0.25">
      <c r="B11" s="99">
        <v>45725</v>
      </c>
      <c r="C11" s="34" t="s">
        <v>229</v>
      </c>
      <c r="D11" s="34" t="s">
        <v>136</v>
      </c>
      <c r="E11" s="34" t="s">
        <v>58</v>
      </c>
      <c r="F11" s="34" t="s">
        <v>225</v>
      </c>
      <c r="G11" s="292" t="s">
        <v>1305</v>
      </c>
      <c r="H11" s="98" t="s">
        <v>94</v>
      </c>
    </row>
    <row r="12" spans="2:16" x14ac:dyDescent="0.25">
      <c r="B12" s="99">
        <v>45724</v>
      </c>
      <c r="C12" s="34" t="s">
        <v>229</v>
      </c>
      <c r="D12" s="34" t="s">
        <v>136</v>
      </c>
      <c r="E12" s="34" t="s">
        <v>57</v>
      </c>
      <c r="F12" s="34" t="s">
        <v>224</v>
      </c>
      <c r="G12" s="105" t="s">
        <v>228</v>
      </c>
      <c r="H12" s="95" t="s">
        <v>93</v>
      </c>
    </row>
    <row r="13" spans="2:16" x14ac:dyDescent="0.25">
      <c r="B13" s="99">
        <v>45723</v>
      </c>
      <c r="C13" s="34" t="s">
        <v>229</v>
      </c>
      <c r="D13" s="34" t="s">
        <v>136</v>
      </c>
      <c r="E13" s="34" t="s">
        <v>56</v>
      </c>
      <c r="F13" s="34" t="s">
        <v>293</v>
      </c>
      <c r="G13" s="272" t="s">
        <v>227</v>
      </c>
      <c r="H13" s="95" t="s">
        <v>93</v>
      </c>
    </row>
    <row r="14" spans="2:16" x14ac:dyDescent="0.25">
      <c r="B14" s="99">
        <v>45592</v>
      </c>
      <c r="C14" s="34" t="s">
        <v>212</v>
      </c>
      <c r="D14" s="34" t="s">
        <v>136</v>
      </c>
      <c r="E14" s="34" t="s">
        <v>58</v>
      </c>
      <c r="F14" s="34" t="s">
        <v>216</v>
      </c>
      <c r="G14" s="94" t="s">
        <v>217</v>
      </c>
      <c r="H14" s="98" t="s">
        <v>94</v>
      </c>
    </row>
    <row r="15" spans="2:16" x14ac:dyDescent="0.25">
      <c r="B15" s="99">
        <v>45591</v>
      </c>
      <c r="C15" s="34" t="s">
        <v>212</v>
      </c>
      <c r="D15" s="34" t="s">
        <v>136</v>
      </c>
      <c r="E15" s="34" t="s">
        <v>100</v>
      </c>
      <c r="F15" s="34" t="s">
        <v>214</v>
      </c>
      <c r="G15" s="94" t="s">
        <v>215</v>
      </c>
      <c r="H15" s="98" t="s">
        <v>94</v>
      </c>
    </row>
    <row r="16" spans="2:16" x14ac:dyDescent="0.25">
      <c r="B16" s="99">
        <v>45590</v>
      </c>
      <c r="C16" s="34" t="s">
        <v>212</v>
      </c>
      <c r="D16" s="34" t="s">
        <v>136</v>
      </c>
      <c r="E16" s="34" t="s">
        <v>100</v>
      </c>
      <c r="F16" s="34" t="s">
        <v>206</v>
      </c>
      <c r="G16" s="93" t="s">
        <v>213</v>
      </c>
      <c r="H16" s="95" t="s">
        <v>93</v>
      </c>
    </row>
    <row r="17" spans="2:14" x14ac:dyDescent="0.25">
      <c r="B17" s="99">
        <v>45557</v>
      </c>
      <c r="C17" s="34" t="s">
        <v>203</v>
      </c>
      <c r="D17" s="34" t="s">
        <v>136</v>
      </c>
      <c r="E17" s="34" t="s">
        <v>57</v>
      </c>
      <c r="F17" s="34" t="s">
        <v>206</v>
      </c>
      <c r="G17" s="94" t="s">
        <v>138</v>
      </c>
      <c r="H17" s="98" t="s">
        <v>94</v>
      </c>
    </row>
    <row r="18" spans="2:14" x14ac:dyDescent="0.25">
      <c r="B18" s="99">
        <v>45556</v>
      </c>
      <c r="C18" s="34" t="s">
        <v>203</v>
      </c>
      <c r="D18" s="34" t="s">
        <v>136</v>
      </c>
      <c r="E18" s="34" t="s">
        <v>56</v>
      </c>
      <c r="F18" s="34" t="s">
        <v>204</v>
      </c>
      <c r="G18" s="105" t="s">
        <v>205</v>
      </c>
      <c r="H18" s="95" t="s">
        <v>93</v>
      </c>
    </row>
    <row r="19" spans="2:14" x14ac:dyDescent="0.25">
      <c r="B19" s="99">
        <v>45486</v>
      </c>
      <c r="C19" s="34" t="s">
        <v>199</v>
      </c>
      <c r="D19" s="34" t="s">
        <v>136</v>
      </c>
      <c r="E19" s="34" t="s">
        <v>57</v>
      </c>
      <c r="F19" s="34" t="s">
        <v>140</v>
      </c>
      <c r="G19" s="94" t="s">
        <v>200</v>
      </c>
      <c r="H19" s="98" t="s">
        <v>94</v>
      </c>
    </row>
    <row r="20" spans="2:14" x14ac:dyDescent="0.25">
      <c r="B20" s="99">
        <v>45485</v>
      </c>
      <c r="C20" s="34" t="s">
        <v>199</v>
      </c>
      <c r="D20" s="34" t="s">
        <v>136</v>
      </c>
      <c r="E20" s="34" t="s">
        <v>56</v>
      </c>
      <c r="F20" s="34" t="s">
        <v>197</v>
      </c>
      <c r="G20" s="105" t="s">
        <v>198</v>
      </c>
      <c r="H20" s="95" t="s">
        <v>93</v>
      </c>
    </row>
    <row r="21" spans="2:14" x14ac:dyDescent="0.25">
      <c r="B21" s="99">
        <v>45444</v>
      </c>
      <c r="C21" s="34" t="s">
        <v>189</v>
      </c>
      <c r="D21" s="34" t="s">
        <v>136</v>
      </c>
      <c r="E21" s="34" t="s">
        <v>58</v>
      </c>
      <c r="F21" s="34" t="s">
        <v>210</v>
      </c>
      <c r="G21" s="94" t="s">
        <v>191</v>
      </c>
      <c r="H21" s="98" t="s">
        <v>94</v>
      </c>
    </row>
    <row r="22" spans="2:14" x14ac:dyDescent="0.25">
      <c r="B22" s="99">
        <v>45444</v>
      </c>
      <c r="C22" s="34" t="s">
        <v>189</v>
      </c>
      <c r="D22" s="34" t="s">
        <v>136</v>
      </c>
      <c r="E22" s="34" t="s">
        <v>57</v>
      </c>
      <c r="F22" s="34" t="s">
        <v>211</v>
      </c>
      <c r="G22" s="105" t="s">
        <v>190</v>
      </c>
      <c r="H22" s="95" t="s">
        <v>93</v>
      </c>
    </row>
    <row r="23" spans="2:14" x14ac:dyDescent="0.25">
      <c r="B23" s="99">
        <v>45387</v>
      </c>
      <c r="C23" s="34" t="s">
        <v>188</v>
      </c>
      <c r="D23" s="34" t="s">
        <v>136</v>
      </c>
      <c r="E23" s="34" t="s">
        <v>56</v>
      </c>
      <c r="F23" s="34" t="s">
        <v>186</v>
      </c>
      <c r="G23" s="94" t="s">
        <v>187</v>
      </c>
      <c r="H23" s="98" t="s">
        <v>94</v>
      </c>
    </row>
    <row r="24" spans="2:14" x14ac:dyDescent="0.25">
      <c r="B24" s="99">
        <v>45270</v>
      </c>
      <c r="C24" s="34" t="s">
        <v>135</v>
      </c>
      <c r="D24" s="34" t="s">
        <v>136</v>
      </c>
      <c r="E24" s="34" t="s">
        <v>58</v>
      </c>
      <c r="F24" s="34" t="s">
        <v>140</v>
      </c>
      <c r="G24" s="94" t="s">
        <v>139</v>
      </c>
      <c r="H24" s="98" t="s">
        <v>94</v>
      </c>
    </row>
    <row r="25" spans="2:14" x14ac:dyDescent="0.25">
      <c r="B25" s="99">
        <v>45269</v>
      </c>
      <c r="C25" s="34" t="s">
        <v>135</v>
      </c>
      <c r="D25" s="34" t="s">
        <v>136</v>
      </c>
      <c r="E25" s="34" t="s">
        <v>100</v>
      </c>
      <c r="F25" s="34" t="s">
        <v>137</v>
      </c>
      <c r="G25" s="94" t="s">
        <v>138</v>
      </c>
      <c r="H25" s="98" t="s">
        <v>94</v>
      </c>
    </row>
    <row r="26" spans="2:14" x14ac:dyDescent="0.25">
      <c r="B26" s="99">
        <v>45268</v>
      </c>
      <c r="C26" s="34" t="s">
        <v>135</v>
      </c>
      <c r="D26" s="34" t="s">
        <v>136</v>
      </c>
      <c r="E26" s="34" t="s">
        <v>100</v>
      </c>
      <c r="F26" s="34" t="s">
        <v>133</v>
      </c>
      <c r="G26" s="93" t="s">
        <v>65</v>
      </c>
      <c r="H26" s="95" t="s">
        <v>93</v>
      </c>
      <c r="N26" t="s">
        <v>201</v>
      </c>
    </row>
    <row r="27" spans="2:14" x14ac:dyDescent="0.25">
      <c r="B27" s="99">
        <v>45243</v>
      </c>
      <c r="C27" s="34" t="s">
        <v>134</v>
      </c>
      <c r="D27" s="34" t="s">
        <v>49</v>
      </c>
      <c r="E27" s="34" t="s">
        <v>59</v>
      </c>
      <c r="F27" s="34" t="s">
        <v>91</v>
      </c>
      <c r="G27" s="336" t="s">
        <v>114</v>
      </c>
      <c r="H27" s="337" t="s">
        <v>93</v>
      </c>
    </row>
    <row r="28" spans="2:14" x14ac:dyDescent="0.25">
      <c r="B28" s="99">
        <v>45243</v>
      </c>
      <c r="C28" s="34" t="s">
        <v>134</v>
      </c>
      <c r="D28" s="34" t="s">
        <v>49</v>
      </c>
      <c r="E28" s="34" t="s">
        <v>58</v>
      </c>
      <c r="F28" s="34" t="s">
        <v>113</v>
      </c>
      <c r="G28" s="105" t="s">
        <v>111</v>
      </c>
      <c r="H28" s="95" t="s">
        <v>93</v>
      </c>
    </row>
    <row r="29" spans="2:14" x14ac:dyDescent="0.25">
      <c r="B29" s="99">
        <v>45242</v>
      </c>
      <c r="C29" s="34" t="s">
        <v>134</v>
      </c>
      <c r="D29" s="34" t="s">
        <v>49</v>
      </c>
      <c r="E29" s="34" t="s">
        <v>100</v>
      </c>
      <c r="F29" s="34" t="s">
        <v>110</v>
      </c>
      <c r="G29" s="105" t="s">
        <v>112</v>
      </c>
      <c r="H29" s="95" t="s">
        <v>93</v>
      </c>
    </row>
    <row r="30" spans="2:14" x14ac:dyDescent="0.25">
      <c r="B30" s="99">
        <v>45240</v>
      </c>
      <c r="C30" s="34" t="s">
        <v>134</v>
      </c>
      <c r="D30" s="34" t="s">
        <v>49</v>
      </c>
      <c r="E30" s="34" t="s">
        <v>100</v>
      </c>
      <c r="F30" s="34" t="s">
        <v>90</v>
      </c>
      <c r="G30" s="93" t="s">
        <v>101</v>
      </c>
      <c r="H30" s="95" t="s">
        <v>93</v>
      </c>
    </row>
    <row r="31" spans="2:14" x14ac:dyDescent="0.25">
      <c r="B31" s="99">
        <v>45207</v>
      </c>
      <c r="C31" s="34" t="s">
        <v>83</v>
      </c>
      <c r="D31" s="34" t="s">
        <v>49</v>
      </c>
      <c r="E31" s="34" t="s">
        <v>59</v>
      </c>
      <c r="F31" s="34" t="s">
        <v>92</v>
      </c>
      <c r="G31" s="94" t="s">
        <v>81</v>
      </c>
      <c r="H31" s="98" t="s">
        <v>94</v>
      </c>
    </row>
    <row r="32" spans="2:14" x14ac:dyDescent="0.25">
      <c r="B32" s="99">
        <v>45207</v>
      </c>
      <c r="C32" s="34" t="s">
        <v>83</v>
      </c>
      <c r="D32" s="34" t="s">
        <v>49</v>
      </c>
      <c r="E32" s="34" t="s">
        <v>58</v>
      </c>
      <c r="F32" s="34" t="s">
        <v>91</v>
      </c>
      <c r="G32" s="93" t="s">
        <v>82</v>
      </c>
      <c r="H32" s="95" t="s">
        <v>93</v>
      </c>
    </row>
    <row r="33" spans="2:8" x14ac:dyDescent="0.25">
      <c r="B33" s="99">
        <v>45206</v>
      </c>
      <c r="C33" s="34" t="s">
        <v>83</v>
      </c>
      <c r="D33" s="34" t="s">
        <v>49</v>
      </c>
      <c r="E33" s="34" t="s">
        <v>57</v>
      </c>
      <c r="F33" s="34" t="s">
        <v>90</v>
      </c>
      <c r="G33" s="93" t="s">
        <v>84</v>
      </c>
      <c r="H33" s="95" t="s">
        <v>93</v>
      </c>
    </row>
    <row r="34" spans="2:8" x14ac:dyDescent="0.25">
      <c r="B34" s="99">
        <v>45179</v>
      </c>
      <c r="C34" s="34" t="s">
        <v>53</v>
      </c>
      <c r="D34" s="34" t="s">
        <v>49</v>
      </c>
      <c r="E34" s="34" t="s">
        <v>58</v>
      </c>
      <c r="F34" s="34" t="s">
        <v>52</v>
      </c>
      <c r="G34" s="94" t="s">
        <v>61</v>
      </c>
      <c r="H34" s="98" t="s">
        <v>94</v>
      </c>
    </row>
    <row r="35" spans="2:8" x14ac:dyDescent="0.25">
      <c r="B35" s="99">
        <v>45178</v>
      </c>
      <c r="C35" s="34" t="s">
        <v>53</v>
      </c>
      <c r="D35" s="34" t="s">
        <v>49</v>
      </c>
      <c r="E35" s="34" t="s">
        <v>57</v>
      </c>
      <c r="F35" s="34" t="s">
        <v>64</v>
      </c>
      <c r="G35" s="93" t="s">
        <v>60</v>
      </c>
      <c r="H35" s="95" t="s">
        <v>93</v>
      </c>
    </row>
    <row r="36" spans="2:8" x14ac:dyDescent="0.25">
      <c r="B36" s="99">
        <v>45137</v>
      </c>
      <c r="C36" s="34" t="s">
        <v>54</v>
      </c>
      <c r="D36" s="34" t="s">
        <v>49</v>
      </c>
      <c r="E36" s="34" t="s">
        <v>59</v>
      </c>
      <c r="F36" s="34" t="s">
        <v>67</v>
      </c>
      <c r="G36" s="94" t="s">
        <v>62</v>
      </c>
      <c r="H36" s="98" t="s">
        <v>94</v>
      </c>
    </row>
    <row r="37" spans="2:8" x14ac:dyDescent="0.25">
      <c r="B37" s="99">
        <v>45136</v>
      </c>
      <c r="C37" s="34" t="s">
        <v>54</v>
      </c>
      <c r="D37" s="34" t="s">
        <v>49</v>
      </c>
      <c r="E37" s="34" t="s">
        <v>58</v>
      </c>
      <c r="F37" s="34" t="s">
        <v>68</v>
      </c>
      <c r="G37" s="93" t="s">
        <v>66</v>
      </c>
      <c r="H37" s="95" t="s">
        <v>93</v>
      </c>
    </row>
    <row r="38" spans="2:8" x14ac:dyDescent="0.25">
      <c r="B38" s="99">
        <v>45136</v>
      </c>
      <c r="C38" s="34" t="s">
        <v>54</v>
      </c>
      <c r="D38" s="34" t="s">
        <v>49</v>
      </c>
      <c r="E38" s="34" t="s">
        <v>57</v>
      </c>
      <c r="F38" s="34" t="s">
        <v>51</v>
      </c>
      <c r="G38" s="93" t="s">
        <v>226</v>
      </c>
      <c r="H38" s="95" t="s">
        <v>93</v>
      </c>
    </row>
    <row r="39" spans="2:8" x14ac:dyDescent="0.25">
      <c r="B39" s="99">
        <v>45135</v>
      </c>
      <c r="C39" s="34" t="s">
        <v>54</v>
      </c>
      <c r="D39" s="34" t="s">
        <v>49</v>
      </c>
      <c r="E39" s="34" t="s">
        <v>56</v>
      </c>
      <c r="F39" s="54" t="s">
        <v>63</v>
      </c>
      <c r="G39" s="93" t="s">
        <v>65</v>
      </c>
      <c r="H39" s="95" t="s">
        <v>93</v>
      </c>
    </row>
    <row r="40" spans="2:8" x14ac:dyDescent="0.25">
      <c r="B40" s="100"/>
      <c r="C40" s="86"/>
      <c r="D40" s="86"/>
      <c r="E40" s="86"/>
      <c r="F40" s="86"/>
      <c r="G40" s="96"/>
      <c r="H40" s="97"/>
    </row>
  </sheetData>
  <mergeCells count="2">
    <mergeCell ref="B2:H2"/>
    <mergeCell ref="J2:P2"/>
  </mergeCells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FE557-7558-4048-BB81-DCE29B0DAACD}">
  <sheetPr codeName="Hoja15">
    <tabColor theme="5" tint="-0.499984740745262"/>
  </sheetPr>
  <dimension ref="B2:K17"/>
  <sheetViews>
    <sheetView showGridLines="0" tabSelected="1" workbookViewId="0">
      <selection activeCell="O13" sqref="O13"/>
    </sheetView>
  </sheetViews>
  <sheetFormatPr baseColWidth="10" defaultRowHeight="15" x14ac:dyDescent="0.25"/>
  <cols>
    <col min="1" max="1" width="3.5703125" customWidth="1"/>
    <col min="2" max="2" width="14.5703125" customWidth="1"/>
    <col min="3" max="3" width="23.42578125" bestFit="1" customWidth="1"/>
    <col min="4" max="5" width="11.42578125" style="207"/>
    <col min="10" max="10" width="11.42578125" hidden="1" customWidth="1"/>
  </cols>
  <sheetData>
    <row r="2" spans="2:11" x14ac:dyDescent="0.25">
      <c r="B2" s="275" t="s">
        <v>580</v>
      </c>
    </row>
    <row r="3" spans="2:11" ht="15.75" thickBot="1" x14ac:dyDescent="0.3"/>
    <row r="4" spans="2:11" ht="15.75" thickBot="1" x14ac:dyDescent="0.3">
      <c r="B4" s="308" t="s">
        <v>564</v>
      </c>
      <c r="C4" s="314" t="s">
        <v>558</v>
      </c>
      <c r="D4" s="346" t="s">
        <v>559</v>
      </c>
      <c r="E4" s="347"/>
      <c r="F4" s="314" t="s">
        <v>560</v>
      </c>
      <c r="G4" s="314" t="s">
        <v>561</v>
      </c>
      <c r="H4" s="314" t="s">
        <v>562</v>
      </c>
      <c r="I4" s="346" t="s">
        <v>563</v>
      </c>
      <c r="J4" s="347"/>
      <c r="K4" s="315" t="s">
        <v>5</v>
      </c>
    </row>
    <row r="5" spans="2:11" s="307" customFormat="1" ht="39.950000000000003" customHeight="1" x14ac:dyDescent="0.25">
      <c r="B5" s="309" t="s">
        <v>555</v>
      </c>
      <c r="C5" s="310" t="s">
        <v>568</v>
      </c>
      <c r="D5" s="310" t="e" vm="1">
        <v>#VALUE!</v>
      </c>
      <c r="E5" s="310">
        <v>7</v>
      </c>
      <c r="F5" s="310">
        <v>10</v>
      </c>
      <c r="G5" s="310">
        <v>10</v>
      </c>
      <c r="H5" s="310">
        <v>9</v>
      </c>
      <c r="I5" s="310" t="s">
        <v>571</v>
      </c>
      <c r="J5" s="310">
        <f>IF(I5="$",10,IF(I5="$$",8,IF(I5="$$$",6,IF(I5="$$$$",4,IF(I5="$$$$$",2,"")))))</f>
        <v>8</v>
      </c>
      <c r="K5" s="316">
        <f t="shared" ref="K5:K17" si="0">IF(C5="","",AVERAGE(E5:J5))</f>
        <v>8.8000000000000007</v>
      </c>
    </row>
    <row r="6" spans="2:11" s="307" customFormat="1" ht="39.950000000000003" customHeight="1" x14ac:dyDescent="0.25">
      <c r="B6" s="311" t="s">
        <v>556</v>
      </c>
      <c r="C6" s="306" t="s">
        <v>568</v>
      </c>
      <c r="D6" s="306" t="e" vm="2">
        <v>#VALUE!</v>
      </c>
      <c r="E6" s="306">
        <v>8</v>
      </c>
      <c r="F6" s="306">
        <v>9</v>
      </c>
      <c r="G6" s="306">
        <v>10</v>
      </c>
      <c r="H6" s="306">
        <v>9</v>
      </c>
      <c r="I6" s="306" t="s">
        <v>570</v>
      </c>
      <c r="J6" s="306">
        <f>IF(I6="$",10,IF(I6="$$",8,IF(I6="$$$",6,IF(I6="$$$$",4,IF(I6="$$$$$",2,"")))))</f>
        <v>6</v>
      </c>
      <c r="K6" s="317">
        <f t="shared" si="0"/>
        <v>8.4</v>
      </c>
    </row>
    <row r="7" spans="2:11" s="307" customFormat="1" ht="39.950000000000003" customHeight="1" x14ac:dyDescent="0.25">
      <c r="B7" s="311" t="s">
        <v>557</v>
      </c>
      <c r="C7" s="306" t="s">
        <v>567</v>
      </c>
      <c r="D7" s="306" t="e" vm="3">
        <v>#VALUE!</v>
      </c>
      <c r="E7" s="306">
        <v>7</v>
      </c>
      <c r="F7" s="306">
        <v>8</v>
      </c>
      <c r="G7" s="306">
        <v>9</v>
      </c>
      <c r="H7" s="306">
        <v>8</v>
      </c>
      <c r="I7" s="306" t="s">
        <v>571</v>
      </c>
      <c r="J7" s="306">
        <f>IF(I7="$",10,IF(I7="$$",8,IF(I7="$$$",6,IF(I7="$$$$",4,IF(I7="$$$$$",2,"")))))</f>
        <v>8</v>
      </c>
      <c r="K7" s="317">
        <f t="shared" si="0"/>
        <v>8</v>
      </c>
    </row>
    <row r="8" spans="2:11" s="307" customFormat="1" ht="39.950000000000003" customHeight="1" x14ac:dyDescent="0.25">
      <c r="B8" s="311" t="s">
        <v>1309</v>
      </c>
      <c r="C8" s="306" t="s">
        <v>1311</v>
      </c>
      <c r="D8" s="306" t="e" vm="4">
        <v>#VALUE!</v>
      </c>
      <c r="E8" s="306">
        <v>8</v>
      </c>
      <c r="F8" s="306">
        <v>8</v>
      </c>
      <c r="G8" s="306">
        <v>7</v>
      </c>
      <c r="H8" s="306">
        <v>7</v>
      </c>
      <c r="I8" s="306" t="s">
        <v>569</v>
      </c>
      <c r="J8" s="306"/>
      <c r="K8" s="317">
        <f t="shared" si="0"/>
        <v>7.5</v>
      </c>
    </row>
    <row r="9" spans="2:11" s="307" customFormat="1" ht="39.950000000000003" customHeight="1" x14ac:dyDescent="0.25">
      <c r="B9" s="311" t="s">
        <v>557</v>
      </c>
      <c r="C9" s="306" t="s">
        <v>568</v>
      </c>
      <c r="D9" s="306" t="e" vm="5">
        <v>#VALUE!</v>
      </c>
      <c r="E9" s="306">
        <v>7</v>
      </c>
      <c r="F9" s="306">
        <v>8</v>
      </c>
      <c r="G9" s="306">
        <v>6</v>
      </c>
      <c r="H9" s="306">
        <v>7</v>
      </c>
      <c r="I9" s="306" t="s">
        <v>571</v>
      </c>
      <c r="J9" s="306">
        <f t="shared" ref="J9:J17" si="1">IF(I9="$",10,IF(I9="$$",8,IF(I9="$$$",6,IF(I9="$$$$",4,IF(I9="$$$$$",2,"")))))</f>
        <v>8</v>
      </c>
      <c r="K9" s="317">
        <f t="shared" si="0"/>
        <v>7.2</v>
      </c>
    </row>
    <row r="10" spans="2:11" s="307" customFormat="1" ht="39.950000000000003" customHeight="1" x14ac:dyDescent="0.25">
      <c r="B10" s="311" t="s">
        <v>1312</v>
      </c>
      <c r="C10" s="306" t="s">
        <v>1313</v>
      </c>
      <c r="D10" s="306" t="e" vm="6">
        <v>#VALUE!</v>
      </c>
      <c r="E10" s="306">
        <v>6</v>
      </c>
      <c r="F10" s="306">
        <v>8</v>
      </c>
      <c r="G10" s="306">
        <v>7</v>
      </c>
      <c r="H10" s="306">
        <v>6</v>
      </c>
      <c r="I10" s="306" t="s">
        <v>571</v>
      </c>
      <c r="J10" s="306"/>
      <c r="K10" s="317">
        <f t="shared" si="0"/>
        <v>6.75</v>
      </c>
    </row>
    <row r="11" spans="2:11" s="307" customFormat="1" ht="39.950000000000003" customHeight="1" x14ac:dyDescent="0.25">
      <c r="B11" s="311" t="s">
        <v>556</v>
      </c>
      <c r="C11" s="306" t="s">
        <v>573</v>
      </c>
      <c r="D11" s="306" t="e" vm="7">
        <v>#VALUE!</v>
      </c>
      <c r="E11" s="306">
        <v>8</v>
      </c>
      <c r="F11" s="306">
        <v>7</v>
      </c>
      <c r="G11" s="306">
        <v>6</v>
      </c>
      <c r="H11" s="306">
        <v>6</v>
      </c>
      <c r="I11" s="306" t="s">
        <v>570</v>
      </c>
      <c r="J11" s="306">
        <f t="shared" si="1"/>
        <v>6</v>
      </c>
      <c r="K11" s="317">
        <f t="shared" si="0"/>
        <v>6.6</v>
      </c>
    </row>
    <row r="12" spans="2:11" s="307" customFormat="1" ht="39.950000000000003" customHeight="1" x14ac:dyDescent="0.25">
      <c r="B12" s="311" t="s">
        <v>572</v>
      </c>
      <c r="C12" s="306" t="s">
        <v>575</v>
      </c>
      <c r="D12" s="306" t="e" vm="8">
        <v>#VALUE!</v>
      </c>
      <c r="E12" s="306">
        <v>7</v>
      </c>
      <c r="F12" s="306">
        <v>7</v>
      </c>
      <c r="G12" s="306">
        <v>8</v>
      </c>
      <c r="H12" s="306">
        <v>7</v>
      </c>
      <c r="I12" s="306" t="s">
        <v>569</v>
      </c>
      <c r="J12" s="306">
        <f t="shared" si="1"/>
        <v>4</v>
      </c>
      <c r="K12" s="317">
        <f t="shared" si="0"/>
        <v>6.6</v>
      </c>
    </row>
    <row r="13" spans="2:11" s="307" customFormat="1" ht="39.950000000000003" customHeight="1" x14ac:dyDescent="0.25">
      <c r="B13" s="344" t="s">
        <v>1306</v>
      </c>
      <c r="C13" s="306" t="s">
        <v>1307</v>
      </c>
      <c r="D13" s="306" t="e" vm="9">
        <v>#VALUE!</v>
      </c>
      <c r="E13" s="306">
        <v>6</v>
      </c>
      <c r="F13" s="306">
        <v>7</v>
      </c>
      <c r="G13" s="306">
        <v>7</v>
      </c>
      <c r="H13" s="306">
        <v>6</v>
      </c>
      <c r="I13" s="306" t="s">
        <v>569</v>
      </c>
      <c r="J13" s="306">
        <f t="shared" si="1"/>
        <v>4</v>
      </c>
      <c r="K13" s="317">
        <f t="shared" si="0"/>
        <v>6</v>
      </c>
    </row>
    <row r="14" spans="2:11" s="307" customFormat="1" ht="39.950000000000003" customHeight="1" x14ac:dyDescent="0.25">
      <c r="B14" s="344" t="s">
        <v>1309</v>
      </c>
      <c r="C14" s="345" t="s">
        <v>1308</v>
      </c>
      <c r="D14" s="345" t="e" vm="10">
        <v>#VALUE!</v>
      </c>
      <c r="E14" s="345">
        <v>7</v>
      </c>
      <c r="F14" s="345">
        <v>7</v>
      </c>
      <c r="G14" s="345">
        <v>5</v>
      </c>
      <c r="H14" s="345">
        <v>6</v>
      </c>
      <c r="I14" s="306" t="s">
        <v>569</v>
      </c>
      <c r="J14" s="306">
        <f t="shared" si="1"/>
        <v>4</v>
      </c>
      <c r="K14" s="317">
        <f t="shared" si="0"/>
        <v>5.8</v>
      </c>
    </row>
    <row r="15" spans="2:11" s="307" customFormat="1" ht="39.950000000000003" customHeight="1" x14ac:dyDescent="0.25">
      <c r="B15" s="344" t="s">
        <v>1309</v>
      </c>
      <c r="C15" s="345" t="s">
        <v>1310</v>
      </c>
      <c r="D15" s="345" t="e" vm="11">
        <v>#VALUE!</v>
      </c>
      <c r="E15" s="345">
        <v>7</v>
      </c>
      <c r="F15" s="345">
        <v>5</v>
      </c>
      <c r="G15" s="345">
        <v>6</v>
      </c>
      <c r="H15" s="345">
        <v>3</v>
      </c>
      <c r="I15" s="306" t="s">
        <v>569</v>
      </c>
      <c r="J15" s="306">
        <f t="shared" si="1"/>
        <v>4</v>
      </c>
      <c r="K15" s="317">
        <f t="shared" si="0"/>
        <v>5</v>
      </c>
    </row>
    <row r="16" spans="2:11" s="307" customFormat="1" ht="39.950000000000003" customHeight="1" x14ac:dyDescent="0.25">
      <c r="B16" s="344" t="s">
        <v>565</v>
      </c>
      <c r="C16" s="345" t="s">
        <v>566</v>
      </c>
      <c r="D16" s="345" t="e" vm="12">
        <v>#VALUE!</v>
      </c>
      <c r="E16" s="345">
        <v>6</v>
      </c>
      <c r="F16" s="345">
        <v>6</v>
      </c>
      <c r="G16" s="345">
        <v>5</v>
      </c>
      <c r="H16" s="345">
        <v>3</v>
      </c>
      <c r="I16" s="306" t="s">
        <v>569</v>
      </c>
      <c r="J16" s="345">
        <f t="shared" si="1"/>
        <v>4</v>
      </c>
      <c r="K16" s="317">
        <f t="shared" si="0"/>
        <v>4.8</v>
      </c>
    </row>
    <row r="17" spans="2:11" s="307" customFormat="1" ht="39.950000000000003" customHeight="1" thickBot="1" x14ac:dyDescent="0.3">
      <c r="B17" s="312" t="s">
        <v>572</v>
      </c>
      <c r="C17" s="313" t="s">
        <v>574</v>
      </c>
      <c r="D17" s="313" t="e" vm="13">
        <v>#VALUE!</v>
      </c>
      <c r="E17" s="313">
        <v>6</v>
      </c>
      <c r="F17" s="313">
        <v>5</v>
      </c>
      <c r="G17" s="313">
        <v>4</v>
      </c>
      <c r="H17" s="313">
        <v>3</v>
      </c>
      <c r="I17" s="313" t="s">
        <v>569</v>
      </c>
      <c r="J17" s="313">
        <f t="shared" si="1"/>
        <v>4</v>
      </c>
      <c r="K17" s="318">
        <f t="shared" si="0"/>
        <v>4.4000000000000004</v>
      </c>
    </row>
  </sheetData>
  <autoFilter ref="B4:K4" xr:uid="{573FE557-7558-4048-BB81-DCE29B0DAACD}">
    <filterColumn colId="2" showButton="0"/>
    <filterColumn colId="7" showButton="0"/>
    <sortState xmlns:xlrd2="http://schemas.microsoft.com/office/spreadsheetml/2017/richdata2" ref="B5:K16">
      <sortCondition descending="1" ref="K4"/>
    </sortState>
  </autoFilter>
  <mergeCells count="2">
    <mergeCell ref="D4:E4"/>
    <mergeCell ref="I4:J4"/>
  </mergeCells>
  <dataValidations count="1">
    <dataValidation type="list" allowBlank="1" showInputMessage="1" showErrorMessage="1" sqref="I5:I17" xr:uid="{7BADF1FA-EAAA-402C-8EFB-4ED54D10C2AF}">
      <formula1>"$,$$,$$$,$$$$,$$$$$"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0ABC6-4873-4B16-A964-770887E04657}">
  <sheetPr codeName="Hoja16">
    <tabColor theme="9" tint="-0.499984740745262"/>
  </sheetPr>
  <dimension ref="B2:O12"/>
  <sheetViews>
    <sheetView showGridLines="0" workbookViewId="0">
      <selection activeCell="H7" sqref="H7"/>
    </sheetView>
  </sheetViews>
  <sheetFormatPr baseColWidth="10" defaultRowHeight="15" x14ac:dyDescent="0.25"/>
  <cols>
    <col min="1" max="1" width="3.5703125" customWidth="1"/>
    <col min="2" max="2" width="14.5703125" customWidth="1"/>
    <col min="3" max="3" width="23.42578125" bestFit="1" customWidth="1"/>
    <col min="4" max="4" width="11.42578125" style="207"/>
    <col min="6" max="6" width="3.140625" customWidth="1"/>
    <col min="7" max="7" width="14.5703125" customWidth="1"/>
    <col min="8" max="8" width="23.42578125" bestFit="1" customWidth="1"/>
    <col min="11" max="11" width="3.28515625" customWidth="1"/>
    <col min="12" max="12" width="14.5703125" customWidth="1"/>
    <col min="13" max="13" width="23.42578125" bestFit="1" customWidth="1"/>
  </cols>
  <sheetData>
    <row r="2" spans="2:15" x14ac:dyDescent="0.25">
      <c r="B2" s="275" t="s">
        <v>581</v>
      </c>
      <c r="G2" s="275" t="s">
        <v>579</v>
      </c>
      <c r="I2" s="207"/>
      <c r="J2" s="207"/>
      <c r="L2" s="275" t="s">
        <v>587</v>
      </c>
      <c r="N2" s="207"/>
      <c r="O2" s="207"/>
    </row>
    <row r="3" spans="2:15" ht="15.75" thickBot="1" x14ac:dyDescent="0.3">
      <c r="I3" s="207"/>
      <c r="J3" s="207"/>
      <c r="N3" s="207"/>
      <c r="O3" s="207"/>
    </row>
    <row r="4" spans="2:15" ht="15.75" thickBot="1" x14ac:dyDescent="0.3">
      <c r="B4" s="319" t="s">
        <v>564</v>
      </c>
      <c r="C4" s="320" t="s">
        <v>582</v>
      </c>
      <c r="D4" s="326" t="s">
        <v>578</v>
      </c>
      <c r="E4" s="321" t="s">
        <v>563</v>
      </c>
      <c r="G4" s="319" t="s">
        <v>564</v>
      </c>
      <c r="H4" s="320" t="s">
        <v>582</v>
      </c>
      <c r="I4" s="326" t="s">
        <v>578</v>
      </c>
      <c r="J4" s="321" t="s">
        <v>563</v>
      </c>
      <c r="L4" s="319" t="s">
        <v>564</v>
      </c>
      <c r="M4" s="320" t="s">
        <v>582</v>
      </c>
      <c r="N4" s="326" t="s">
        <v>578</v>
      </c>
      <c r="O4" s="321" t="s">
        <v>563</v>
      </c>
    </row>
    <row r="5" spans="2:15" s="307" customFormat="1" ht="39.950000000000003" customHeight="1" x14ac:dyDescent="0.25">
      <c r="B5" s="309" t="s">
        <v>583</v>
      </c>
      <c r="C5" s="310" t="s">
        <v>584</v>
      </c>
      <c r="D5" s="310" t="e" vm="14">
        <v>#VALUE!</v>
      </c>
      <c r="E5" s="323">
        <v>90</v>
      </c>
      <c r="G5" s="311" t="s">
        <v>585</v>
      </c>
      <c r="H5" s="306" t="s">
        <v>586</v>
      </c>
      <c r="I5" s="306" t="e" vm="15">
        <v>#VALUE!</v>
      </c>
      <c r="J5" s="324">
        <v>315</v>
      </c>
      <c r="L5" s="309" t="s">
        <v>588</v>
      </c>
      <c r="M5" s="310" t="s">
        <v>589</v>
      </c>
      <c r="N5" s="310" t="e" vm="16">
        <v>#VALUE!</v>
      </c>
      <c r="O5" s="323">
        <v>950</v>
      </c>
    </row>
    <row r="6" spans="2:15" s="307" customFormat="1" ht="39.950000000000003" customHeight="1" x14ac:dyDescent="0.25">
      <c r="B6" s="311" t="s">
        <v>583</v>
      </c>
      <c r="C6" s="306" t="s">
        <v>590</v>
      </c>
      <c r="D6" s="306" t="e" vm="17">
        <v>#VALUE!</v>
      </c>
      <c r="E6" s="324">
        <v>100</v>
      </c>
      <c r="G6" s="311"/>
      <c r="H6" s="306"/>
      <c r="I6" s="306"/>
      <c r="J6" s="324"/>
      <c r="L6" s="311"/>
      <c r="M6" s="306"/>
      <c r="N6" s="306"/>
      <c r="O6" s="324"/>
    </row>
    <row r="7" spans="2:15" s="307" customFormat="1" ht="39.950000000000003" customHeight="1" x14ac:dyDescent="0.25">
      <c r="B7" s="311" t="s">
        <v>583</v>
      </c>
      <c r="C7" s="306" t="s">
        <v>596</v>
      </c>
      <c r="D7" s="306" t="e" vm="18">
        <v>#VALUE!</v>
      </c>
      <c r="E7" s="324">
        <v>140</v>
      </c>
      <c r="G7" s="311"/>
      <c r="H7" s="306"/>
      <c r="I7" s="306"/>
      <c r="J7" s="324"/>
      <c r="L7" s="311"/>
      <c r="M7" s="306"/>
      <c r="N7" s="306"/>
      <c r="O7" s="324"/>
    </row>
    <row r="8" spans="2:15" s="307" customFormat="1" ht="39.950000000000003" customHeight="1" x14ac:dyDescent="0.25">
      <c r="B8" s="311" t="s">
        <v>583</v>
      </c>
      <c r="C8" s="306" t="s">
        <v>607</v>
      </c>
      <c r="D8" s="306" t="e" vm="19">
        <v>#VALUE!</v>
      </c>
      <c r="E8" s="324">
        <v>180</v>
      </c>
      <c r="G8" s="311"/>
      <c r="H8" s="306"/>
      <c r="I8" s="306"/>
      <c r="J8" s="324"/>
      <c r="L8" s="311"/>
      <c r="M8" s="306"/>
      <c r="N8" s="306"/>
      <c r="O8" s="324"/>
    </row>
    <row r="9" spans="2:15" s="307" customFormat="1" ht="39.950000000000003" customHeight="1" x14ac:dyDescent="0.25">
      <c r="B9" s="311"/>
      <c r="C9" s="306"/>
      <c r="D9" s="306"/>
      <c r="E9" s="324"/>
      <c r="G9" s="311"/>
      <c r="H9" s="306"/>
      <c r="I9" s="306"/>
      <c r="J9" s="324"/>
      <c r="L9" s="311"/>
      <c r="M9" s="306"/>
      <c r="N9" s="306"/>
      <c r="O9" s="324"/>
    </row>
    <row r="10" spans="2:15" s="307" customFormat="1" ht="39.950000000000003" customHeight="1" x14ac:dyDescent="0.25">
      <c r="B10" s="311"/>
      <c r="C10" s="306"/>
      <c r="D10" s="306"/>
      <c r="E10" s="324"/>
      <c r="G10" s="311"/>
      <c r="H10" s="306"/>
      <c r="I10" s="306"/>
      <c r="J10" s="324"/>
      <c r="L10" s="311"/>
      <c r="M10" s="306"/>
      <c r="N10" s="306"/>
      <c r="O10" s="324"/>
    </row>
    <row r="11" spans="2:15" s="307" customFormat="1" ht="39.950000000000003" customHeight="1" thickBot="1" x14ac:dyDescent="0.3">
      <c r="B11" s="312"/>
      <c r="C11" s="313"/>
      <c r="D11" s="313"/>
      <c r="E11" s="325"/>
      <c r="G11" s="312"/>
      <c r="H11" s="313"/>
      <c r="I11" s="313"/>
      <c r="J11" s="325"/>
      <c r="L11" s="312"/>
      <c r="M11" s="313"/>
      <c r="N11" s="313"/>
      <c r="O11" s="325"/>
    </row>
    <row r="12" spans="2:15" s="307" customFormat="1" ht="39.950000000000003" customHeight="1" x14ac:dyDescent="0.25"/>
  </sheetData>
  <autoFilter ref="B4:E4" xr:uid="{573FE557-7558-4048-BB81-DCE29B0DAACD}">
    <filterColumn colId="2" showButton="0"/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72DB-4095-48DD-8479-87E6746CA617}">
  <sheetPr codeName="Hoja14"/>
  <dimension ref="A1:F6"/>
  <sheetViews>
    <sheetView workbookViewId="0">
      <selection activeCell="B11" sqref="B11"/>
    </sheetView>
  </sheetViews>
  <sheetFormatPr baseColWidth="10" defaultColWidth="11.5703125" defaultRowHeight="15" x14ac:dyDescent="0.25"/>
  <cols>
    <col min="1" max="1" width="10.7109375" bestFit="1" customWidth="1"/>
    <col min="2" max="2" width="8.7109375" bestFit="1" customWidth="1"/>
  </cols>
  <sheetData>
    <row r="1" spans="1:6" x14ac:dyDescent="0.25">
      <c r="A1" t="s">
        <v>48</v>
      </c>
      <c r="B1" t="s">
        <v>208</v>
      </c>
    </row>
    <row r="2" spans="1:6" x14ac:dyDescent="0.25">
      <c r="A2" t="s">
        <v>1297</v>
      </c>
      <c r="B2">
        <v>85740</v>
      </c>
    </row>
    <row r="6" spans="1:6" x14ac:dyDescent="0.25">
      <c r="F6" s="206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62A4D-783E-4FA2-94CE-E43B16BF29B1}">
  <sheetPr codeName="Hoja2"/>
  <dimension ref="A1:F9"/>
  <sheetViews>
    <sheetView workbookViewId="0">
      <selection activeCell="D11" sqref="D11"/>
    </sheetView>
  </sheetViews>
  <sheetFormatPr baseColWidth="10" defaultColWidth="11.5703125" defaultRowHeight="15" x14ac:dyDescent="0.25"/>
  <cols>
    <col min="1" max="1" width="9.7109375" bestFit="1" customWidth="1"/>
    <col min="2" max="2" width="13.42578125" bestFit="1" customWidth="1"/>
    <col min="3" max="3" width="11.85546875" bestFit="1" customWidth="1"/>
    <col min="4" max="4" width="16.28515625" bestFit="1" customWidth="1"/>
    <col min="5" max="5" width="16.42578125" bestFit="1" customWidth="1"/>
    <col min="6" max="6" width="19.7109375" bestFit="1" customWidth="1"/>
  </cols>
  <sheetData>
    <row r="1" spans="1:6" x14ac:dyDescent="0.25">
      <c r="A1" t="s">
        <v>6</v>
      </c>
      <c r="B1" t="s">
        <v>179</v>
      </c>
      <c r="C1" t="s">
        <v>180</v>
      </c>
      <c r="D1" t="s">
        <v>181</v>
      </c>
      <c r="E1" t="s">
        <v>182</v>
      </c>
      <c r="F1" t="s">
        <v>183</v>
      </c>
    </row>
    <row r="2" spans="1:6" x14ac:dyDescent="0.25">
      <c r="A2" t="s">
        <v>175</v>
      </c>
      <c r="B2">
        <v>1415</v>
      </c>
    </row>
    <row r="3" spans="1:6" x14ac:dyDescent="0.25">
      <c r="A3" t="s">
        <v>103</v>
      </c>
      <c r="B3">
        <v>1435</v>
      </c>
      <c r="C3">
        <v>1435</v>
      </c>
    </row>
    <row r="4" spans="1:6" x14ac:dyDescent="0.25">
      <c r="A4" t="s">
        <v>176</v>
      </c>
      <c r="C4">
        <v>1435</v>
      </c>
    </row>
    <row r="5" spans="1:6" x14ac:dyDescent="0.25">
      <c r="A5" t="s">
        <v>177</v>
      </c>
      <c r="B5">
        <v>1865.5</v>
      </c>
    </row>
    <row r="6" spans="1:6" x14ac:dyDescent="0.25">
      <c r="A6" t="s">
        <v>104</v>
      </c>
      <c r="C6">
        <v>1425</v>
      </c>
    </row>
    <row r="7" spans="1:6" x14ac:dyDescent="0.25">
      <c r="A7" t="s">
        <v>178</v>
      </c>
      <c r="D7">
        <v>1470.21</v>
      </c>
      <c r="E7">
        <v>1464.72</v>
      </c>
    </row>
    <row r="8" spans="1:6" x14ac:dyDescent="0.25">
      <c r="A8" t="s">
        <v>105</v>
      </c>
      <c r="F8">
        <v>1433.07</v>
      </c>
    </row>
    <row r="9" spans="1:6" x14ac:dyDescent="0.25">
      <c r="A9" t="s">
        <v>106</v>
      </c>
      <c r="F9">
        <v>1478.63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398-E304-4F54-8F2B-DEDFD27D8ADA}">
  <sheetPr codeName="Hoja3"/>
  <dimension ref="A1:F9"/>
  <sheetViews>
    <sheetView workbookViewId="0">
      <selection activeCell="J21" sqref="J21"/>
    </sheetView>
  </sheetViews>
  <sheetFormatPr baseColWidth="10" defaultColWidth="11.5703125" defaultRowHeight="15" x14ac:dyDescent="0.25"/>
  <cols>
    <col min="1" max="1" width="9.7109375" bestFit="1" customWidth="1"/>
    <col min="2" max="2" width="12" bestFit="1" customWidth="1"/>
    <col min="3" max="3" width="9.7109375" bestFit="1" customWidth="1"/>
    <col min="4" max="4" width="11" bestFit="1" customWidth="1"/>
    <col min="5" max="5" width="9.7109375" bestFit="1" customWidth="1"/>
    <col min="6" max="6" width="11" bestFit="1" customWidth="1"/>
  </cols>
  <sheetData>
    <row r="1" spans="1:6" x14ac:dyDescent="0.25">
      <c r="A1" t="s">
        <v>6</v>
      </c>
      <c r="B1" t="s">
        <v>7</v>
      </c>
      <c r="C1" t="s">
        <v>6</v>
      </c>
      <c r="D1" t="s">
        <v>7</v>
      </c>
      <c r="E1" t="s">
        <v>6</v>
      </c>
      <c r="F1" t="s">
        <v>7</v>
      </c>
    </row>
    <row r="2" spans="1:6" x14ac:dyDescent="0.25">
      <c r="A2" t="s">
        <v>8</v>
      </c>
      <c r="B2">
        <v>103805188.81</v>
      </c>
      <c r="C2" t="s">
        <v>8</v>
      </c>
      <c r="D2">
        <v>68631</v>
      </c>
      <c r="E2" t="s">
        <v>8</v>
      </c>
      <c r="F2">
        <v>1496.03</v>
      </c>
    </row>
    <row r="3" spans="1:6" x14ac:dyDescent="0.25">
      <c r="A3" t="s">
        <v>9</v>
      </c>
      <c r="B3">
        <v>104116604.38</v>
      </c>
      <c r="C3" t="s">
        <v>9</v>
      </c>
      <c r="D3">
        <v>68836.89</v>
      </c>
      <c r="E3" t="s">
        <v>9</v>
      </c>
      <c r="F3">
        <v>1496.03</v>
      </c>
    </row>
    <row r="4" spans="1:6" x14ac:dyDescent="0.25">
      <c r="A4" t="s">
        <v>10</v>
      </c>
      <c r="B4">
        <v>98899949.140000001</v>
      </c>
      <c r="C4" t="s">
        <v>10</v>
      </c>
      <c r="D4">
        <v>68602</v>
      </c>
      <c r="E4" t="s">
        <v>10</v>
      </c>
      <c r="F4">
        <v>1459.54</v>
      </c>
    </row>
    <row r="5" spans="1:6" x14ac:dyDescent="0.25">
      <c r="A5" t="s">
        <v>11</v>
      </c>
      <c r="B5">
        <v>98603249.290000007</v>
      </c>
      <c r="C5" t="s">
        <v>11</v>
      </c>
      <c r="D5">
        <v>68396.19</v>
      </c>
      <c r="E5" t="s">
        <v>11</v>
      </c>
      <c r="F5">
        <v>1459.54</v>
      </c>
    </row>
    <row r="6" spans="1:6" x14ac:dyDescent="0.25">
      <c r="A6" t="s">
        <v>12</v>
      </c>
      <c r="B6">
        <v>1772566260</v>
      </c>
      <c r="C6" t="s">
        <v>12</v>
      </c>
      <c r="D6">
        <v>1772566306</v>
      </c>
      <c r="E6" t="s">
        <v>12</v>
      </c>
      <c r="F6">
        <v>1772566267</v>
      </c>
    </row>
    <row r="8" spans="1:6" x14ac:dyDescent="0.25">
      <c r="A8" t="s">
        <v>109</v>
      </c>
      <c r="B8">
        <f>AVERAGE(B3,B5)</f>
        <v>101359926.83500001</v>
      </c>
      <c r="C8" t="s">
        <v>109</v>
      </c>
      <c r="D8">
        <f>AVERAGE(D3,D5)</f>
        <v>68616.540000000008</v>
      </c>
      <c r="E8" t="s">
        <v>109</v>
      </c>
      <c r="F8">
        <f>AVERAGE(F3,F5)</f>
        <v>1477.7849999999999</v>
      </c>
    </row>
    <row r="9" spans="1:6" x14ac:dyDescent="0.25">
      <c r="A9" t="s">
        <v>152</v>
      </c>
      <c r="C9" t="s">
        <v>153</v>
      </c>
      <c r="E9" t="s">
        <v>154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A263E7-741A-4165-8F4D-763184728A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Principal</vt:lpstr>
      <vt:lpstr>Ahorros</vt:lpstr>
      <vt:lpstr>Balance mensual</vt:lpstr>
      <vt:lpstr>Gastos personales</vt:lpstr>
      <vt:lpstr>Gastos compartidos</vt:lpstr>
      <vt:lpstr>Sueldos</vt:lpstr>
      <vt:lpstr>Cedears</vt:lpstr>
      <vt:lpstr>Acciones</vt:lpstr>
      <vt:lpstr>Precios</vt:lpstr>
      <vt:lpstr>Portafolio</vt:lpstr>
      <vt:lpstr>Tenis</vt:lpstr>
      <vt:lpstr>Alfajores</vt:lpstr>
      <vt:lpstr>Relojes</vt:lpstr>
      <vt:lpstr>Bonos</vt:lpstr>
      <vt:lpstr>Dolar</vt:lpstr>
      <vt:lpstr>Crypto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Morales</dc:creator>
  <cp:lastModifiedBy>Gonzalo Morales</cp:lastModifiedBy>
  <dcterms:created xsi:type="dcterms:W3CDTF">2023-01-11T13:24:15Z</dcterms:created>
  <dcterms:modified xsi:type="dcterms:W3CDTF">2026-10-17T02:25:45Z</dcterms:modified>
</cp:coreProperties>
</file>