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9440" windowHeight="8010" activeTab="3"/>
  </bookViews>
  <sheets>
    <sheet name="Vehiculos Electricos" sheetId="1" r:id="rId1"/>
    <sheet name="Mas vendidos colombia 2012" sheetId="3" r:id="rId2"/>
    <sheet name="Escogidos modelo" sheetId="4" r:id="rId3"/>
    <sheet name="Entrada" sheetId="5" r:id="rId4"/>
  </sheets>
  <definedNames>
    <definedName name="_xlnm._FilterDatabase" localSheetId="2" hidden="1">'Escogidos modelo'!$A$1:$R$1</definedName>
    <definedName name="_xlnm._FilterDatabase" localSheetId="0" hidden="1">'Vehiculos Electricos'!$A$1:$R$28</definedName>
    <definedName name="escogidos">'Escogidos modelo'!$A$1:$R$9</definedName>
    <definedName name="EVs" localSheetId="0">'Vehiculos Electricos'!$A$1:$R$28</definedName>
  </definedNames>
  <calcPr calcId="124519"/>
</workbook>
</file>

<file path=xl/calcChain.xml><?xml version="1.0" encoding="utf-8"?>
<calcChain xmlns="http://schemas.openxmlformats.org/spreadsheetml/2006/main">
  <c r="I20" i="3"/>
  <c r="I19"/>
  <c r="H20"/>
  <c r="H19"/>
  <c r="G20"/>
  <c r="G19"/>
  <c r="F20"/>
  <c r="F19"/>
  <c r="E20"/>
  <c r="E19"/>
  <c r="D20"/>
  <c r="D19"/>
  <c r="J5" i="4" l="1"/>
  <c r="J26" i="1" l="1"/>
  <c r="J27"/>
  <c r="J28"/>
  <c r="J25"/>
  <c r="D11"/>
  <c r="F11"/>
  <c r="G11"/>
  <c r="J11"/>
  <c r="D22"/>
  <c r="F22"/>
  <c r="G22"/>
  <c r="J22"/>
  <c r="D23"/>
  <c r="F23"/>
  <c r="G23"/>
  <c r="J23"/>
  <c r="D3" l="1"/>
  <c r="D4"/>
  <c r="D5"/>
  <c r="D6"/>
  <c r="D7"/>
  <c r="D8"/>
  <c r="D9"/>
  <c r="D10"/>
  <c r="D12"/>
  <c r="D13"/>
  <c r="D14"/>
  <c r="D15"/>
  <c r="D16"/>
  <c r="D17"/>
  <c r="D18"/>
  <c r="D19"/>
  <c r="D20"/>
  <c r="D21"/>
  <c r="D24"/>
  <c r="D25"/>
  <c r="D26"/>
  <c r="D27"/>
  <c r="D28"/>
  <c r="D2"/>
  <c r="G6" l="1"/>
  <c r="G7"/>
  <c r="G9"/>
  <c r="G10"/>
  <c r="G12"/>
  <c r="G13"/>
  <c r="G21"/>
  <c r="G27"/>
  <c r="G28"/>
  <c r="J4"/>
  <c r="J5"/>
  <c r="J8"/>
  <c r="J13"/>
  <c r="J14"/>
  <c r="J15"/>
  <c r="J16"/>
  <c r="J17"/>
  <c r="J18"/>
  <c r="J19"/>
  <c r="J20"/>
  <c r="J21"/>
  <c r="J24"/>
  <c r="H3" i="3" l="1"/>
  <c r="I3" s="1"/>
  <c r="H4"/>
  <c r="I4" s="1"/>
  <c r="H5"/>
  <c r="I5" s="1"/>
  <c r="H6"/>
  <c r="I6" s="1"/>
  <c r="H7"/>
  <c r="I7" s="1"/>
  <c r="H8"/>
  <c r="I8" s="1"/>
  <c r="H9"/>
  <c r="I9" s="1"/>
  <c r="H10"/>
  <c r="I10" s="1"/>
  <c r="H12"/>
  <c r="I12" s="1"/>
  <c r="H13"/>
  <c r="I13" s="1"/>
  <c r="H14"/>
  <c r="I14" s="1"/>
  <c r="H15"/>
  <c r="I15" s="1"/>
  <c r="H16"/>
  <c r="I16" s="1"/>
  <c r="H17"/>
  <c r="I17" s="1"/>
  <c r="H2"/>
  <c r="I2" s="1"/>
  <c r="H28" i="1" l="1"/>
  <c r="H27"/>
  <c r="H7"/>
  <c r="I12"/>
  <c r="J12" s="1"/>
  <c r="I10"/>
  <c r="J10" s="1"/>
  <c r="I9"/>
  <c r="J9" s="1"/>
  <c r="I7"/>
  <c r="I6"/>
  <c r="J6" s="1"/>
  <c r="I3"/>
  <c r="J3" s="1"/>
  <c r="I2"/>
  <c r="J2" s="1"/>
  <c r="F26"/>
  <c r="G26" s="1"/>
  <c r="J7" l="1"/>
  <c r="F25"/>
  <c r="G25" s="1"/>
  <c r="F15"/>
  <c r="G15" s="1"/>
  <c r="F2"/>
  <c r="G2" s="1"/>
  <c r="F3"/>
  <c r="G3" s="1"/>
  <c r="F19"/>
  <c r="G19" s="1"/>
  <c r="F18"/>
  <c r="G18" s="1"/>
  <c r="F8"/>
  <c r="G8" s="1"/>
  <c r="F17"/>
  <c r="G17" s="1"/>
  <c r="F14"/>
  <c r="G14" s="1"/>
  <c r="F24"/>
  <c r="G24" s="1"/>
  <c r="F5"/>
  <c r="G5" s="1"/>
  <c r="F4"/>
  <c r="G4" s="1"/>
  <c r="F16"/>
  <c r="G16" s="1"/>
  <c r="F20"/>
  <c r="G20" s="1"/>
</calcChain>
</file>

<file path=xl/comments1.xml><?xml version="1.0" encoding="utf-8"?>
<comments xmlns="http://schemas.openxmlformats.org/spreadsheetml/2006/main">
  <authors>
    <author>USUARIO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http://www.motor.com.co/vehiculos-motor/las-marcas-que-mas-vehiculos-vendieron-en-colombia-en-2012_12549210-4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Datos obtenidos de http://automovilescolombia.com/</t>
        </r>
      </text>
    </comment>
    <comment ref="F13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Lo que esta en amarillo es que no estaba en la pagina y toco buscar por otro lado</t>
        </r>
      </text>
    </comment>
    <comment ref="F16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Según lo que encontre en Bogotá</t>
        </r>
      </text>
    </comment>
  </commentList>
</comments>
</file>

<file path=xl/sharedStrings.xml><?xml version="1.0" encoding="utf-8"?>
<sst xmlns="http://schemas.openxmlformats.org/spreadsheetml/2006/main" count="335" uniqueCount="141">
  <si>
    <t>Vehiculo</t>
  </si>
  <si>
    <t>Tecnología</t>
  </si>
  <si>
    <t>Tesla Roadcaster S</t>
  </si>
  <si>
    <t>Precio USD</t>
  </si>
  <si>
    <t>BEV</t>
  </si>
  <si>
    <t>Tesla Roadcaster S Performance</t>
  </si>
  <si>
    <t>Vida Util Bateria</t>
  </si>
  <si>
    <t>Nissan Leaf S</t>
  </si>
  <si>
    <t>-</t>
  </si>
  <si>
    <t>---------------------</t>
  </si>
  <si>
    <t>http://www.roadandtrack.com/car-reviews/road-test-updates/2012-nissan-leaf</t>
  </si>
  <si>
    <t>Bibliography</t>
  </si>
  <si>
    <t>http://www.teslamotors.com/models/design</t>
  </si>
  <si>
    <t>Nissan Leaf SV</t>
  </si>
  <si>
    <t>-----------------------</t>
  </si>
  <si>
    <t>http://www.nissanusa.com/st/nissan/pdf/compare/2013/2013_Nissan_LEF.pdf</t>
  </si>
  <si>
    <t>Observaciones</t>
  </si>
  <si>
    <t>Nissan Leaf SL</t>
  </si>
  <si>
    <t>---------------------------</t>
  </si>
  <si>
    <t>Igual a SV pero con mas accesorios</t>
  </si>
  <si>
    <t>Chevrolet Volta</t>
  </si>
  <si>
    <t>PHEV</t>
  </si>
  <si>
    <t>http://es.chevrolet.com/volt-electric-car.html</t>
  </si>
  <si>
    <t>8 años o 160000 km</t>
  </si>
  <si>
    <t>Coda Sedan</t>
  </si>
  <si>
    <t>10 años o 100.000 miles</t>
  </si>
  <si>
    <t>http://app.codaautomotive.com/CarConfigurator/View/Specifications</t>
  </si>
  <si>
    <t xml:space="preserve">Igual a S pero con accesorios Extra </t>
  </si>
  <si>
    <t>Pasajeros</t>
  </si>
  <si>
    <t>Renault Fluence</t>
  </si>
  <si>
    <t>Tensión</t>
  </si>
  <si>
    <t>http://www.renault.es/e-brochure/ZEL38/index.html</t>
  </si>
  <si>
    <t>Tiempo Rapida</t>
  </si>
  <si>
    <t>Tiempo Lenta</t>
  </si>
  <si>
    <t>MiEV</t>
  </si>
  <si>
    <t>10 años</t>
  </si>
  <si>
    <t>30 min 80%</t>
  </si>
  <si>
    <t>7 horas 100%</t>
  </si>
  <si>
    <t>http://www.mitsubishi-motors.cl/i-miev/ficha.html</t>
  </si>
  <si>
    <t>BYD F3DM</t>
  </si>
  <si>
    <t>2000 ciclos de carga/descarga</t>
  </si>
  <si>
    <t>http://movele.es/index.php/mod.coches/mem.detalle/id.21/relmenu.4#pm</t>
  </si>
  <si>
    <t>CHANA BENNI</t>
  </si>
  <si>
    <t>Micro-Vett FIAT 500</t>
  </si>
  <si>
    <t>Smart Electric Drive Coupé</t>
  </si>
  <si>
    <t>Tata Indica Vista</t>
  </si>
  <si>
    <t>Reva NXR</t>
  </si>
  <si>
    <t>Opel Ampera</t>
  </si>
  <si>
    <t>4 horas</t>
  </si>
  <si>
    <t>2000 ciclos de carga descarga</t>
  </si>
  <si>
    <t>ND</t>
  </si>
  <si>
    <t>http://movele.es/index.php/mod.coches/mem.detalle/id.150/relmenu.4</t>
  </si>
  <si>
    <t>http://www.km77.com/00/seat/proto/leon-twindrive/2010/prototipo_hibrido.asp</t>
  </si>
  <si>
    <t>110/220</t>
  </si>
  <si>
    <t>3 horas/1,5 horas</t>
  </si>
  <si>
    <t>http://movele.es/index.php/mod.coches/mem.detalle/id.62/relmenu.4</t>
  </si>
  <si>
    <t xml:space="preserve">Micro-Vett (Fiat) Iveco Daily </t>
  </si>
  <si>
    <t>1500 ciclos de carga descarga</t>
  </si>
  <si>
    <t>http://movele.es/index.php/mod.coches/mem.detalle/id.67/relmenu.4</t>
  </si>
  <si>
    <t>http://movele.es/index.php/mod.coches/mem.detalle/id.22/relmenu.4</t>
  </si>
  <si>
    <t>http://movele.es/index.php/mod.coches/mem.detalle/id.23/relmenu.4</t>
  </si>
  <si>
    <t>800 ciclos de carga/descarga</t>
  </si>
  <si>
    <t>9 horas 100%</t>
  </si>
  <si>
    <t>http://movele.es/index.php/mod.coches/mem.detalle/id.85/relmenu.4</t>
  </si>
  <si>
    <t>5 horas 100%</t>
  </si>
  <si>
    <t>http://movele.es/index.php/mod.coches/mem.detalle/id.66/relmenu.4</t>
  </si>
  <si>
    <t>8 horas 100%</t>
  </si>
  <si>
    <t>http://movele.es/index.php/mod.coches/mem.detalle/id.36/relmenu.4</t>
  </si>
  <si>
    <t>http://movele.es/index.php/mod.coches/mem.detalle/id.38/relmenu.4</t>
  </si>
  <si>
    <t>http://movele.es/index.php/mod.coches/mem.detalle/id.149/relmenu.4</t>
  </si>
  <si>
    <t>Micro-Vett (Fiat)
Fiorino M1-Fi(LC-EG)-Li</t>
  </si>
  <si>
    <t>1800 ciclos de carga descarga</t>
  </si>
  <si>
    <t>6 horas 100%</t>
  </si>
  <si>
    <t>http://movele.es/index.php/mod.coches/mem.detalle/id.68/relmenu.4</t>
  </si>
  <si>
    <t>Aplicación</t>
  </si>
  <si>
    <t>Transporte particular</t>
  </si>
  <si>
    <t>8 años o 125000 miles o 2000 ciclos carga descarga</t>
  </si>
  <si>
    <t>http://movele.es/index.php/mod.coches/mem.detalle/id.197/relmenu.4</t>
  </si>
  <si>
    <t>Citroën C-Zero</t>
  </si>
  <si>
    <t>3 horas 100%</t>
  </si>
  <si>
    <t>http://movele.es/index.php/mod.coches/mem.detalle/id.245/relmenu.4</t>
  </si>
  <si>
    <t>Lexus GS 450h Hybrid</t>
  </si>
  <si>
    <t>http://www.km77.com/precios/lexus/gs/2012/gs-450h-hybrid-drive2</t>
  </si>
  <si>
    <t>Honda Civic 1.3 Hybrid 4p 115cv</t>
  </si>
  <si>
    <t>HEV</t>
  </si>
  <si>
    <t>http://www.arpem.com/coches/coches/honda/civic/modelos-07/honda-civic-13-hybrid-115-4p.html</t>
  </si>
  <si>
    <t xml:space="preserve">Toyota Camry </t>
  </si>
  <si>
    <t>http://www.toyota.com/camry/features.html#!/mpg/2514/2532/2546/2540</t>
  </si>
  <si>
    <t>Se tomo un promedio, son varios vehiculos con diferentes accesorios</t>
  </si>
  <si>
    <t>Ford Fusion Hybrid Titanium</t>
  </si>
  <si>
    <t>http://es.ford.com/cars/fusion/specifications/view-all/</t>
  </si>
  <si>
    <t>Bateria kWh</t>
  </si>
  <si>
    <t>Autonomia km</t>
  </si>
  <si>
    <t>Precio en Pesos</t>
  </si>
  <si>
    <t>Marca</t>
  </si>
  <si>
    <t>Chevrolet Spark GT</t>
  </si>
  <si>
    <t>Renault Logan</t>
  </si>
  <si>
    <t>Renault Sandero</t>
  </si>
  <si>
    <t>Chevrolet Spark</t>
  </si>
  <si>
    <t>Chevrolet Sail</t>
  </si>
  <si>
    <t>Chevrolet Aveo Family</t>
  </si>
  <si>
    <t>KIA Picanto</t>
  </si>
  <si>
    <t>Aveo Emotion</t>
  </si>
  <si>
    <t>KIA Rio / New Rio</t>
  </si>
  <si>
    <t>Aveo 1.6 4p</t>
  </si>
  <si>
    <t>Ford Fiesta</t>
  </si>
  <si>
    <t>Hyundai i25</t>
  </si>
  <si>
    <t>Renault Stepway</t>
  </si>
  <si>
    <t>Nissan Tiida</t>
  </si>
  <si>
    <t>Nissan Versa</t>
  </si>
  <si>
    <t>Mazda2</t>
  </si>
  <si>
    <t>Precio</t>
  </si>
  <si>
    <t>Velocidad km/h</t>
  </si>
  <si>
    <t>Galones</t>
  </si>
  <si>
    <t>km/galon</t>
  </si>
  <si>
    <t>Precio/km</t>
  </si>
  <si>
    <t>Autonomia Total</t>
  </si>
  <si>
    <t>Autonomia Gasolina</t>
  </si>
  <si>
    <t>Autonomia Bateria</t>
  </si>
  <si>
    <t>Capacidad en galones</t>
  </si>
  <si>
    <t>8 años</t>
  </si>
  <si>
    <t>TOYOTA PRIUS PLUG-IN HYBRID</t>
  </si>
  <si>
    <t>SEAT LEON TWIN DRIVE ECOMOTIVE</t>
  </si>
  <si>
    <t>BYD e6 (75kw)</t>
  </si>
  <si>
    <t>BYD e6 (200kW)</t>
  </si>
  <si>
    <t>CI</t>
  </si>
  <si>
    <t>http://automovilescolombia.com/</t>
  </si>
  <si>
    <t>Media</t>
  </si>
  <si>
    <t>Desviación Estandar</t>
  </si>
  <si>
    <t>http://www.renault.com.co/cars/nuevologan/specifications.html</t>
  </si>
  <si>
    <t xml:space="preserve">
http://www.motor.com.co/vehiculos-motor/las-marcas-que-mas-vehiculos-vendieron-en-colombia-en-2012_12549210-4</t>
  </si>
  <si>
    <t>Tiempo</t>
  </si>
  <si>
    <t>Escenario</t>
  </si>
  <si>
    <t>Modelo</t>
  </si>
  <si>
    <t>Cantidad</t>
  </si>
  <si>
    <t>Tipo Usuario</t>
  </si>
  <si>
    <t>Total EV</t>
  </si>
  <si>
    <t>Toyota</t>
  </si>
  <si>
    <t>Chevy</t>
  </si>
  <si>
    <t>Fluence</t>
  </si>
  <si>
    <t>Nissan</t>
  </si>
</sst>
</file>

<file path=xl/styles.xml><?xml version="1.0" encoding="utf-8"?>
<styleSheet xmlns="http://schemas.openxmlformats.org/spreadsheetml/2006/main">
  <numFmts count="3">
    <numFmt numFmtId="44" formatCode="_-* #,##0.00\ &quot;€&quot;_-;\-* #,##0.00\ &quot;€&quot;_-;_-* &quot;-&quot;??\ &quot;€&quot;_-;_-@_-"/>
    <numFmt numFmtId="164" formatCode="_-[$$-240A]* #,##0.00_-;\-[$$-240A]* #,##0.00_-;_-[$$-240A]* &quot;-&quot;??_-;_-@_-"/>
    <numFmt numFmtId="165" formatCode="[$$-240A]#,##0.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name val="Times New Roman"/>
      <family val="1"/>
    </font>
    <font>
      <sz val="10"/>
      <name val="Georgia"/>
      <family val="1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wrapText="1"/>
    </xf>
    <xf numFmtId="2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/>
    <xf numFmtId="0" fontId="3" fillId="3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vertical="center" wrapText="1"/>
    </xf>
    <xf numFmtId="3" fontId="3" fillId="3" borderId="4" xfId="0" applyNumberFormat="1" applyFont="1" applyFill="1" applyBorder="1" applyAlignment="1">
      <alignment horizontal="right" vertical="center" wrapText="1"/>
    </xf>
    <xf numFmtId="165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/>
    <xf numFmtId="0" fontId="0" fillId="4" borderId="0" xfId="0" applyFill="1"/>
    <xf numFmtId="0" fontId="0" fillId="0" borderId="1" xfId="0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0" fontId="0" fillId="0" borderId="1" xfId="0" quotePrefix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0" xfId="0" applyFont="1" applyFill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wrapText="1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4" fillId="6" borderId="1" xfId="0" applyFont="1" applyFill="1" applyBorder="1"/>
    <xf numFmtId="165" fontId="4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wrapText="1"/>
    </xf>
    <xf numFmtId="0" fontId="4" fillId="6" borderId="0" xfId="0" applyFont="1" applyFill="1"/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/>
    <xf numFmtId="164" fontId="4" fillId="6" borderId="5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" fontId="4" fillId="6" borderId="5" xfId="0" applyNumberFormat="1" applyFont="1" applyFill="1" applyBorder="1" applyAlignment="1">
      <alignment horizontal="center" vertical="center"/>
    </xf>
    <xf numFmtId="0" fontId="8" fillId="6" borderId="5" xfId="2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wrapText="1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enault.com.co/cars/nuevologan/specifica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workbookViewId="0">
      <pane xSplit="1" ySplit="1" topLeftCell="B20" activePane="bottomRight" state="frozen"/>
      <selection pane="topRight" activeCell="C1" sqref="C1"/>
      <selection pane="bottomLeft" activeCell="A3" sqref="A3"/>
      <selection pane="bottomRight" activeCell="E28" sqref="E28"/>
    </sheetView>
  </sheetViews>
  <sheetFormatPr baseColWidth="10" defaultRowHeight="15.75" thickBottom="1"/>
  <cols>
    <col min="1" max="1" width="29.42578125" style="1" bestFit="1" customWidth="1"/>
    <col min="2" max="2" width="10.42578125" style="1" bestFit="1" customWidth="1"/>
    <col min="3" max="3" width="19.5703125" style="1" bestFit="1" customWidth="1"/>
    <col min="4" max="4" width="24.7109375" style="1" bestFit="1" customWidth="1"/>
    <col min="5" max="5" width="19" style="1" bestFit="1" customWidth="1"/>
    <col min="6" max="6" width="12.5703125" style="2" bestFit="1" customWidth="1"/>
    <col min="7" max="7" width="21" style="2" bestFit="1" customWidth="1"/>
    <col min="8" max="8" width="23.5703125" style="5" bestFit="1" customWidth="1"/>
    <col min="9" max="9" width="25" style="1" customWidth="1"/>
    <col min="10" max="10" width="20.28515625" style="1" bestFit="1" customWidth="1"/>
    <col min="11" max="11" width="21.7109375" style="1" bestFit="1" customWidth="1"/>
    <col min="12" max="15" width="21.7109375" style="1" customWidth="1"/>
    <col min="16" max="16" width="42.140625" style="3" bestFit="1" customWidth="1"/>
    <col min="17" max="17" width="21.5703125" style="13" customWidth="1"/>
    <col min="18" max="18" width="24.7109375" style="4" customWidth="1"/>
  </cols>
  <sheetData>
    <row r="1" spans="1:18" thickBot="1">
      <c r="A1" s="9" t="s">
        <v>0</v>
      </c>
      <c r="B1" s="9" t="s">
        <v>1</v>
      </c>
      <c r="C1" s="9" t="s">
        <v>74</v>
      </c>
      <c r="D1" s="9" t="s">
        <v>119</v>
      </c>
      <c r="E1" s="9" t="s">
        <v>91</v>
      </c>
      <c r="F1" s="10" t="s">
        <v>3</v>
      </c>
      <c r="G1" s="10" t="s">
        <v>93</v>
      </c>
      <c r="H1" s="26" t="s">
        <v>117</v>
      </c>
      <c r="I1" s="9" t="s">
        <v>118</v>
      </c>
      <c r="J1" s="9" t="s">
        <v>116</v>
      </c>
      <c r="K1" s="9" t="s">
        <v>6</v>
      </c>
      <c r="L1" s="9" t="s">
        <v>28</v>
      </c>
      <c r="M1" s="9" t="s">
        <v>30</v>
      </c>
      <c r="N1" s="9" t="s">
        <v>32</v>
      </c>
      <c r="O1" s="9" t="s">
        <v>33</v>
      </c>
      <c r="P1" s="11" t="s">
        <v>11</v>
      </c>
      <c r="Q1" s="14"/>
      <c r="R1" s="9" t="s">
        <v>16</v>
      </c>
    </row>
    <row r="2" spans="1:18" ht="60.75" thickBot="1">
      <c r="A2" s="1" t="s">
        <v>5</v>
      </c>
      <c r="B2" s="1" t="s">
        <v>4</v>
      </c>
      <c r="C2" s="1" t="s">
        <v>75</v>
      </c>
      <c r="D2" s="1">
        <f t="shared" ref="D2:D10" si="0">IF(OR(EXACT(B2,$B$7),(EXACT(B2,$B$28))),40,0)</f>
        <v>0</v>
      </c>
      <c r="E2" s="1">
        <v>85</v>
      </c>
      <c r="F2" s="2">
        <f>136562.2149*1.3027</f>
        <v>177899.59735022997</v>
      </c>
      <c r="G2" s="2">
        <f>IFERROR(F2*1834.86239,"ND")</f>
        <v>326421280.37408066</v>
      </c>
      <c r="H2" s="5">
        <v>0</v>
      </c>
      <c r="I2" s="16">
        <f>265*1.609344</f>
        <v>426.47616000000005</v>
      </c>
      <c r="J2" s="16">
        <f>IFERROR(H2+I2,"ND")</f>
        <v>426.47616000000005</v>
      </c>
      <c r="K2" s="3" t="s">
        <v>76</v>
      </c>
      <c r="L2" s="1">
        <v>5</v>
      </c>
      <c r="M2" s="1">
        <v>220</v>
      </c>
      <c r="O2" s="1" t="s">
        <v>48</v>
      </c>
      <c r="P2" s="3" t="s">
        <v>12</v>
      </c>
      <c r="Q2" s="8" t="s">
        <v>77</v>
      </c>
    </row>
    <row r="3" spans="1:18" ht="60.75" thickBot="1">
      <c r="A3" s="1" t="s">
        <v>2</v>
      </c>
      <c r="B3" s="1" t="s">
        <v>4</v>
      </c>
      <c r="C3" s="1" t="s">
        <v>75</v>
      </c>
      <c r="D3" s="1">
        <f t="shared" si="0"/>
        <v>0</v>
      </c>
      <c r="E3" s="1">
        <v>60</v>
      </c>
      <c r="F3" s="2">
        <f>118000*1.3027</f>
        <v>153718.6</v>
      </c>
      <c r="G3" s="2">
        <f t="shared" ref="G3:G28" si="1">IFERROR(F3*1834.86239,"ND")</f>
        <v>282052477.783454</v>
      </c>
      <c r="H3" s="5">
        <v>0</v>
      </c>
      <c r="I3" s="16">
        <f>208*1.609344</f>
        <v>334.74355200000002</v>
      </c>
      <c r="J3" s="16">
        <f t="shared" ref="J3:J24" si="2">IFERROR(H3+I3,"ND")</f>
        <v>334.74355200000002</v>
      </c>
      <c r="K3" s="3" t="s">
        <v>76</v>
      </c>
      <c r="L3" s="5">
        <v>5</v>
      </c>
      <c r="M3" s="1">
        <v>220</v>
      </c>
      <c r="O3" s="1" t="s">
        <v>48</v>
      </c>
      <c r="P3" s="3" t="s">
        <v>12</v>
      </c>
      <c r="Q3" s="8" t="s">
        <v>77</v>
      </c>
    </row>
    <row r="4" spans="1:18" ht="30.75" thickBot="1">
      <c r="A4" s="3" t="s">
        <v>123</v>
      </c>
      <c r="B4" s="1" t="s">
        <v>4</v>
      </c>
      <c r="C4" s="1" t="s">
        <v>75</v>
      </c>
      <c r="D4" s="1">
        <f t="shared" si="0"/>
        <v>0</v>
      </c>
      <c r="E4" s="1">
        <v>59.4</v>
      </c>
      <c r="F4" s="2">
        <f>46124*1.3027</f>
        <v>60085.734799999998</v>
      </c>
      <c r="G4" s="2">
        <f t="shared" si="1"/>
        <v>110249054.96003418</v>
      </c>
      <c r="H4" s="5">
        <v>0</v>
      </c>
      <c r="I4" s="1">
        <v>300</v>
      </c>
      <c r="J4" s="16">
        <f t="shared" si="2"/>
        <v>300</v>
      </c>
      <c r="K4" s="1" t="s">
        <v>50</v>
      </c>
      <c r="L4" s="1">
        <v>5</v>
      </c>
      <c r="M4" s="1">
        <v>220</v>
      </c>
      <c r="N4" s="1" t="s">
        <v>50</v>
      </c>
      <c r="O4" s="1" t="s">
        <v>37</v>
      </c>
      <c r="P4" s="3" t="s">
        <v>59</v>
      </c>
    </row>
    <row r="5" spans="1:18" ht="30.75" thickBot="1">
      <c r="A5" s="3" t="s">
        <v>124</v>
      </c>
      <c r="B5" s="1" t="s">
        <v>4</v>
      </c>
      <c r="C5" s="1" t="s">
        <v>75</v>
      </c>
      <c r="D5" s="1">
        <f t="shared" si="0"/>
        <v>0</v>
      </c>
      <c r="E5" s="1">
        <v>59.4</v>
      </c>
      <c r="F5" s="2">
        <f>46124*1.3027</f>
        <v>60085.734799999998</v>
      </c>
      <c r="G5" s="2">
        <f t="shared" si="1"/>
        <v>110249054.96003418</v>
      </c>
      <c r="H5" s="5">
        <v>0</v>
      </c>
      <c r="I5" s="1">
        <v>300</v>
      </c>
      <c r="J5" s="16">
        <f t="shared" si="2"/>
        <v>300</v>
      </c>
      <c r="K5" s="1" t="s">
        <v>50</v>
      </c>
      <c r="L5" s="1">
        <v>5</v>
      </c>
      <c r="M5" s="1">
        <v>220</v>
      </c>
      <c r="N5" s="1" t="s">
        <v>50</v>
      </c>
      <c r="O5" s="1" t="s">
        <v>37</v>
      </c>
      <c r="P5" s="3" t="s">
        <v>60</v>
      </c>
    </row>
    <row r="6" spans="1:18" ht="30.75" thickBot="1">
      <c r="A6" s="1" t="s">
        <v>24</v>
      </c>
      <c r="B6" s="1" t="s">
        <v>4</v>
      </c>
      <c r="C6" s="1" t="s">
        <v>75</v>
      </c>
      <c r="D6" s="1">
        <f t="shared" si="0"/>
        <v>0</v>
      </c>
      <c r="E6" s="1">
        <v>31</v>
      </c>
      <c r="F6" s="2">
        <v>38145</v>
      </c>
      <c r="G6" s="2">
        <f t="shared" si="1"/>
        <v>69990825.866549999</v>
      </c>
      <c r="H6" s="5">
        <v>0</v>
      </c>
      <c r="I6" s="16">
        <f>125*1.609344</f>
        <v>201.16800000000001</v>
      </c>
      <c r="J6" s="16">
        <f t="shared" si="2"/>
        <v>201.16800000000001</v>
      </c>
      <c r="K6" s="1" t="s">
        <v>25</v>
      </c>
      <c r="L6" s="1">
        <v>5</v>
      </c>
      <c r="P6" s="3" t="s">
        <v>26</v>
      </c>
    </row>
    <row r="7" spans="1:18" s="40" customFormat="1" ht="30.75" thickBot="1">
      <c r="A7" s="32" t="s">
        <v>20</v>
      </c>
      <c r="B7" s="32" t="s">
        <v>21</v>
      </c>
      <c r="C7" s="32" t="s">
        <v>75</v>
      </c>
      <c r="D7" s="32">
        <f t="shared" si="0"/>
        <v>40</v>
      </c>
      <c r="E7" s="32">
        <v>16.5</v>
      </c>
      <c r="F7" s="33">
        <v>31645</v>
      </c>
      <c r="G7" s="33">
        <f t="shared" si="1"/>
        <v>58064220.331550002</v>
      </c>
      <c r="H7" s="34">
        <f>380*1.609344</f>
        <v>611.55072000000007</v>
      </c>
      <c r="I7" s="35">
        <f>38*1.609344</f>
        <v>61.155072000000004</v>
      </c>
      <c r="J7" s="35">
        <f t="shared" si="2"/>
        <v>672.70579200000009</v>
      </c>
      <c r="K7" s="36" t="s">
        <v>23</v>
      </c>
      <c r="L7" s="36">
        <v>5</v>
      </c>
      <c r="M7" s="36"/>
      <c r="N7" s="36"/>
      <c r="O7" s="36"/>
      <c r="P7" s="37" t="s">
        <v>22</v>
      </c>
      <c r="Q7" s="50"/>
      <c r="R7" s="39"/>
    </row>
    <row r="8" spans="1:18" ht="30.75" thickBot="1">
      <c r="A8" s="1" t="s">
        <v>45</v>
      </c>
      <c r="B8" s="1" t="s">
        <v>4</v>
      </c>
      <c r="C8" s="1" t="s">
        <v>75</v>
      </c>
      <c r="D8" s="1">
        <f t="shared" si="0"/>
        <v>0</v>
      </c>
      <c r="E8" s="1">
        <v>26.5</v>
      </c>
      <c r="F8" s="2">
        <f>25862*1.3027</f>
        <v>33690.4274</v>
      </c>
      <c r="G8" s="2">
        <f t="shared" si="1"/>
        <v>61817298.13928549</v>
      </c>
      <c r="H8" s="5">
        <v>0</v>
      </c>
      <c r="I8" s="1">
        <v>200</v>
      </c>
      <c r="J8" s="16">
        <f t="shared" si="2"/>
        <v>200</v>
      </c>
      <c r="K8" s="1" t="s">
        <v>50</v>
      </c>
      <c r="L8" s="1">
        <v>4</v>
      </c>
      <c r="M8" s="1">
        <v>220</v>
      </c>
      <c r="N8" s="1" t="s">
        <v>50</v>
      </c>
      <c r="O8" s="1" t="s">
        <v>66</v>
      </c>
      <c r="P8" s="3" t="s">
        <v>68</v>
      </c>
    </row>
    <row r="9" spans="1:18" s="49" customFormat="1" ht="60.75" thickBot="1">
      <c r="A9" s="41" t="s">
        <v>7</v>
      </c>
      <c r="B9" s="41" t="s">
        <v>4</v>
      </c>
      <c r="C9" s="41" t="s">
        <v>75</v>
      </c>
      <c r="D9" s="41">
        <f t="shared" si="0"/>
        <v>0</v>
      </c>
      <c r="E9" s="41">
        <v>24</v>
      </c>
      <c r="F9" s="42">
        <v>28800</v>
      </c>
      <c r="G9" s="42">
        <f t="shared" si="1"/>
        <v>52844036.832000002</v>
      </c>
      <c r="H9" s="43">
        <v>0</v>
      </c>
      <c r="I9" s="44">
        <f>88*1.609344</f>
        <v>141.62227200000001</v>
      </c>
      <c r="J9" s="44">
        <f t="shared" si="2"/>
        <v>141.62227200000001</v>
      </c>
      <c r="K9" s="45" t="s">
        <v>9</v>
      </c>
      <c r="L9" s="45"/>
      <c r="M9" s="45"/>
      <c r="N9" s="45"/>
      <c r="O9" s="45"/>
      <c r="P9" s="46" t="s">
        <v>10</v>
      </c>
      <c r="Q9" s="47" t="s">
        <v>15</v>
      </c>
      <c r="R9" s="48"/>
    </row>
    <row r="10" spans="1:18" s="40" customFormat="1" ht="60.75" thickBot="1">
      <c r="A10" s="32" t="s">
        <v>13</v>
      </c>
      <c r="B10" s="32" t="s">
        <v>4</v>
      </c>
      <c r="C10" s="32" t="s">
        <v>75</v>
      </c>
      <c r="D10" s="32">
        <f t="shared" si="0"/>
        <v>0</v>
      </c>
      <c r="E10" s="32">
        <v>24</v>
      </c>
      <c r="F10" s="33">
        <v>31820</v>
      </c>
      <c r="G10" s="33">
        <f t="shared" si="1"/>
        <v>58385321.249799997</v>
      </c>
      <c r="H10" s="34">
        <v>0</v>
      </c>
      <c r="I10" s="35">
        <f>88*1.609344</f>
        <v>141.62227200000001</v>
      </c>
      <c r="J10" s="35">
        <f t="shared" si="2"/>
        <v>141.62227200000001</v>
      </c>
      <c r="K10" s="36" t="s">
        <v>14</v>
      </c>
      <c r="L10" s="36"/>
      <c r="M10" s="36"/>
      <c r="N10" s="36"/>
      <c r="O10" s="36"/>
      <c r="P10" s="37" t="s">
        <v>10</v>
      </c>
      <c r="Q10" s="38" t="s">
        <v>15</v>
      </c>
      <c r="R10" s="38" t="s">
        <v>27</v>
      </c>
    </row>
    <row r="11" spans="1:18" ht="30.75" thickBot="1">
      <c r="A11" s="1" t="s">
        <v>39</v>
      </c>
      <c r="B11" s="1" t="s">
        <v>21</v>
      </c>
      <c r="C11" s="1" t="s">
        <v>75</v>
      </c>
      <c r="D11" s="1">
        <f t="shared" ref="D11" si="3">IF(OR(EXACT(B11,$B$7),(EXACT(B11,$B$28))),40,0)</f>
        <v>40</v>
      </c>
      <c r="E11" s="1">
        <v>16.5</v>
      </c>
      <c r="F11" s="2">
        <f>1.3027*27272.86</f>
        <v>35528.354721999996</v>
      </c>
      <c r="G11" s="2">
        <f t="shared" si="1"/>
        <v>65189641.857976697</v>
      </c>
      <c r="H11" s="5" t="s">
        <v>8</v>
      </c>
      <c r="I11" s="1">
        <v>60</v>
      </c>
      <c r="J11" s="16" t="str">
        <f t="shared" si="2"/>
        <v>ND</v>
      </c>
      <c r="K11" s="3" t="s">
        <v>40</v>
      </c>
      <c r="L11" s="1">
        <v>5</v>
      </c>
      <c r="M11" s="1">
        <v>220</v>
      </c>
      <c r="N11" s="1" t="s">
        <v>50</v>
      </c>
      <c r="O11" s="1" t="s">
        <v>37</v>
      </c>
      <c r="P11" s="3" t="s">
        <v>41</v>
      </c>
      <c r="R11" s="7"/>
    </row>
    <row r="12" spans="1:18" ht="60.75" thickBot="1">
      <c r="A12" s="1" t="s">
        <v>17</v>
      </c>
      <c r="B12" s="1" t="s">
        <v>4</v>
      </c>
      <c r="C12" s="1" t="s">
        <v>75</v>
      </c>
      <c r="D12" s="1">
        <f t="shared" ref="D12:D28" si="4">IF(OR(EXACT(B12,$B$7),(EXACT(B12,$B$28))),40,0)</f>
        <v>0</v>
      </c>
      <c r="E12" s="1">
        <v>24</v>
      </c>
      <c r="F12" s="2">
        <v>34840</v>
      </c>
      <c r="G12" s="2">
        <f t="shared" si="1"/>
        <v>63926605.667599998</v>
      </c>
      <c r="H12" s="5">
        <v>0</v>
      </c>
      <c r="I12" s="16">
        <f>88*1.609344</f>
        <v>141.62227200000001</v>
      </c>
      <c r="J12" s="16">
        <f t="shared" si="2"/>
        <v>141.62227200000001</v>
      </c>
      <c r="K12" s="6" t="s">
        <v>18</v>
      </c>
      <c r="L12" s="6"/>
      <c r="M12" s="6"/>
      <c r="N12" s="6"/>
      <c r="O12" s="6"/>
      <c r="P12" s="3" t="s">
        <v>10</v>
      </c>
      <c r="Q12" s="8" t="s">
        <v>15</v>
      </c>
      <c r="R12" s="8" t="s">
        <v>19</v>
      </c>
    </row>
    <row r="13" spans="1:18" s="40" customFormat="1" ht="30.75" thickBot="1">
      <c r="A13" s="32" t="s">
        <v>29</v>
      </c>
      <c r="B13" s="32" t="s">
        <v>4</v>
      </c>
      <c r="C13" s="32" t="s">
        <v>75</v>
      </c>
      <c r="D13" s="32">
        <f t="shared" si="4"/>
        <v>0</v>
      </c>
      <c r="E13" s="32">
        <v>22</v>
      </c>
      <c r="F13" s="33">
        <v>34500</v>
      </c>
      <c r="G13" s="33">
        <f t="shared" si="1"/>
        <v>63302752.454999998</v>
      </c>
      <c r="H13" s="34">
        <v>0</v>
      </c>
      <c r="I13" s="34">
        <v>185</v>
      </c>
      <c r="J13" s="35">
        <f t="shared" si="2"/>
        <v>185</v>
      </c>
      <c r="K13" s="36" t="s">
        <v>18</v>
      </c>
      <c r="L13" s="32">
        <v>5</v>
      </c>
      <c r="M13" s="32"/>
      <c r="N13" s="32"/>
      <c r="O13" s="32"/>
      <c r="P13" s="37" t="s">
        <v>31</v>
      </c>
      <c r="Q13" s="50"/>
      <c r="R13" s="39"/>
    </row>
    <row r="14" spans="1:18" ht="30.75" thickBot="1">
      <c r="A14" s="1" t="s">
        <v>43</v>
      </c>
      <c r="B14" s="1" t="s">
        <v>4</v>
      </c>
      <c r="C14" s="1" t="s">
        <v>75</v>
      </c>
      <c r="D14" s="1">
        <f t="shared" si="4"/>
        <v>0</v>
      </c>
      <c r="E14" s="1">
        <v>22</v>
      </c>
      <c r="F14" s="2">
        <f>52348*1.3027</f>
        <v>68193.739600000001</v>
      </c>
      <c r="G14" s="2">
        <f t="shared" si="1"/>
        <v>125126128.02549365</v>
      </c>
      <c r="H14" s="5">
        <v>0</v>
      </c>
      <c r="I14" s="1">
        <v>130</v>
      </c>
      <c r="J14" s="16">
        <f t="shared" si="2"/>
        <v>130</v>
      </c>
      <c r="K14" s="3" t="s">
        <v>40</v>
      </c>
      <c r="L14" s="1">
        <v>4</v>
      </c>
      <c r="M14" s="1">
        <v>220</v>
      </c>
      <c r="N14" s="1" t="s">
        <v>50</v>
      </c>
      <c r="O14" s="1" t="s">
        <v>64</v>
      </c>
      <c r="P14" s="3" t="s">
        <v>65</v>
      </c>
    </row>
    <row r="15" spans="1:18" ht="30.75" thickBot="1">
      <c r="A15" s="1" t="s">
        <v>78</v>
      </c>
      <c r="B15" s="1" t="s">
        <v>4</v>
      </c>
      <c r="C15" s="1" t="s">
        <v>75</v>
      </c>
      <c r="D15" s="1">
        <f t="shared" si="4"/>
        <v>0</v>
      </c>
      <c r="E15" s="1">
        <v>16.5</v>
      </c>
      <c r="F15" s="2">
        <f>29550*1.3027</f>
        <v>38494.784999999996</v>
      </c>
      <c r="G15" s="2">
        <f t="shared" si="1"/>
        <v>70632633.207636148</v>
      </c>
      <c r="H15" s="5">
        <v>0</v>
      </c>
      <c r="I15" s="1">
        <v>130</v>
      </c>
      <c r="J15" s="16">
        <f t="shared" si="2"/>
        <v>130</v>
      </c>
      <c r="K15" s="1" t="s">
        <v>50</v>
      </c>
      <c r="L15" s="1">
        <v>4</v>
      </c>
      <c r="M15" s="1">
        <v>220</v>
      </c>
      <c r="N15" s="1" t="s">
        <v>50</v>
      </c>
      <c r="O15" s="1" t="s">
        <v>72</v>
      </c>
      <c r="P15" s="3" t="s">
        <v>80</v>
      </c>
    </row>
    <row r="16" spans="1:18" ht="30.75" thickBot="1">
      <c r="A16" s="1" t="s">
        <v>34</v>
      </c>
      <c r="B16" s="1" t="s">
        <v>4</v>
      </c>
      <c r="C16" s="1" t="s">
        <v>75</v>
      </c>
      <c r="D16" s="1">
        <f t="shared" si="4"/>
        <v>0</v>
      </c>
      <c r="E16" s="1">
        <v>16</v>
      </c>
      <c r="F16" s="2">
        <f>28223*1.3027</f>
        <v>36766.102099999996</v>
      </c>
      <c r="G16" s="2">
        <f t="shared" si="1"/>
        <v>67460737.970190018</v>
      </c>
      <c r="H16" s="5">
        <v>0</v>
      </c>
      <c r="I16" s="1">
        <v>130</v>
      </c>
      <c r="J16" s="16">
        <f t="shared" si="2"/>
        <v>130</v>
      </c>
      <c r="K16" s="6" t="s">
        <v>35</v>
      </c>
      <c r="L16" s="1">
        <v>4</v>
      </c>
      <c r="M16" s="1">
        <v>220</v>
      </c>
      <c r="N16" s="1" t="s">
        <v>36</v>
      </c>
      <c r="O16" s="1" t="s">
        <v>37</v>
      </c>
      <c r="P16" s="3" t="s">
        <v>38</v>
      </c>
    </row>
    <row r="17" spans="1:18" ht="30.75" thickBot="1">
      <c r="A17" s="1" t="s">
        <v>44</v>
      </c>
      <c r="B17" s="1" t="s">
        <v>4</v>
      </c>
      <c r="C17" s="1" t="s">
        <v>75</v>
      </c>
      <c r="D17" s="1">
        <f t="shared" si="4"/>
        <v>0</v>
      </c>
      <c r="E17" s="1">
        <v>14.6</v>
      </c>
      <c r="F17" s="2">
        <f>32112.06*1.3027</f>
        <v>41832.380561999998</v>
      </c>
      <c r="G17" s="2">
        <f t="shared" si="1"/>
        <v>76756661.777380854</v>
      </c>
      <c r="H17" s="5">
        <v>0</v>
      </c>
      <c r="I17" s="1">
        <v>135</v>
      </c>
      <c r="J17" s="16">
        <f t="shared" si="2"/>
        <v>135</v>
      </c>
      <c r="K17" s="1" t="s">
        <v>50</v>
      </c>
      <c r="L17" s="1">
        <v>2</v>
      </c>
      <c r="M17" s="1">
        <v>220</v>
      </c>
      <c r="N17" s="1" t="s">
        <v>50</v>
      </c>
      <c r="O17" s="1" t="s">
        <v>66</v>
      </c>
      <c r="P17" s="3" t="s">
        <v>67</v>
      </c>
    </row>
    <row r="18" spans="1:18" ht="30.75" thickBot="1">
      <c r="A18" s="1" t="s">
        <v>46</v>
      </c>
      <c r="B18" s="1" t="s">
        <v>4</v>
      </c>
      <c r="C18" s="1" t="s">
        <v>75</v>
      </c>
      <c r="D18" s="1">
        <f t="shared" si="4"/>
        <v>0</v>
      </c>
      <c r="E18" s="1">
        <v>14</v>
      </c>
      <c r="F18" s="2">
        <f>1.3027*22409.48</f>
        <v>29192.829596</v>
      </c>
      <c r="G18" s="2">
        <f t="shared" si="1"/>
        <v>53564825.083379291</v>
      </c>
      <c r="H18" s="5">
        <v>0</v>
      </c>
      <c r="I18" s="1">
        <v>160</v>
      </c>
      <c r="J18" s="16">
        <f t="shared" si="2"/>
        <v>160</v>
      </c>
      <c r="K18" s="3" t="s">
        <v>57</v>
      </c>
      <c r="L18" s="1">
        <v>4</v>
      </c>
      <c r="M18" s="1">
        <v>220</v>
      </c>
      <c r="N18" s="1" t="s">
        <v>50</v>
      </c>
      <c r="O18" s="1" t="s">
        <v>66</v>
      </c>
      <c r="P18" s="3" t="s">
        <v>69</v>
      </c>
    </row>
    <row r="19" spans="1:18" ht="30.75" thickBot="1">
      <c r="A19" s="3" t="s">
        <v>70</v>
      </c>
      <c r="B19" s="1" t="s">
        <v>4</v>
      </c>
      <c r="C19" s="1" t="s">
        <v>75</v>
      </c>
      <c r="D19" s="1">
        <f t="shared" si="4"/>
        <v>0</v>
      </c>
      <c r="E19" s="1">
        <v>14</v>
      </c>
      <c r="F19" s="2">
        <f>1.3027*37813</f>
        <v>49258.9951</v>
      </c>
      <c r="G19" s="2">
        <f t="shared" si="1"/>
        <v>90383477.478184283</v>
      </c>
      <c r="H19" s="5">
        <v>0</v>
      </c>
      <c r="I19" s="1">
        <v>70</v>
      </c>
      <c r="J19" s="16">
        <f t="shared" si="2"/>
        <v>70</v>
      </c>
      <c r="K19" s="3" t="s">
        <v>71</v>
      </c>
      <c r="L19" s="1">
        <v>5</v>
      </c>
      <c r="M19" s="1">
        <v>220</v>
      </c>
      <c r="N19" s="1" t="s">
        <v>50</v>
      </c>
      <c r="O19" s="1" t="s">
        <v>72</v>
      </c>
      <c r="P19" s="3" t="s">
        <v>73</v>
      </c>
    </row>
    <row r="20" spans="1:18" ht="30.75" thickBot="1">
      <c r="A20" s="1" t="s">
        <v>47</v>
      </c>
      <c r="B20" s="1" t="s">
        <v>21</v>
      </c>
      <c r="C20" s="1" t="s">
        <v>75</v>
      </c>
      <c r="D20" s="1">
        <f t="shared" si="4"/>
        <v>40</v>
      </c>
      <c r="E20" s="1">
        <v>16</v>
      </c>
      <c r="F20" s="2">
        <f>1.3027*36291.21</f>
        <v>47276.559266999997</v>
      </c>
      <c r="G20" s="2">
        <f t="shared" si="1"/>
        <v>86745980.527624264</v>
      </c>
      <c r="H20" s="5">
        <v>700</v>
      </c>
      <c r="I20" s="1">
        <v>60</v>
      </c>
      <c r="J20" s="16">
        <f t="shared" si="2"/>
        <v>760</v>
      </c>
      <c r="K20" s="3" t="s">
        <v>49</v>
      </c>
      <c r="L20" s="1">
        <v>5</v>
      </c>
      <c r="M20" s="3">
        <v>220</v>
      </c>
      <c r="N20" s="1" t="s">
        <v>50</v>
      </c>
      <c r="O20" s="1" t="s">
        <v>79</v>
      </c>
      <c r="P20" s="3" t="s">
        <v>51</v>
      </c>
    </row>
    <row r="21" spans="1:18" ht="30.75" thickBot="1">
      <c r="A21" s="3" t="s">
        <v>122</v>
      </c>
      <c r="B21" s="1" t="s">
        <v>21</v>
      </c>
      <c r="C21" s="1" t="s">
        <v>75</v>
      </c>
      <c r="D21" s="1">
        <f t="shared" si="4"/>
        <v>40</v>
      </c>
      <c r="E21" s="1">
        <v>5.2</v>
      </c>
      <c r="F21" s="2" t="s">
        <v>50</v>
      </c>
      <c r="G21" s="2" t="str">
        <f t="shared" si="1"/>
        <v>ND</v>
      </c>
      <c r="H21" s="5">
        <v>700</v>
      </c>
      <c r="I21" s="1">
        <v>50</v>
      </c>
      <c r="J21" s="16">
        <f t="shared" si="2"/>
        <v>750</v>
      </c>
      <c r="K21" s="3" t="s">
        <v>49</v>
      </c>
      <c r="L21" s="1">
        <v>5</v>
      </c>
      <c r="M21" s="1">
        <v>220</v>
      </c>
      <c r="N21" s="1" t="s">
        <v>50</v>
      </c>
      <c r="O21" s="1" t="s">
        <v>64</v>
      </c>
      <c r="P21" s="3" t="s">
        <v>52</v>
      </c>
    </row>
    <row r="22" spans="1:18" s="40" customFormat="1" ht="30.75" thickBot="1">
      <c r="A22" s="37" t="s">
        <v>121</v>
      </c>
      <c r="B22" s="32" t="s">
        <v>21</v>
      </c>
      <c r="C22" s="32" t="s">
        <v>75</v>
      </c>
      <c r="D22" s="32">
        <f t="shared" si="4"/>
        <v>40</v>
      </c>
      <c r="E22" s="32">
        <v>5.2</v>
      </c>
      <c r="F22" s="33">
        <f>1.3027*25583.11</f>
        <v>33327.117397000002</v>
      </c>
      <c r="G22" s="33">
        <f t="shared" si="1"/>
        <v>61150674.278870001</v>
      </c>
      <c r="H22" s="34" t="s">
        <v>50</v>
      </c>
      <c r="I22" s="32">
        <v>22</v>
      </c>
      <c r="J22" s="35" t="str">
        <f t="shared" si="2"/>
        <v>ND</v>
      </c>
      <c r="K22" s="32" t="s">
        <v>120</v>
      </c>
      <c r="L22" s="32">
        <v>5</v>
      </c>
      <c r="M22" s="32" t="s">
        <v>53</v>
      </c>
      <c r="N22" s="32" t="s">
        <v>50</v>
      </c>
      <c r="O22" s="37" t="s">
        <v>54</v>
      </c>
      <c r="P22" s="37" t="s">
        <v>55</v>
      </c>
      <c r="Q22" s="50"/>
      <c r="R22" s="39"/>
    </row>
    <row r="23" spans="1:18" ht="30.75" thickBot="1">
      <c r="A23" s="12" t="s">
        <v>56</v>
      </c>
      <c r="B23" s="1" t="s">
        <v>21</v>
      </c>
      <c r="C23" s="1" t="s">
        <v>75</v>
      </c>
      <c r="D23" s="1">
        <f t="shared" si="4"/>
        <v>40</v>
      </c>
      <c r="E23" s="1">
        <v>35</v>
      </c>
      <c r="F23" s="2">
        <f>1.3027*74005</f>
        <v>96406.313500000004</v>
      </c>
      <c r="G23" s="2">
        <f t="shared" si="1"/>
        <v>176892318.79969928</v>
      </c>
      <c r="H23" s="30" t="s">
        <v>50</v>
      </c>
      <c r="I23" s="1">
        <v>40</v>
      </c>
      <c r="J23" s="16" t="str">
        <f t="shared" si="2"/>
        <v>ND</v>
      </c>
      <c r="K23" s="3" t="s">
        <v>57</v>
      </c>
      <c r="L23" s="1">
        <v>9</v>
      </c>
      <c r="M23" s="1" t="s">
        <v>50</v>
      </c>
      <c r="N23" s="1" t="s">
        <v>50</v>
      </c>
      <c r="O23" s="1" t="s">
        <v>66</v>
      </c>
      <c r="P23" s="3" t="s">
        <v>58</v>
      </c>
    </row>
    <row r="24" spans="1:18" ht="46.5" customHeight="1" thickBot="1">
      <c r="A24" s="1" t="s">
        <v>42</v>
      </c>
      <c r="B24" s="1" t="s">
        <v>4</v>
      </c>
      <c r="C24" s="1" t="s">
        <v>75</v>
      </c>
      <c r="D24" s="1">
        <f t="shared" si="4"/>
        <v>0</v>
      </c>
      <c r="E24" s="1">
        <v>9</v>
      </c>
      <c r="F24" s="2">
        <f>12200*1.3027</f>
        <v>15892.94</v>
      </c>
      <c r="G24" s="2">
        <f t="shared" si="1"/>
        <v>29161357.872526601</v>
      </c>
      <c r="H24" s="5" t="s">
        <v>50</v>
      </c>
      <c r="I24" s="1">
        <v>120</v>
      </c>
      <c r="J24" s="16" t="str">
        <f t="shared" si="2"/>
        <v>ND</v>
      </c>
      <c r="K24" s="3" t="s">
        <v>61</v>
      </c>
      <c r="L24" s="1">
        <v>5</v>
      </c>
      <c r="M24" s="1">
        <v>220</v>
      </c>
      <c r="N24" s="1" t="s">
        <v>50</v>
      </c>
      <c r="O24" s="1" t="s">
        <v>62</v>
      </c>
      <c r="P24" s="3" t="s">
        <v>63</v>
      </c>
    </row>
    <row r="25" spans="1:18" ht="30.75" thickBot="1">
      <c r="A25" s="1" t="s">
        <v>81</v>
      </c>
      <c r="B25" s="1" t="s">
        <v>21</v>
      </c>
      <c r="C25" s="1" t="s">
        <v>75</v>
      </c>
      <c r="D25" s="1">
        <f t="shared" si="4"/>
        <v>40</v>
      </c>
      <c r="E25" s="1">
        <v>1.9</v>
      </c>
      <c r="F25" s="2">
        <f>56223*1.3027</f>
        <v>73241.702099999995</v>
      </c>
      <c r="G25" s="2">
        <f t="shared" si="1"/>
        <v>134388444.56287402</v>
      </c>
      <c r="H25" s="30" t="s">
        <v>50</v>
      </c>
      <c r="I25" s="31" t="s">
        <v>8</v>
      </c>
      <c r="J25" s="16" t="str">
        <f>H25</f>
        <v>ND</v>
      </c>
      <c r="K25" s="29" t="s">
        <v>120</v>
      </c>
      <c r="L25" s="1">
        <v>5</v>
      </c>
      <c r="M25" s="1" t="s">
        <v>50</v>
      </c>
      <c r="N25" s="1" t="s">
        <v>50</v>
      </c>
      <c r="O25" s="1" t="s">
        <v>50</v>
      </c>
      <c r="P25" s="3" t="s">
        <v>82</v>
      </c>
    </row>
    <row r="26" spans="1:18" s="40" customFormat="1" ht="45.75" thickBot="1">
      <c r="A26" s="32" t="s">
        <v>83</v>
      </c>
      <c r="B26" s="32" t="s">
        <v>84</v>
      </c>
      <c r="C26" s="32" t="s">
        <v>75</v>
      </c>
      <c r="D26" s="32">
        <f t="shared" si="4"/>
        <v>40</v>
      </c>
      <c r="E26" s="32" t="s">
        <v>50</v>
      </c>
      <c r="F26" s="33">
        <f>361900*0.082318</f>
        <v>29790.8842</v>
      </c>
      <c r="G26" s="33">
        <f t="shared" si="1"/>
        <v>54662172.983425237</v>
      </c>
      <c r="H26" s="34">
        <v>1000</v>
      </c>
      <c r="I26" s="32" t="s">
        <v>50</v>
      </c>
      <c r="J26" s="35">
        <f>H26</f>
        <v>1000</v>
      </c>
      <c r="K26" s="32" t="s">
        <v>50</v>
      </c>
      <c r="L26" s="32">
        <v>5</v>
      </c>
      <c r="M26" s="32" t="s">
        <v>8</v>
      </c>
      <c r="N26" s="32" t="s">
        <v>8</v>
      </c>
      <c r="O26" s="32" t="s">
        <v>8</v>
      </c>
      <c r="P26" s="37" t="s">
        <v>85</v>
      </c>
      <c r="Q26" s="50"/>
      <c r="R26" s="39"/>
    </row>
    <row r="27" spans="1:18" ht="45.75" thickBot="1">
      <c r="A27" s="1" t="s">
        <v>86</v>
      </c>
      <c r="B27" s="1" t="s">
        <v>84</v>
      </c>
      <c r="C27" s="1" t="s">
        <v>75</v>
      </c>
      <c r="D27" s="1">
        <f t="shared" si="4"/>
        <v>40</v>
      </c>
      <c r="E27" s="1" t="s">
        <v>50</v>
      </c>
      <c r="F27" s="2">
        <v>23000</v>
      </c>
      <c r="G27" s="2">
        <f t="shared" si="1"/>
        <v>42201834.969999999</v>
      </c>
      <c r="H27" s="5">
        <f>476*1.609344</f>
        <v>766.04774400000008</v>
      </c>
      <c r="I27" s="1" t="s">
        <v>50</v>
      </c>
      <c r="J27" s="16">
        <f>H27</f>
        <v>766.04774400000008</v>
      </c>
      <c r="K27" s="1" t="s">
        <v>50</v>
      </c>
      <c r="L27" s="1">
        <v>5</v>
      </c>
      <c r="M27" s="1" t="s">
        <v>8</v>
      </c>
      <c r="N27" s="1" t="s">
        <v>8</v>
      </c>
      <c r="O27" s="1" t="s">
        <v>50</v>
      </c>
      <c r="P27" s="15" t="s">
        <v>87</v>
      </c>
      <c r="R27" s="8" t="s">
        <v>88</v>
      </c>
    </row>
    <row r="28" spans="1:18" s="40" customFormat="1" ht="30.75" thickBot="1">
      <c r="A28" s="32" t="s">
        <v>89</v>
      </c>
      <c r="B28" s="32" t="s">
        <v>84</v>
      </c>
      <c r="C28" s="32" t="s">
        <v>75</v>
      </c>
      <c r="D28" s="32">
        <f t="shared" si="4"/>
        <v>40</v>
      </c>
      <c r="E28" s="32">
        <v>1.4</v>
      </c>
      <c r="F28" s="33">
        <v>32100</v>
      </c>
      <c r="G28" s="33">
        <f t="shared" si="1"/>
        <v>58899082.718999997</v>
      </c>
      <c r="H28" s="34">
        <f>770*1.609344</f>
        <v>1239.19488</v>
      </c>
      <c r="I28" s="32" t="s">
        <v>50</v>
      </c>
      <c r="J28" s="35">
        <f>H28</f>
        <v>1239.19488</v>
      </c>
      <c r="K28" s="32" t="s">
        <v>50</v>
      </c>
      <c r="L28" s="32">
        <v>5</v>
      </c>
      <c r="M28" s="32" t="s">
        <v>8</v>
      </c>
      <c r="N28" s="32" t="s">
        <v>8</v>
      </c>
      <c r="O28" s="32" t="s">
        <v>8</v>
      </c>
      <c r="P28" s="51" t="s">
        <v>90</v>
      </c>
      <c r="Q28" s="50"/>
      <c r="R28" s="39"/>
    </row>
    <row r="54" spans="8:8" thickBot="1">
      <c r="H54" s="2"/>
    </row>
  </sheetData>
  <autoFilter ref="A1:R28">
    <sortState ref="A3:P25">
      <sortCondition descending="1" ref="E2:E29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D5" sqref="D5"/>
    </sheetView>
  </sheetViews>
  <sheetFormatPr baseColWidth="10" defaultRowHeight="15"/>
  <cols>
    <col min="1" max="1" width="3.7109375" style="19" bestFit="1" customWidth="1"/>
    <col min="2" max="3" width="11.42578125" style="19"/>
    <col min="4" max="4" width="13.7109375" style="23" bestFit="1" customWidth="1"/>
    <col min="5" max="5" width="15" style="24" bestFit="1" customWidth="1"/>
    <col min="6" max="7" width="15" style="24" customWidth="1"/>
    <col min="8" max="8" width="16.140625" style="24" bestFit="1" customWidth="1"/>
    <col min="9" max="9" width="12.5703125" style="28" bestFit="1" customWidth="1"/>
    <col min="10" max="16384" width="11.42578125" style="19"/>
  </cols>
  <sheetData>
    <row r="1" spans="1:9" ht="20.25" thickBot="1">
      <c r="A1" s="17"/>
      <c r="B1" s="18" t="s">
        <v>94</v>
      </c>
      <c r="C1" s="18">
        <v>2012</v>
      </c>
      <c r="D1" s="23" t="s">
        <v>111</v>
      </c>
      <c r="E1" s="24" t="s">
        <v>112</v>
      </c>
      <c r="F1" s="24" t="s">
        <v>114</v>
      </c>
      <c r="G1" s="24" t="s">
        <v>113</v>
      </c>
      <c r="H1" s="24" t="s">
        <v>92</v>
      </c>
      <c r="I1" s="27" t="s">
        <v>115</v>
      </c>
    </row>
    <row r="2" spans="1:9" ht="26.25" thickBot="1">
      <c r="A2" s="20">
        <v>1</v>
      </c>
      <c r="B2" s="21" t="s">
        <v>95</v>
      </c>
      <c r="C2" s="22">
        <v>13506</v>
      </c>
      <c r="D2" s="23">
        <v>26580000</v>
      </c>
      <c r="E2" s="24">
        <v>164</v>
      </c>
      <c r="F2" s="24">
        <v>77</v>
      </c>
      <c r="G2" s="24">
        <v>9</v>
      </c>
      <c r="H2" s="24">
        <f t="shared" ref="H2:H17" si="0">G2*F2</f>
        <v>693</v>
      </c>
      <c r="I2" s="27">
        <f>(8624.47*G2)/H2</f>
        <v>112.00610389610389</v>
      </c>
    </row>
    <row r="3" spans="1:9" ht="26.25" thickBot="1">
      <c r="A3" s="20">
        <v>2</v>
      </c>
      <c r="B3" s="21" t="s">
        <v>96</v>
      </c>
      <c r="C3" s="22">
        <v>11324</v>
      </c>
      <c r="D3" s="23">
        <v>27990000</v>
      </c>
      <c r="E3" s="24">
        <v>175</v>
      </c>
      <c r="F3" s="24">
        <v>51.7</v>
      </c>
      <c r="G3" s="24">
        <v>13</v>
      </c>
      <c r="H3" s="24">
        <f t="shared" si="0"/>
        <v>672.1</v>
      </c>
      <c r="I3" s="27">
        <f t="shared" ref="I3:I17" si="1">(8624.47*G3)/H3</f>
        <v>166.81760154738876</v>
      </c>
    </row>
    <row r="4" spans="1:9" ht="26.25" thickBot="1">
      <c r="A4" s="20">
        <v>3</v>
      </c>
      <c r="B4" s="21" t="s">
        <v>97</v>
      </c>
      <c r="C4" s="22">
        <v>10303</v>
      </c>
      <c r="D4" s="23">
        <v>30860000</v>
      </c>
      <c r="E4" s="24">
        <v>177</v>
      </c>
      <c r="F4" s="24">
        <v>52.5</v>
      </c>
      <c r="G4" s="24">
        <v>13.2</v>
      </c>
      <c r="H4" s="24">
        <f t="shared" si="0"/>
        <v>693</v>
      </c>
      <c r="I4" s="27">
        <f t="shared" si="1"/>
        <v>164.27561904761902</v>
      </c>
    </row>
    <row r="5" spans="1:9" ht="26.25" thickBot="1">
      <c r="A5" s="20">
        <v>4</v>
      </c>
      <c r="B5" s="21" t="s">
        <v>98</v>
      </c>
      <c r="C5" s="22">
        <v>7700</v>
      </c>
      <c r="D5" s="23">
        <v>19990000</v>
      </c>
      <c r="E5" s="24">
        <v>156</v>
      </c>
      <c r="F5" s="24">
        <v>67.5</v>
      </c>
      <c r="G5" s="24">
        <v>9.1999999999999993</v>
      </c>
      <c r="H5" s="24">
        <f t="shared" si="0"/>
        <v>621</v>
      </c>
      <c r="I5" s="27">
        <f t="shared" si="1"/>
        <v>127.76992592592589</v>
      </c>
    </row>
    <row r="6" spans="1:9" ht="26.25" thickBot="1">
      <c r="A6" s="20">
        <v>5</v>
      </c>
      <c r="B6" s="21" t="s">
        <v>99</v>
      </c>
      <c r="C6" s="22">
        <v>7197</v>
      </c>
      <c r="D6" s="23">
        <v>31690000</v>
      </c>
      <c r="E6" s="24" t="s">
        <v>8</v>
      </c>
      <c r="F6" s="24">
        <v>60</v>
      </c>
      <c r="G6" s="24">
        <v>12</v>
      </c>
      <c r="H6" s="24">
        <f t="shared" si="0"/>
        <v>720</v>
      </c>
      <c r="I6" s="27">
        <f t="shared" si="1"/>
        <v>143.74116666666666</v>
      </c>
    </row>
    <row r="7" spans="1:9" ht="39" thickBot="1">
      <c r="A7" s="20">
        <v>6</v>
      </c>
      <c r="B7" s="21" t="s">
        <v>100</v>
      </c>
      <c r="C7" s="22">
        <v>6979</v>
      </c>
      <c r="D7" s="23">
        <v>24520000</v>
      </c>
      <c r="E7" s="24">
        <v>172</v>
      </c>
      <c r="F7" s="24">
        <v>44.4</v>
      </c>
      <c r="G7" s="24">
        <v>11.8</v>
      </c>
      <c r="H7" s="24">
        <f t="shared" si="0"/>
        <v>523.91999999999996</v>
      </c>
      <c r="I7" s="27">
        <f t="shared" si="1"/>
        <v>194.24481981981984</v>
      </c>
    </row>
    <row r="8" spans="1:9" ht="26.25" thickBot="1">
      <c r="A8" s="20">
        <v>7</v>
      </c>
      <c r="B8" s="21" t="s">
        <v>101</v>
      </c>
      <c r="C8" s="22">
        <v>6772</v>
      </c>
      <c r="D8" s="23">
        <v>25990000</v>
      </c>
      <c r="E8" s="24">
        <v>171</v>
      </c>
      <c r="F8" s="24">
        <v>83.9</v>
      </c>
      <c r="G8" s="24">
        <v>9.1999999999999993</v>
      </c>
      <c r="H8" s="24">
        <f t="shared" si="0"/>
        <v>771.88</v>
      </c>
      <c r="I8" s="27">
        <f t="shared" si="1"/>
        <v>102.79463647199044</v>
      </c>
    </row>
    <row r="9" spans="1:9" ht="26.25" thickBot="1">
      <c r="A9" s="20">
        <v>8</v>
      </c>
      <c r="B9" s="21" t="s">
        <v>102</v>
      </c>
      <c r="C9" s="22">
        <v>6378</v>
      </c>
      <c r="D9" s="23">
        <v>34230000</v>
      </c>
      <c r="E9" s="24">
        <v>176</v>
      </c>
      <c r="F9" s="24">
        <v>54.7</v>
      </c>
      <c r="G9" s="24">
        <v>11.8</v>
      </c>
      <c r="H9" s="24">
        <f t="shared" si="0"/>
        <v>645.46</v>
      </c>
      <c r="I9" s="27">
        <f t="shared" si="1"/>
        <v>157.66855575868371</v>
      </c>
    </row>
    <row r="10" spans="1:9" ht="26.25" thickBot="1">
      <c r="A10" s="20">
        <v>9</v>
      </c>
      <c r="B10" s="21" t="s">
        <v>103</v>
      </c>
      <c r="C10" s="22">
        <v>5526</v>
      </c>
      <c r="D10" s="23">
        <v>36990000</v>
      </c>
      <c r="E10" s="24">
        <v>183</v>
      </c>
      <c r="F10" s="24">
        <v>57.2</v>
      </c>
      <c r="G10" s="24">
        <v>11.3</v>
      </c>
      <c r="H10" s="24">
        <f t="shared" si="0"/>
        <v>646.36000000000013</v>
      </c>
      <c r="I10" s="27">
        <f t="shared" si="1"/>
        <v>150.77744755244751</v>
      </c>
    </row>
    <row r="11" spans="1:9" ht="26.25" thickBot="1">
      <c r="A11" s="20">
        <v>10</v>
      </c>
      <c r="B11" s="21" t="s">
        <v>104</v>
      </c>
      <c r="C11" s="22">
        <v>5141</v>
      </c>
      <c r="D11" s="23" t="s">
        <v>8</v>
      </c>
      <c r="E11" s="24" t="s">
        <v>8</v>
      </c>
      <c r="F11" s="24" t="s">
        <v>8</v>
      </c>
      <c r="G11" s="24" t="s">
        <v>8</v>
      </c>
      <c r="H11" s="24" t="s">
        <v>8</v>
      </c>
      <c r="I11" s="27" t="s">
        <v>8</v>
      </c>
    </row>
    <row r="12" spans="1:9" ht="15.75" thickBot="1">
      <c r="A12" s="20">
        <v>11</v>
      </c>
      <c r="B12" s="21" t="s">
        <v>105</v>
      </c>
      <c r="C12" s="22">
        <v>5092</v>
      </c>
      <c r="D12" s="23">
        <v>37990000</v>
      </c>
      <c r="E12" s="24">
        <v>193</v>
      </c>
      <c r="F12" s="24">
        <v>53.8</v>
      </c>
      <c r="G12" s="24">
        <v>12</v>
      </c>
      <c r="H12" s="24">
        <f t="shared" si="0"/>
        <v>645.59999999999991</v>
      </c>
      <c r="I12" s="27">
        <f t="shared" si="1"/>
        <v>160.30613382899628</v>
      </c>
    </row>
    <row r="13" spans="1:9" ht="26.25" thickBot="1">
      <c r="A13" s="20">
        <v>12</v>
      </c>
      <c r="B13" s="21" t="s">
        <v>106</v>
      </c>
      <c r="C13" s="22">
        <v>5020</v>
      </c>
      <c r="D13" s="23">
        <v>36490000</v>
      </c>
      <c r="E13" s="24">
        <v>190</v>
      </c>
      <c r="F13" s="25">
        <v>50</v>
      </c>
      <c r="G13" s="24">
        <v>11.4</v>
      </c>
      <c r="H13" s="24">
        <f t="shared" si="0"/>
        <v>570</v>
      </c>
      <c r="I13" s="27">
        <f t="shared" si="1"/>
        <v>172.48939999999999</v>
      </c>
    </row>
    <row r="14" spans="1:9" ht="26.25" thickBot="1">
      <c r="A14" s="20">
        <v>13</v>
      </c>
      <c r="B14" s="21" t="s">
        <v>107</v>
      </c>
      <c r="C14" s="22">
        <v>4534</v>
      </c>
      <c r="D14" s="23">
        <v>35990000</v>
      </c>
      <c r="E14" s="24">
        <v>177</v>
      </c>
      <c r="F14" s="25">
        <v>40</v>
      </c>
      <c r="G14" s="24">
        <v>13.2</v>
      </c>
      <c r="H14" s="24">
        <f t="shared" si="0"/>
        <v>528</v>
      </c>
      <c r="I14" s="27">
        <f t="shared" si="1"/>
        <v>215.61174999999997</v>
      </c>
    </row>
    <row r="15" spans="1:9" ht="26.25" thickBot="1">
      <c r="A15" s="20">
        <v>14</v>
      </c>
      <c r="B15" s="21" t="s">
        <v>108</v>
      </c>
      <c r="C15" s="22">
        <v>4023</v>
      </c>
      <c r="D15" s="23">
        <v>35500000</v>
      </c>
      <c r="E15" s="24">
        <v>195</v>
      </c>
      <c r="F15" s="24">
        <v>45.8</v>
      </c>
      <c r="G15" s="24">
        <v>13.6</v>
      </c>
      <c r="H15" s="24">
        <f t="shared" si="0"/>
        <v>622.88</v>
      </c>
      <c r="I15" s="27">
        <f t="shared" si="1"/>
        <v>188.30720524017465</v>
      </c>
    </row>
    <row r="16" spans="1:9" ht="26.25" thickBot="1">
      <c r="A16" s="20">
        <v>15</v>
      </c>
      <c r="B16" s="21" t="s">
        <v>109</v>
      </c>
      <c r="C16" s="22">
        <v>3926</v>
      </c>
      <c r="D16" s="23">
        <v>37100000</v>
      </c>
      <c r="E16" s="25">
        <v>220</v>
      </c>
      <c r="F16" s="25">
        <v>42</v>
      </c>
      <c r="G16" s="24">
        <v>10.8</v>
      </c>
      <c r="H16" s="24">
        <f t="shared" si="0"/>
        <v>453.6</v>
      </c>
      <c r="I16" s="27">
        <f t="shared" si="1"/>
        <v>205.34452380952379</v>
      </c>
    </row>
    <row r="17" spans="1:9" ht="15.75" thickBot="1">
      <c r="A17" s="20">
        <v>16</v>
      </c>
      <c r="B17" s="21" t="s">
        <v>110</v>
      </c>
      <c r="C17" s="22">
        <v>3891</v>
      </c>
      <c r="D17" s="23">
        <v>35900000</v>
      </c>
      <c r="E17" s="24">
        <v>188</v>
      </c>
      <c r="F17" s="24">
        <v>64</v>
      </c>
      <c r="G17" s="24">
        <v>11.3</v>
      </c>
      <c r="H17" s="24">
        <f t="shared" si="0"/>
        <v>723.2</v>
      </c>
      <c r="I17" s="27">
        <f t="shared" si="1"/>
        <v>134.75734374999999</v>
      </c>
    </row>
    <row r="18" spans="1:9" ht="15.75" thickBot="1"/>
    <row r="19" spans="1:9" ht="15.75" thickBot="1">
      <c r="C19" s="56" t="s">
        <v>127</v>
      </c>
      <c r="D19" s="57">
        <f t="shared" ref="D19:I19" si="2">AVERAGE(D2:D17)</f>
        <v>31854000</v>
      </c>
      <c r="E19" s="58">
        <f t="shared" si="2"/>
        <v>181.21428571428572</v>
      </c>
      <c r="F19" s="58">
        <f t="shared" si="2"/>
        <v>56.29999999999999</v>
      </c>
      <c r="G19" s="58">
        <f t="shared" si="2"/>
        <v>11.520000000000001</v>
      </c>
      <c r="H19" s="58">
        <f t="shared" si="2"/>
        <v>635.33333333333337</v>
      </c>
      <c r="I19" s="59">
        <f t="shared" si="2"/>
        <v>159.79414888768937</v>
      </c>
    </row>
    <row r="20" spans="1:9" ht="30.75" thickBot="1">
      <c r="C20" s="60" t="s">
        <v>128</v>
      </c>
      <c r="D20" s="57">
        <f t="shared" ref="D20:I20" si="3">_xlfn.STDEV.S(D2:D17)</f>
        <v>5594297.8622369198</v>
      </c>
      <c r="E20" s="58">
        <f t="shared" si="3"/>
        <v>15.645980419798027</v>
      </c>
      <c r="F20" s="58">
        <f t="shared" si="3"/>
        <v>12.523178510266522</v>
      </c>
      <c r="G20" s="58">
        <f t="shared" si="3"/>
        <v>1.4765790579192577</v>
      </c>
      <c r="H20" s="58">
        <f t="shared" si="3"/>
        <v>85.963264468581102</v>
      </c>
      <c r="I20" s="59">
        <f t="shared" si="3"/>
        <v>32.677733535225521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"/>
  <sheetViews>
    <sheetView zoomScale="70" zoomScaleNormal="70" workbookViewId="0">
      <pane ySplit="1" topLeftCell="A3" activePane="bottomLeft" state="frozen"/>
      <selection pane="bottomLeft" activeCell="A6" sqref="A6"/>
    </sheetView>
  </sheetViews>
  <sheetFormatPr baseColWidth="10" defaultRowHeight="15"/>
  <cols>
    <col min="1" max="1" width="28.85546875" bestFit="1" customWidth="1"/>
    <col min="3" max="3" width="19.5703125" bestFit="1" customWidth="1"/>
    <col min="4" max="4" width="20.140625" bestFit="1" customWidth="1"/>
    <col min="6" max="6" width="20.7109375" bestFit="1" customWidth="1"/>
    <col min="7" max="7" width="25.28515625" bestFit="1" customWidth="1"/>
    <col min="8" max="8" width="19" bestFit="1" customWidth="1"/>
    <col min="9" max="9" width="17.7109375" bestFit="1" customWidth="1"/>
    <col min="10" max="10" width="15.7109375" bestFit="1" customWidth="1"/>
    <col min="11" max="11" width="17.85546875" bestFit="1" customWidth="1"/>
  </cols>
  <sheetData>
    <row r="1" spans="1:18" ht="30.75" thickBot="1">
      <c r="A1" s="9" t="s">
        <v>0</v>
      </c>
      <c r="B1" s="9" t="s">
        <v>1</v>
      </c>
      <c r="C1" s="9" t="s">
        <v>74</v>
      </c>
      <c r="D1" s="9" t="s">
        <v>119</v>
      </c>
      <c r="E1" s="9" t="s">
        <v>91</v>
      </c>
      <c r="F1" s="10" t="s">
        <v>3</v>
      </c>
      <c r="G1" s="10" t="s">
        <v>93</v>
      </c>
      <c r="H1" s="26" t="s">
        <v>117</v>
      </c>
      <c r="I1" s="9" t="s">
        <v>118</v>
      </c>
      <c r="J1" s="9" t="s">
        <v>116</v>
      </c>
      <c r="K1" s="9" t="s">
        <v>6</v>
      </c>
      <c r="L1" s="9" t="s">
        <v>28</v>
      </c>
      <c r="M1" s="9" t="s">
        <v>30</v>
      </c>
      <c r="N1" s="9" t="s">
        <v>32</v>
      </c>
      <c r="O1" s="9" t="s">
        <v>33</v>
      </c>
      <c r="P1" s="11" t="s">
        <v>11</v>
      </c>
      <c r="Q1" s="14"/>
      <c r="R1" s="9" t="s">
        <v>16</v>
      </c>
    </row>
    <row r="2" spans="1:18" s="40" customFormat="1" ht="135.75" thickBot="1">
      <c r="A2" s="32" t="s">
        <v>13</v>
      </c>
      <c r="B2" s="32" t="s">
        <v>4</v>
      </c>
      <c r="C2" s="32" t="s">
        <v>75</v>
      </c>
      <c r="D2" s="32">
        <v>0</v>
      </c>
      <c r="E2" s="32">
        <v>24</v>
      </c>
      <c r="F2" s="33">
        <v>31820</v>
      </c>
      <c r="G2" s="33">
        <v>58385321.249799997</v>
      </c>
      <c r="H2" s="34">
        <v>0</v>
      </c>
      <c r="I2" s="35">
        <v>141.62227200000001</v>
      </c>
      <c r="J2" s="35">
        <v>141.62227200000001</v>
      </c>
      <c r="K2" s="36" t="s">
        <v>14</v>
      </c>
      <c r="L2" s="36"/>
      <c r="M2" s="36"/>
      <c r="N2" s="36"/>
      <c r="O2" s="36"/>
      <c r="P2" s="37" t="s">
        <v>10</v>
      </c>
      <c r="Q2" s="38" t="s">
        <v>15</v>
      </c>
      <c r="R2" s="38" t="s">
        <v>27</v>
      </c>
    </row>
    <row r="3" spans="1:18" s="40" customFormat="1" ht="90.75" thickBot="1">
      <c r="A3" s="32" t="s">
        <v>29</v>
      </c>
      <c r="B3" s="32" t="s">
        <v>4</v>
      </c>
      <c r="C3" s="32" t="s">
        <v>75</v>
      </c>
      <c r="D3" s="32">
        <v>0</v>
      </c>
      <c r="E3" s="32">
        <v>22</v>
      </c>
      <c r="F3" s="33">
        <v>34500</v>
      </c>
      <c r="G3" s="33">
        <v>63302752.454999998</v>
      </c>
      <c r="H3" s="34">
        <v>0</v>
      </c>
      <c r="I3" s="34">
        <v>185</v>
      </c>
      <c r="J3" s="35">
        <v>185</v>
      </c>
      <c r="K3" s="36" t="s">
        <v>18</v>
      </c>
      <c r="L3" s="32">
        <v>5</v>
      </c>
      <c r="M3" s="32"/>
      <c r="N3" s="32"/>
      <c r="O3" s="32"/>
      <c r="P3" s="37" t="s">
        <v>31</v>
      </c>
      <c r="Q3" s="50"/>
      <c r="R3" s="39"/>
    </row>
    <row r="4" spans="1:18" ht="75.75" thickBot="1">
      <c r="A4" s="32" t="s">
        <v>20</v>
      </c>
      <c r="B4" s="32" t="s">
        <v>21</v>
      </c>
      <c r="C4" s="32" t="s">
        <v>75</v>
      </c>
      <c r="D4" s="32">
        <v>9.3000000000000007</v>
      </c>
      <c r="E4" s="32">
        <v>16.5</v>
      </c>
      <c r="F4" s="33">
        <v>31645</v>
      </c>
      <c r="G4" s="33">
        <v>58064220.331550002</v>
      </c>
      <c r="H4" s="34">
        <v>611.55072000000007</v>
      </c>
      <c r="I4" s="35">
        <v>61.155072000000004</v>
      </c>
      <c r="J4" s="35">
        <v>672.70579200000009</v>
      </c>
      <c r="K4" s="36" t="s">
        <v>23</v>
      </c>
      <c r="L4" s="36">
        <v>5</v>
      </c>
      <c r="M4" s="36"/>
      <c r="N4" s="36"/>
      <c r="O4" s="36"/>
      <c r="P4" s="37" t="s">
        <v>22</v>
      </c>
      <c r="Q4" s="50"/>
      <c r="R4" s="39"/>
    </row>
    <row r="5" spans="1:18" s="40" customFormat="1" ht="105.75" thickBot="1">
      <c r="A5" s="37" t="s">
        <v>121</v>
      </c>
      <c r="B5" s="32" t="s">
        <v>21</v>
      </c>
      <c r="C5" s="32" t="s">
        <v>75</v>
      </c>
      <c r="D5" s="32">
        <v>11.88</v>
      </c>
      <c r="E5" s="32">
        <v>5.2</v>
      </c>
      <c r="F5" s="33">
        <v>33327.117397000002</v>
      </c>
      <c r="G5" s="33">
        <v>61150674.278870001</v>
      </c>
      <c r="H5" s="34">
        <v>1216</v>
      </c>
      <c r="I5" s="32">
        <v>22</v>
      </c>
      <c r="J5" s="35">
        <f>H5+I5</f>
        <v>1238</v>
      </c>
      <c r="K5" s="32" t="s">
        <v>120</v>
      </c>
      <c r="L5" s="32">
        <v>5</v>
      </c>
      <c r="M5" s="32" t="s">
        <v>53</v>
      </c>
      <c r="N5" s="32" t="s">
        <v>50</v>
      </c>
      <c r="O5" s="37" t="s">
        <v>54</v>
      </c>
      <c r="P5" s="37" t="s">
        <v>55</v>
      </c>
      <c r="Q5" s="50"/>
      <c r="R5" s="39"/>
    </row>
    <row r="6" spans="1:18" s="40" customFormat="1" ht="150.75" thickBot="1">
      <c r="A6" s="32" t="s">
        <v>83</v>
      </c>
      <c r="B6" s="32" t="s">
        <v>84</v>
      </c>
      <c r="C6" s="32" t="s">
        <v>75</v>
      </c>
      <c r="D6" s="32">
        <v>40</v>
      </c>
      <c r="E6" s="32">
        <v>1.4</v>
      </c>
      <c r="F6" s="33">
        <v>29790.8842</v>
      </c>
      <c r="G6" s="33">
        <v>54662172.983425237</v>
      </c>
      <c r="H6" s="34">
        <v>1000</v>
      </c>
      <c r="I6" s="32" t="s">
        <v>50</v>
      </c>
      <c r="J6" s="35">
        <v>1000</v>
      </c>
      <c r="K6" s="32" t="s">
        <v>50</v>
      </c>
      <c r="L6" s="32">
        <v>5</v>
      </c>
      <c r="M6" s="32" t="s">
        <v>8</v>
      </c>
      <c r="N6" s="32" t="s">
        <v>8</v>
      </c>
      <c r="O6" s="32" t="s">
        <v>8</v>
      </c>
      <c r="P6" s="37" t="s">
        <v>85</v>
      </c>
      <c r="Q6" s="50"/>
      <c r="R6" s="39"/>
    </row>
    <row r="7" spans="1:18" s="40" customFormat="1" ht="75.75" thickBot="1">
      <c r="A7" s="32" t="s">
        <v>89</v>
      </c>
      <c r="B7" s="32" t="s">
        <v>84</v>
      </c>
      <c r="C7" s="32" t="s">
        <v>75</v>
      </c>
      <c r="D7" s="32">
        <v>40</v>
      </c>
      <c r="E7" s="32">
        <v>1.4</v>
      </c>
      <c r="F7" s="33">
        <v>32100</v>
      </c>
      <c r="G7" s="33">
        <v>58899082.718999997</v>
      </c>
      <c r="H7" s="34">
        <v>1239.19488</v>
      </c>
      <c r="I7" s="32" t="s">
        <v>50</v>
      </c>
      <c r="J7" s="35">
        <v>1239.19488</v>
      </c>
      <c r="K7" s="32" t="s">
        <v>50</v>
      </c>
      <c r="L7" s="32">
        <v>5</v>
      </c>
      <c r="M7" s="32" t="s">
        <v>8</v>
      </c>
      <c r="N7" s="32" t="s">
        <v>8</v>
      </c>
      <c r="O7" s="32" t="s">
        <v>8</v>
      </c>
      <c r="P7" s="51" t="s">
        <v>90</v>
      </c>
      <c r="Q7" s="50"/>
      <c r="R7" s="39"/>
    </row>
    <row r="8" spans="1:18" s="52" customFormat="1" ht="60.75" thickBot="1">
      <c r="A8" s="53" t="s">
        <v>95</v>
      </c>
      <c r="B8" s="53" t="s">
        <v>125</v>
      </c>
      <c r="C8" s="53" t="s">
        <v>75</v>
      </c>
      <c r="D8" s="53">
        <v>9</v>
      </c>
      <c r="E8" s="53">
        <v>0</v>
      </c>
      <c r="F8" s="53"/>
      <c r="G8" s="54">
        <v>26580000</v>
      </c>
      <c r="H8" s="53">
        <v>693</v>
      </c>
      <c r="I8" s="53" t="s">
        <v>50</v>
      </c>
      <c r="J8" s="53">
        <v>693</v>
      </c>
      <c r="K8" s="53" t="s">
        <v>50</v>
      </c>
      <c r="L8" s="53">
        <v>5</v>
      </c>
      <c r="M8" s="53"/>
      <c r="N8" s="53"/>
      <c r="O8" s="53"/>
      <c r="P8" s="55" t="s">
        <v>126</v>
      </c>
      <c r="Q8" s="53"/>
      <c r="R8" s="53"/>
    </row>
    <row r="9" spans="1:18" s="61" customFormat="1" ht="225">
      <c r="A9" s="62" t="s">
        <v>96</v>
      </c>
      <c r="B9" s="62" t="s">
        <v>125</v>
      </c>
      <c r="C9" s="62" t="s">
        <v>75</v>
      </c>
      <c r="D9" s="62">
        <v>13</v>
      </c>
      <c r="E9" s="62">
        <v>0</v>
      </c>
      <c r="F9" s="63"/>
      <c r="G9" s="64">
        <v>27990000</v>
      </c>
      <c r="H9" s="65">
        <v>598</v>
      </c>
      <c r="I9" s="62" t="s">
        <v>50</v>
      </c>
      <c r="J9" s="66">
        <v>598</v>
      </c>
      <c r="K9" s="62" t="s">
        <v>50</v>
      </c>
      <c r="L9" s="62">
        <v>5</v>
      </c>
      <c r="M9" s="63"/>
      <c r="N9" s="63"/>
      <c r="O9" s="63"/>
      <c r="P9" s="67" t="s">
        <v>129</v>
      </c>
      <c r="Q9" s="68" t="s">
        <v>130</v>
      </c>
      <c r="R9" s="63"/>
    </row>
  </sheetData>
  <autoFilter ref="A1:R1"/>
  <hyperlinks>
    <hyperlink ref="P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14" sqref="E14"/>
    </sheetView>
  </sheetViews>
  <sheetFormatPr baseColWidth="10" defaultRowHeight="15"/>
  <sheetData>
    <row r="1" spans="1:5">
      <c r="A1" t="s">
        <v>131</v>
      </c>
      <c r="B1" t="s">
        <v>132</v>
      </c>
    </row>
    <row r="5" spans="1:5">
      <c r="B5" t="s">
        <v>133</v>
      </c>
      <c r="C5" t="s">
        <v>134</v>
      </c>
      <c r="D5" t="s">
        <v>135</v>
      </c>
      <c r="E5" t="s">
        <v>136</v>
      </c>
    </row>
    <row r="6" spans="1:5">
      <c r="A6" t="s">
        <v>21</v>
      </c>
      <c r="B6" t="s">
        <v>137</v>
      </c>
      <c r="C6">
        <v>10</v>
      </c>
      <c r="D6">
        <v>1</v>
      </c>
      <c r="E6">
        <v>30</v>
      </c>
    </row>
    <row r="7" spans="1:5">
      <c r="B7" t="s">
        <v>138</v>
      </c>
      <c r="C7">
        <v>5</v>
      </c>
    </row>
    <row r="8" spans="1:5">
      <c r="A8" t="s">
        <v>4</v>
      </c>
      <c r="B8" t="s">
        <v>139</v>
      </c>
      <c r="C8">
        <v>13</v>
      </c>
      <c r="D8">
        <v>3</v>
      </c>
    </row>
    <row r="9" spans="1:5">
      <c r="B9" t="s">
        <v>140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Vehiculos Electricos</vt:lpstr>
      <vt:lpstr>Mas vendidos colombia 2012</vt:lpstr>
      <vt:lpstr>Escogidos modelo</vt:lpstr>
      <vt:lpstr>Entrada</vt:lpstr>
      <vt:lpstr>escogidos</vt:lpstr>
      <vt:lpstr>'Vehiculos Electricos'!EVs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Laurah</cp:lastModifiedBy>
  <dcterms:created xsi:type="dcterms:W3CDTF">2013-04-23T20:26:24Z</dcterms:created>
  <dcterms:modified xsi:type="dcterms:W3CDTF">2013-06-30T21:50:36Z</dcterms:modified>
</cp:coreProperties>
</file>