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reutn-my.sharepoint.com/personal/gonzaloperessi_ca_frre_utn_edu_ar/Documents/Simulación/"/>
    </mc:Choice>
  </mc:AlternateContent>
  <xr:revisionPtr revIDLastSave="52" documentId="8_{AE487112-45B8-4512-A20A-7116B033337C}" xr6:coauthVersionLast="46" xr6:coauthVersionMax="46" xr10:uidLastSave="{DAB3F3F3-92D1-46FC-BC59-3C8216AF71F3}"/>
  <bookViews>
    <workbookView xWindow="-120" yWindow="-120" windowWidth="20640" windowHeight="11760" activeTab="2" xr2:uid="{657DA549-D54E-4509-ADE1-3E36DA5B8640}"/>
  </bookViews>
  <sheets>
    <sheet name="Sistema" sheetId="8" r:id="rId1"/>
    <sheet name="Actividad 1" sheetId="3" r:id="rId2"/>
    <sheet name="Actividad 2." sheetId="4" r:id="rId3"/>
    <sheet name="Conj.1-NúmeroAletorio+Pruebas" sheetId="6" r:id="rId4"/>
    <sheet name="Conj.2-NúmeroAleatorio+Pruebas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2" i="3" l="1"/>
  <c r="F151" i="3"/>
  <c r="K71" i="4"/>
  <c r="K79" i="4"/>
  <c r="K87" i="4"/>
  <c r="K95" i="4"/>
  <c r="K102" i="4"/>
  <c r="K101" i="4"/>
  <c r="K100" i="4"/>
  <c r="K99" i="4"/>
  <c r="K98" i="4"/>
  <c r="K97" i="4"/>
  <c r="K96" i="4"/>
  <c r="K94" i="4"/>
  <c r="K93" i="4"/>
  <c r="K92" i="4"/>
  <c r="K91" i="4"/>
  <c r="K90" i="4"/>
  <c r="K89" i="4"/>
  <c r="K88" i="4"/>
  <c r="K86" i="4"/>
  <c r="K85" i="4"/>
  <c r="K84" i="4"/>
  <c r="K83" i="4"/>
  <c r="K82" i="4"/>
  <c r="K81" i="4"/>
  <c r="K80" i="4"/>
  <c r="K78" i="4"/>
  <c r="K77" i="4"/>
  <c r="K76" i="4"/>
  <c r="K75" i="4"/>
  <c r="K74" i="4"/>
  <c r="K73" i="4"/>
  <c r="K72" i="4"/>
  <c r="K70" i="4"/>
  <c r="K69" i="4"/>
  <c r="K68" i="4"/>
  <c r="K67" i="4"/>
  <c r="K66" i="4"/>
  <c r="K65" i="4"/>
  <c r="K64" i="4"/>
  <c r="K63" i="4"/>
  <c r="N194" i="3"/>
  <c r="R331" i="3"/>
  <c r="C15" i="4"/>
  <c r="D15" i="4" s="1"/>
  <c r="C16" i="4"/>
  <c r="C17" i="4"/>
  <c r="C18" i="4"/>
  <c r="C19" i="4"/>
  <c r="C20" i="4"/>
  <c r="C21" i="4"/>
  <c r="C22" i="4"/>
  <c r="C23" i="4"/>
  <c r="C24" i="4"/>
  <c r="N311" i="3"/>
  <c r="N314" i="3" s="1"/>
  <c r="J288" i="3"/>
  <c r="K326" i="3"/>
  <c r="K330" i="3" s="1"/>
  <c r="K329" i="3"/>
  <c r="K328" i="3"/>
  <c r="K327" i="3"/>
  <c r="K325" i="3"/>
  <c r="K324" i="3"/>
  <c r="K323" i="3"/>
  <c r="K322" i="3"/>
  <c r="K321" i="3"/>
  <c r="J318" i="3"/>
  <c r="J289" i="3"/>
  <c r="D16" i="4" l="1"/>
  <c r="F15" i="4"/>
  <c r="E16" i="4"/>
  <c r="M321" i="3"/>
  <c r="L185" i="3"/>
  <c r="M185" i="3" s="1"/>
  <c r="F181" i="3"/>
  <c r="H193" i="3"/>
  <c r="L186" i="3"/>
  <c r="M186" i="3" s="1"/>
  <c r="L189" i="3"/>
  <c r="M189" i="3" s="1"/>
  <c r="L184" i="3"/>
  <c r="M184" i="3" s="1"/>
  <c r="L187" i="3"/>
  <c r="M187" i="3" s="1"/>
  <c r="L188" i="3"/>
  <c r="M188" i="3" s="1"/>
  <c r="F189" i="3"/>
  <c r="F184" i="3"/>
  <c r="F185" i="3"/>
  <c r="F188" i="3"/>
  <c r="F187" i="3"/>
  <c r="F186" i="3"/>
  <c r="K178" i="7"/>
  <c r="J178" i="7"/>
  <c r="H178" i="7"/>
  <c r="J177" i="7"/>
  <c r="H177" i="7"/>
  <c r="K177" i="7" s="1"/>
  <c r="J176" i="7"/>
  <c r="H176" i="7"/>
  <c r="K176" i="7" s="1"/>
  <c r="K175" i="7"/>
  <c r="J175" i="7"/>
  <c r="H175" i="7"/>
  <c r="K174" i="7"/>
  <c r="J174" i="7"/>
  <c r="H174" i="7"/>
  <c r="J173" i="7"/>
  <c r="H173" i="7"/>
  <c r="K173" i="7" s="1"/>
  <c r="J172" i="7"/>
  <c r="J179" i="7" s="1"/>
  <c r="H172" i="7"/>
  <c r="K172" i="7" s="1"/>
  <c r="F150" i="7"/>
  <c r="H150" i="7" s="1"/>
  <c r="H149" i="7"/>
  <c r="F149" i="7"/>
  <c r="F148" i="7"/>
  <c r="H148" i="7" s="1"/>
  <c r="H147" i="7"/>
  <c r="F147" i="7"/>
  <c r="F146" i="7"/>
  <c r="H146" i="7" s="1"/>
  <c r="H145" i="7"/>
  <c r="F145" i="7"/>
  <c r="F151" i="7" s="1"/>
  <c r="F142" i="7"/>
  <c r="J142" i="7" s="1"/>
  <c r="F124" i="7"/>
  <c r="G109" i="7"/>
  <c r="K99" i="7"/>
  <c r="F117" i="7" s="1"/>
  <c r="K96" i="7"/>
  <c r="F96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J140" i="6"/>
  <c r="H140" i="6"/>
  <c r="K140" i="6" s="1"/>
  <c r="J139" i="6"/>
  <c r="H139" i="6"/>
  <c r="K139" i="6" s="1"/>
  <c r="J138" i="6"/>
  <c r="H138" i="6"/>
  <c r="K138" i="6" s="1"/>
  <c r="K137" i="6"/>
  <c r="J137" i="6"/>
  <c r="H137" i="6"/>
  <c r="J136" i="6"/>
  <c r="K136" i="6" s="1"/>
  <c r="H136" i="6"/>
  <c r="J135" i="6"/>
  <c r="H135" i="6"/>
  <c r="K135" i="6" s="1"/>
  <c r="J134" i="6"/>
  <c r="J141" i="6" s="1"/>
  <c r="H134" i="6"/>
  <c r="K134" i="6" s="1"/>
  <c r="F112" i="6"/>
  <c r="H112" i="6" s="1"/>
  <c r="F111" i="6"/>
  <c r="H111" i="6" s="1"/>
  <c r="F110" i="6"/>
  <c r="H110" i="6" s="1"/>
  <c r="F109" i="6"/>
  <c r="H109" i="6" s="1"/>
  <c r="F108" i="6"/>
  <c r="H108" i="6" s="1"/>
  <c r="F107" i="6"/>
  <c r="H107" i="6" s="1"/>
  <c r="F106" i="6"/>
  <c r="F113" i="6" s="1"/>
  <c r="F104" i="6"/>
  <c r="J104" i="6" s="1"/>
  <c r="F86" i="6"/>
  <c r="K61" i="6"/>
  <c r="F79" i="6" s="1"/>
  <c r="K58" i="6"/>
  <c r="F58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E17" i="4" l="1"/>
  <c r="D17" i="4"/>
  <c r="F16" i="4"/>
  <c r="M322" i="3"/>
  <c r="N321" i="3"/>
  <c r="N188" i="3"/>
  <c r="N186" i="3"/>
  <c r="N187" i="3"/>
  <c r="N184" i="3"/>
  <c r="N189" i="3"/>
  <c r="N185" i="3"/>
  <c r="F191" i="3"/>
  <c r="F118" i="7"/>
  <c r="F122" i="7" s="1"/>
  <c r="F123" i="7" s="1"/>
  <c r="F121" i="7"/>
  <c r="F125" i="7" s="1"/>
  <c r="H151" i="7"/>
  <c r="K179" i="7"/>
  <c r="F91" i="7"/>
  <c r="K141" i="6"/>
  <c r="F83" i="6"/>
  <c r="F87" i="6" s="1"/>
  <c r="F80" i="6"/>
  <c r="F84" i="6" s="1"/>
  <c r="F85" i="6" s="1"/>
  <c r="F53" i="6"/>
  <c r="H106" i="6"/>
  <c r="H113" i="6" s="1"/>
  <c r="F17" i="4" l="1"/>
  <c r="E18" i="4"/>
  <c r="D18" i="4"/>
  <c r="O321" i="3"/>
  <c r="N322" i="3"/>
  <c r="O322" i="3" s="1"/>
  <c r="M323" i="3"/>
  <c r="N190" i="3"/>
  <c r="H169" i="7"/>
  <c r="J183" i="7" s="1"/>
  <c r="F92" i="7"/>
  <c r="F94" i="7" s="1"/>
  <c r="J151" i="7"/>
  <c r="H152" i="7" s="1"/>
  <c r="H131" i="6"/>
  <c r="J145" i="6" s="1"/>
  <c r="F54" i="6"/>
  <c r="F56" i="6" s="1"/>
  <c r="J113" i="6"/>
  <c r="H114" i="6" s="1"/>
  <c r="D19" i="4" l="1"/>
  <c r="F18" i="4"/>
  <c r="E19" i="4"/>
  <c r="N323" i="3"/>
  <c r="O323" i="3" s="1"/>
  <c r="M324" i="3"/>
  <c r="F97" i="7"/>
  <c r="F95" i="7"/>
  <c r="F59" i="6"/>
  <c r="F57" i="6"/>
  <c r="K16" i="4" l="1"/>
  <c r="K40" i="4"/>
  <c r="K44" i="4"/>
  <c r="K19" i="4"/>
  <c r="K27" i="4"/>
  <c r="K35" i="4"/>
  <c r="K21" i="4"/>
  <c r="K25" i="4"/>
  <c r="K33" i="4"/>
  <c r="K41" i="4"/>
  <c r="K18" i="4"/>
  <c r="K30" i="4"/>
  <c r="K43" i="4"/>
  <c r="D20" i="4"/>
  <c r="F19" i="4"/>
  <c r="E20" i="4"/>
  <c r="N324" i="3"/>
  <c r="O324" i="3" s="1"/>
  <c r="M325" i="3"/>
  <c r="F20" i="4" l="1"/>
  <c r="D21" i="4"/>
  <c r="E21" i="4"/>
  <c r="N325" i="3"/>
  <c r="O325" i="3" s="1"/>
  <c r="M326" i="3"/>
  <c r="F21" i="4" l="1"/>
  <c r="E22" i="4"/>
  <c r="D22" i="4"/>
  <c r="N326" i="3"/>
  <c r="M327" i="3"/>
  <c r="D23" i="4" l="1"/>
  <c r="F22" i="4"/>
  <c r="E23" i="4"/>
  <c r="K32" i="4"/>
  <c r="K15" i="4"/>
  <c r="K37" i="4"/>
  <c r="K22" i="4"/>
  <c r="K38" i="4"/>
  <c r="K20" i="4"/>
  <c r="K17" i="4"/>
  <c r="K39" i="4"/>
  <c r="K34" i="4"/>
  <c r="K23" i="4"/>
  <c r="K24" i="4"/>
  <c r="K31" i="4"/>
  <c r="K28" i="4"/>
  <c r="K26" i="4"/>
  <c r="O326" i="3"/>
  <c r="N327" i="3"/>
  <c r="O327" i="3" s="1"/>
  <c r="M328" i="3"/>
  <c r="D24" i="4" l="1"/>
  <c r="F24" i="4" s="1"/>
  <c r="F23" i="4"/>
  <c r="E24" i="4"/>
  <c r="K29" i="4" s="1"/>
  <c r="N328" i="3"/>
  <c r="O328" i="3" s="1"/>
  <c r="M329" i="3"/>
  <c r="K36" i="4" l="1"/>
  <c r="K42" i="4"/>
  <c r="N329" i="3"/>
  <c r="M330" i="3"/>
  <c r="O329" i="3" l="1"/>
  <c r="O330" i="3" s="1"/>
  <c r="N330" i="3"/>
</calcChain>
</file>

<file path=xl/sharedStrings.xml><?xml version="1.0" encoding="utf-8"?>
<sst xmlns="http://schemas.openxmlformats.org/spreadsheetml/2006/main" count="799" uniqueCount="566">
  <si>
    <t>Trabajo Individual Nº2-Simulación</t>
  </si>
  <si>
    <t>Supermecado Bambi</t>
  </si>
  <si>
    <t>Tipo de variables</t>
  </si>
  <si>
    <t>Discreta</t>
  </si>
  <si>
    <t>Continua</t>
  </si>
  <si>
    <t>tiempo entre arribo de clientes</t>
  </si>
  <si>
    <t>Unidades de variables</t>
  </si>
  <si>
    <t>Variables seleccionadas</t>
  </si>
  <si>
    <t xml:space="preserve">Actividad Nº1 </t>
  </si>
  <si>
    <t>Punto a. Identificar  claramente dos variables aleatorias dentro  de  un  sistema  de interés del estudiante</t>
  </si>
  <si>
    <t>Debiendo   ser   real   de   dicho   sistema.   Explicar la forma   de   obtención   de   dicha información.</t>
  </si>
  <si>
    <t>de las variables aleatorios escogidas.La determinación debe realizarsede las siguientes maneras:</t>
  </si>
  <si>
    <t>2°)Mediante  algún  software  para  prueba  de  bondad  de  ajuste(Stat-Fitdel Promodel).</t>
  </si>
  <si>
    <t>Punto d. Presentación de la información usando el  esquema solicitado:</t>
  </si>
  <si>
    <t>Variable 1 nombre corto:</t>
  </si>
  <si>
    <t>Variable 1 Definición</t>
  </si>
  <si>
    <t>Variable  1    Forma de obtención de la información</t>
  </si>
  <si>
    <t>Cuadro   de   datos   de la Variable 1</t>
  </si>
  <si>
    <t>Punto C. Determinar el tipo de distribución,a partir delconjunto de datos obtenidos, que explican el comportamientode c/u</t>
  </si>
  <si>
    <t>1°)Manual (empleando el Métodode Chi Cuadrada o de Kolmogorov-Smirnov).</t>
  </si>
  <si>
    <t>Generación de números pseudoaleatorios por medio de la función Aleatorio() de Excel.</t>
  </si>
  <si>
    <t>Aleatorio() devuelve un número real aleatorio mayor o igual que 0 y menor que 1, distribuido uniformemente.</t>
  </si>
  <si>
    <t>Generador de números pseudoaleatorios</t>
  </si>
  <si>
    <t xml:space="preserve">Muestra de números pseudoaleatorios seleccionada a analizar </t>
  </si>
  <si>
    <t>Orden</t>
  </si>
  <si>
    <t xml:space="preserve">          Nros Psedo-Aleatorios</t>
  </si>
  <si>
    <t>por medio de la funcion aleatorio() de Excel con n = 40</t>
  </si>
  <si>
    <t xml:space="preserve">    Nros Pseudo-Aleatorios</t>
  </si>
  <si>
    <r>
      <t xml:space="preserve"> Se selecciona un conjunto de números r</t>
    </r>
    <r>
      <rPr>
        <b/>
        <sz val="12"/>
        <color theme="3"/>
        <rFont val="Calibri Light"/>
        <family val="2"/>
        <scheme val="major"/>
      </rPr>
      <t>i</t>
    </r>
    <r>
      <rPr>
        <b/>
        <sz val="18"/>
        <color theme="3"/>
        <rFont val="Calibri Light"/>
        <family val="2"/>
        <scheme val="major"/>
      </rPr>
      <t xml:space="preserve"> del generador y se realizan las pruebas de aleatoriedad</t>
    </r>
  </si>
  <si>
    <t>Conjunto de números  pseudoaleatorios (ri) a analizar</t>
  </si>
  <si>
    <t xml:space="preserve"> PRUEBA DE POKER</t>
  </si>
  <si>
    <t>Prueba de Medias</t>
  </si>
  <si>
    <t xml:space="preserve"> n es el tamaño de la conjunto</t>
  </si>
  <si>
    <t>Supongo que: Nivel de aceptación (formato porcentaje)</t>
  </si>
  <si>
    <t>obtenidos a partir de la función Aleatorio() con n=40</t>
  </si>
  <si>
    <t xml:space="preserve">α </t>
  </si>
  <si>
    <t>T</t>
  </si>
  <si>
    <t>1 - (α/2)</t>
  </si>
  <si>
    <t>1P</t>
  </si>
  <si>
    <t>Necesitamos pasarlo a valor numerico</t>
  </si>
  <si>
    <t>TD</t>
  </si>
  <si>
    <t>Z(1-α/2)</t>
  </si>
  <si>
    <t>LIMITE INFERIOR</t>
  </si>
  <si>
    <t>Nivel de aceptación(formato numérico)</t>
  </si>
  <si>
    <t>Promedio del conjunto ri</t>
  </si>
  <si>
    <t>2P</t>
  </si>
  <si>
    <t>LIMITE SUPERIOR</t>
  </si>
  <si>
    <t xml:space="preserve"> Limites </t>
  </si>
  <si>
    <t>α (error)  =  1 - nivel de aceptación numérico</t>
  </si>
  <si>
    <t>Una de las propiedades que deben cumplir los números del conjunto ri es que el valor esperado sea igual a 0,5.</t>
  </si>
  <si>
    <t>Para ello se plantean las siguientes hipótesis:</t>
  </si>
  <si>
    <t>𝐻0: 𝜇𝑟𝑖=0,5</t>
  </si>
  <si>
    <t>𝐻1: 𝜇𝑟𝑖≠0,5</t>
  </si>
  <si>
    <t>El promedio está dentro de los limites inferior y superior :</t>
  </si>
  <si>
    <t>0,410540293&lt;= 0,47370&lt;=0,589459707</t>
  </si>
  <si>
    <t xml:space="preserve">Se concluye que no se puede rechazar, que el conjunto ri  tiene un valor esperado </t>
  </si>
  <si>
    <t xml:space="preserve">de 0,5 con un nivel de acepación de  95%. </t>
  </si>
  <si>
    <t>Prueba de Varianza</t>
  </si>
  <si>
    <t>α / 2 =</t>
  </si>
  <si>
    <t xml:space="preserve"> </t>
  </si>
  <si>
    <t>Varianza del conjunto ri</t>
  </si>
  <si>
    <t xml:space="preserve">En esta prueba se debe demostrar que el conjunto de números ri tenga una varianza de 1/12. Para ello se establecen </t>
  </si>
  <si>
    <t>las siguientes hipótesis:</t>
  </si>
  <si>
    <t>Se verifica si la varianza calculada se encuentra dentro de los límites de aceptación:</t>
  </si>
  <si>
    <t>0,050543429&lt;=0,079663256&lt;=0,124188162</t>
  </si>
  <si>
    <t>el valor de 𝑉(𝑟) se encuentra entre los límites de aceptación,se concluye que no  se puede rechazar, que el conjunto ri tiene una varianza de 1/12,</t>
  </si>
  <si>
    <t xml:space="preserve">  con un nivel de aceptación de 95%.  Pasamos a la siguiente prueba (uniformidad)</t>
  </si>
  <si>
    <t>Prueba de Uniformidad (Prueba de Chi-Cuadrada)</t>
  </si>
  <si>
    <t>m =</t>
  </si>
  <si>
    <t>Ei=n/m =</t>
  </si>
  <si>
    <t>Frecuencias</t>
  </si>
  <si>
    <t>Observada(Oi)</t>
  </si>
  <si>
    <t>Esperada(Ei)</t>
  </si>
  <si>
    <t>((Ei - Oi)^2) /Ei</t>
  </si>
  <si>
    <t>0; 0,14285</t>
  </si>
  <si>
    <t>0,14285; 0,285714</t>
  </si>
  <si>
    <t>0,285714; 0,428564</t>
  </si>
  <si>
    <t>0,428564; 0,571414</t>
  </si>
  <si>
    <t>0,571414; 0,714264</t>
  </si>
  <si>
    <t>0,714264; 0,857114</t>
  </si>
  <si>
    <t>0,857114; 0,99999</t>
  </si>
  <si>
    <t>Control</t>
  </si>
  <si>
    <t>α  =</t>
  </si>
  <si>
    <t>Se formula las siguientes hipótesis:</t>
  </si>
  <si>
    <t>Se utiliza la Prueba de Chi-Cuadrada,esta prueba busca determinar si los números del conjunto ri se distribuyen</t>
  </si>
  <si>
    <t xml:space="preserve"> uniformemente en el intervalo (0,1). Para ello se debe cumplir que:</t>
  </si>
  <si>
    <t>6,199999535 &lt; 12,5915874</t>
  </si>
  <si>
    <t xml:space="preserve">Como el estadistico de prueba X0^2 es menor que Xα^2;m-1  NO SE PUEDE RECHARZAR que el </t>
  </si>
  <si>
    <t xml:space="preserve">conjunto de números ri  sigue una distribución uniforme entre 0 y 1. </t>
  </si>
  <si>
    <t>Prueba de Independencia (Prueba de Póker)</t>
  </si>
  <si>
    <t>Se formulan las siguientes hipótesis:</t>
  </si>
  <si>
    <t>H0: los números del conjunto ri son Independientes</t>
  </si>
  <si>
    <t>H1: los números del conjunto ri no son Independientes</t>
  </si>
  <si>
    <t>n  =</t>
  </si>
  <si>
    <t>Categoria</t>
  </si>
  <si>
    <t>Prob P(x)</t>
  </si>
  <si>
    <t>Esperado (Ei) = P(x)*n</t>
  </si>
  <si>
    <t>Observado(Oi)</t>
  </si>
  <si>
    <t>Todos Diferentes</t>
  </si>
  <si>
    <t>Un Par</t>
  </si>
  <si>
    <t>Dos Pares</t>
  </si>
  <si>
    <t>Tercia y Par</t>
  </si>
  <si>
    <t>TP</t>
  </si>
  <si>
    <t xml:space="preserve">Tercia   </t>
  </si>
  <si>
    <t>Poker</t>
  </si>
  <si>
    <t>P</t>
  </si>
  <si>
    <t>Quintilla</t>
  </si>
  <si>
    <t>Q</t>
  </si>
  <si>
    <t>Se debe cumplir que:</t>
  </si>
  <si>
    <t>4,775132275 &lt; 12,59158724</t>
  </si>
  <si>
    <r>
      <t>Como el estadistico de prueba X</t>
    </r>
    <r>
      <rPr>
        <sz val="8"/>
        <color theme="0"/>
        <rFont val="Calibri"/>
        <family val="2"/>
        <scheme val="minor"/>
      </rPr>
      <t>0</t>
    </r>
    <r>
      <rPr>
        <sz val="11"/>
        <color theme="0"/>
        <rFont val="Calibri"/>
        <family val="2"/>
        <scheme val="minor"/>
      </rPr>
      <t>^2 es menor que Xα^2;m-1  NO SE PUEDE RECHARZAR que el conjunto ri sea independiente</t>
    </r>
  </si>
  <si>
    <t xml:space="preserve">SE APRUEBA EL CONJUNTO ri: Los números pseudoaleatorios del conjunto ri pueden utilizarse  </t>
  </si>
  <si>
    <t>en un estudio de simulación porque cumplen con las propiedades de los números aleatorios.</t>
  </si>
  <si>
    <t>Criterio de selección de números aleatorios a partir del documento de Rand Corp.</t>
  </si>
  <si>
    <t>Rango de hojas (con un listado de números aleatorios) del documento de Rand Corp.   =</t>
  </si>
  <si>
    <t>5-404</t>
  </si>
  <si>
    <t>Formato de una hoja del documento de Rand Corp.</t>
  </si>
  <si>
    <t>Cantidad de bloques(filas) =</t>
  </si>
  <si>
    <t>Cantidad de bloques(columnas) =</t>
  </si>
  <si>
    <t>Cantidad de numeros aleatorios en un bloque =</t>
  </si>
  <si>
    <t xml:space="preserve">Criterio utilizado: Para seleccionar los numeros aleatorios se utilizara la funcion ALEATORIO.ENTRE(valor_inicial; valor_final) de Excel de tal </t>
  </si>
  <si>
    <t>manera de "sortear":</t>
  </si>
  <si>
    <t>Número de hoja debe se seleccionada dentro del rango establecido. Se usa =ALEATORIO.ENTRE(5;404)</t>
  </si>
  <si>
    <t>Número de fila(bloque)  debe se seleccionada. Se usa =ALEATORIO.ENTRE(1;10)</t>
  </si>
  <si>
    <t>Número de columna(bloque)  debe se seleccionada. Se usa=ALEATORIO.ENTRE(1;11)</t>
  </si>
  <si>
    <t>Posición del numero aleatorio dentro del bloque a seleccionar. Se usa =ALEATORIO.ENTRE(1;5)</t>
  </si>
  <si>
    <t>SORTEADOR DE NUMEROS ALEATORIOS DE RAND CORP.</t>
  </si>
  <si>
    <t>Número de hoja</t>
  </si>
  <si>
    <t xml:space="preserve">Número de fila(bloque) </t>
  </si>
  <si>
    <t>Número de columna(bloque)</t>
  </si>
  <si>
    <t>Posición en bloque</t>
  </si>
  <si>
    <t>A Partir del sorteador de arriba se genera un sorteo para seleccionar los números aleatorios ganadores dentro del documento de Rand Corp.</t>
  </si>
  <si>
    <t xml:space="preserve">SORTEO Nº 1 DE NUMEROS ALEATORIOS DE RAND CORP </t>
  </si>
  <si>
    <t xml:space="preserve">Muestra de número aleatorios (formato correcto) para analizar </t>
  </si>
  <si>
    <t>Números aleatorios ganadores</t>
  </si>
  <si>
    <t xml:space="preserve"> (obtenidos según un criterio de Rand Corp) con n=30</t>
  </si>
  <si>
    <t>01566</t>
  </si>
  <si>
    <t>08927</t>
  </si>
  <si>
    <t>obtenidos a partir de un criterio de selección con n=30</t>
  </si>
  <si>
    <t>0,396700828&lt;= 0,48772&lt;=0,603299172</t>
  </si>
  <si>
    <t xml:space="preserve">de 0,5 con un nivel de acepación de  </t>
  </si>
  <si>
    <t>0,046112275&lt;=0,096974402&lt;=0,131385879</t>
  </si>
  <si>
    <t xml:space="preserve"> con un nivel de aceptación de 95%. </t>
  </si>
  <si>
    <t>0,0000; 0,166666</t>
  </si>
  <si>
    <t>0,16666; 0,33333</t>
  </si>
  <si>
    <t>0,33333; 0,49999</t>
  </si>
  <si>
    <t>0,49999; 0,66666</t>
  </si>
  <si>
    <t>0,66666; 0,83333</t>
  </si>
  <si>
    <t>0,83333; 0,99999</t>
  </si>
  <si>
    <t>2 &lt; 11,07049769</t>
  </si>
  <si>
    <t>Como el estadistico de prueba X0^2 es menor que Xα^2;m-1  NO SE PUEDE RECHARZAR que el conjunto de números ri  sigue una distribución uniforme entre 0 y 1</t>
  </si>
  <si>
    <t>Se puede continuar con la siguiente prueba (Independencia)</t>
  </si>
  <si>
    <t>1,7019400 &lt; 12,59158</t>
  </si>
  <si>
    <t>Como el estadistico de prueba X0^2 es menor que Xα^2;m-1  NO SE PUEDE RECHARZAR que el conjunto ri sea independiente</t>
  </si>
  <si>
    <t>Se utilizaran hojas de excel para realizar estos calculos auxiliares, de manera de que sea mas facil su inspección e interpretación. Por ejemplo la generacion de numeros pseudoaleatorios y</t>
  </si>
  <si>
    <t>Conj.1-NúmeroAleatorio+Pruebas</t>
  </si>
  <si>
    <t>Conj.2-NúmeroAleatorio+Pruebas</t>
  </si>
  <si>
    <t>que se establecieron para realizar las observaciones y el registro</t>
  </si>
  <si>
    <t xml:space="preserve">En la imagen de la derecha se puede observar cuales son los </t>
  </si>
  <si>
    <t>límites del sistema para el estacionamiento del supermercado Bambi</t>
  </si>
  <si>
    <t>de la información pertinente.</t>
  </si>
  <si>
    <t>Observado Oi</t>
  </si>
  <si>
    <t>Hora</t>
  </si>
  <si>
    <t>H1 = otra distribución</t>
  </si>
  <si>
    <t>aptos para ser usados en un estudio de simulación(o en la Actividad 2 generador). Las hojas de excel que continen dichos conjuntos ri de numeros aleatorios  y sus respectivas pruebas son:</t>
  </si>
  <si>
    <t>el cumplimiento de las respectivas pruebas de aleatoriedad (verifican que el conjunto ri de numeros pseudoaleatorios tiene las propiedades de un conjunto de numeros aleatorios). Y por lo tanto son</t>
  </si>
  <si>
    <t>Sabado 3/04</t>
  </si>
  <si>
    <t>Sabado 10/04</t>
  </si>
  <si>
    <t>Observación</t>
  </si>
  <si>
    <t>X1</t>
  </si>
  <si>
    <t>X2</t>
  </si>
  <si>
    <t>Observacion 1</t>
  </si>
  <si>
    <t>Observacion 2</t>
  </si>
  <si>
    <t>Observacion 3</t>
  </si>
  <si>
    <t>Observacion 4</t>
  </si>
  <si>
    <t>Observacion 5</t>
  </si>
  <si>
    <t>Observacion 6</t>
  </si>
  <si>
    <t>Observacion 7</t>
  </si>
  <si>
    <t>Observacion 8</t>
  </si>
  <si>
    <t>Observacion 9</t>
  </si>
  <si>
    <t>Observacion 10</t>
  </si>
  <si>
    <t>Observacion 11</t>
  </si>
  <si>
    <t>Observacion 12</t>
  </si>
  <si>
    <t>Observacion 13</t>
  </si>
  <si>
    <t>Observacion 14</t>
  </si>
  <si>
    <t>Observacion 15</t>
  </si>
  <si>
    <t xml:space="preserve">Lo ideal seria tener mucha mas observaciones (durante al menos 30 sabados) del uso del estacionamiento </t>
  </si>
  <si>
    <t>fiel a la realidad en los resultados de la simulacion.</t>
  </si>
  <si>
    <t>Tabla de recolección de datos- Supermercado Bambi</t>
  </si>
  <si>
    <t>Se cargan los 2 lotes(observaciones) obtenidas en el programa se observa a partir</t>
  </si>
  <si>
    <t>de las capturas realizadas las distribuciones disponibles y el mejor ajuste entre ellas</t>
  </si>
  <si>
    <t>(por medio de un ranking que proporciona la herramienta)</t>
  </si>
  <si>
    <t>Determinar la distribución a partir de un metodo manual - Prueba de Chi-cuadrada</t>
  </si>
  <si>
    <t>durante ese intervalo de tiempo.</t>
  </si>
  <si>
    <t>n =</t>
  </si>
  <si>
    <t>Media</t>
  </si>
  <si>
    <t>Varianza</t>
  </si>
  <si>
    <t>1.  Obtener al m enos 30 datos de la variable aleatoria a analizar.</t>
  </si>
  <si>
    <t>2.  Calcular la media y varianza de los datos.</t>
  </si>
  <si>
    <t>3.  Crear un histograma de m = raiz(n)  intervalos, y obtener la frecuencia observada en cada intervalo Oi.</t>
  </si>
  <si>
    <t>5.  Calcular la frecuencia  esperada, E¡, a  partir de  la función  de probabilidad  propuesta.</t>
  </si>
  <si>
    <t>6.  Calcular el estadístico de prueba:</t>
  </si>
  <si>
    <t xml:space="preserve">Supongo que el nivel de aceptacion es del 5% = α </t>
  </si>
  <si>
    <t>{k es el núm ero de parámetros estimados en la distribución propuesta).</t>
  </si>
  <si>
    <t>8.  Comparar el estadístico de prueba con el valor crítico. Si el estadístico de prueba es menor que el valor crítico no se puede rechazar la hipótesis nula.</t>
  </si>
  <si>
    <t>[0-1]</t>
  </si>
  <si>
    <t>(1-2]</t>
  </si>
  <si>
    <t>(2-3]</t>
  </si>
  <si>
    <t>(3-4]</t>
  </si>
  <si>
    <t>(4-5]</t>
  </si>
  <si>
    <t xml:space="preserve">ancho del intervalo = </t>
  </si>
  <si>
    <t>(max Obs - min. Obs)/10 =</t>
  </si>
  <si>
    <t>4.  Establecer explícitamente la hipótesis nula, mediante una distribución de probabilidad que se ajuste a la forma del histograma.</t>
  </si>
  <si>
    <t>1.Cantidad de observaciones</t>
  </si>
  <si>
    <t xml:space="preserve">   p(x) = (λ^x *e^-λ)/!x    x=0,1,2…</t>
  </si>
  <si>
    <t>(5-&gt;6]</t>
  </si>
  <si>
    <t xml:space="preserve"> p(x=0, 1)</t>
  </si>
  <si>
    <t xml:space="preserve"> p(x=2)</t>
  </si>
  <si>
    <t xml:space="preserve"> p(x=4)</t>
  </si>
  <si>
    <t xml:space="preserve"> p(x=5)</t>
  </si>
  <si>
    <t>p(x=6, 7)</t>
  </si>
  <si>
    <t xml:space="preserve"> p(x=3)</t>
  </si>
  <si>
    <t>p(x)</t>
  </si>
  <si>
    <t>valor crítico de la prueba =</t>
  </si>
  <si>
    <t>hipotesis de que la variable aleatoria se comporta de acuerdo con una distribución de Poisson,</t>
  </si>
  <si>
    <t xml:space="preserve">Conclusión: Como el estadistico de prueba es menor que el valor critico de prueba, no podemos rechazar la </t>
  </si>
  <si>
    <t>8. Se compara el estadistico con el valor critico</t>
  </si>
  <si>
    <t xml:space="preserve"> 6.Estadistico de prueba = </t>
  </si>
  <si>
    <t xml:space="preserve">7.  Definir el nivel de significancia de la prueba, α, y determinar el valor crítico de la prueba, Xα ,m-k-1  </t>
  </si>
  <si>
    <t>Cant. de intervalos =m = raiz(n) =</t>
  </si>
  <si>
    <t>Vemos que la distribución de Poisson es aquella que mejor ajuste presenta y no se puede</t>
  </si>
  <si>
    <t xml:space="preserve"> Establecer la distribucion de probabilidad a partir de un software-PROMODEL</t>
  </si>
  <si>
    <t>Actividad Nº2</t>
  </si>
  <si>
    <t>Se calculan las probabilidades puntuales y acumuladas</t>
  </si>
  <si>
    <t xml:space="preserve"> p(x)</t>
  </si>
  <si>
    <t xml:space="preserve"> P(x)</t>
  </si>
  <si>
    <t xml:space="preserve">Regla para generar esta variable aleatoria </t>
  </si>
  <si>
    <t>Limite inferior</t>
  </si>
  <si>
    <t>limite superior</t>
  </si>
  <si>
    <t>valor que toma xi</t>
  </si>
  <si>
    <t xml:space="preserve"> se muestra el valor que toma la variable aleatoria xi de a cuerdo al intervalo al cual pertenece  el número uniforme R.</t>
  </si>
  <si>
    <t>Conjunto de números  aleatorios (ri) a analizar</t>
  </si>
  <si>
    <t xml:space="preserve">Conjunto de números  aleatorios (ri) a ser entrada </t>
  </si>
  <si>
    <t xml:space="preserve">de la regla para generar valores de la variable aleatoria </t>
  </si>
  <si>
    <t>Esto se ve a partir de la distribucion que probabilidad (no rechazada--&gt;Poisson) y los datos estadisticos descriptivos de este conjunto de valores</t>
  </si>
  <si>
    <t>Estos son números aleatorios que superaron todas las pruebas de aleatoriedad, en la hoja de excel:</t>
  </si>
  <si>
    <t>"Conj.2-NúmeroAleatorio+Pruebas" se pueden ver las pruebas realizadas y comprobar que son aptos a ser usados en un estudio de simulación</t>
  </si>
  <si>
    <t>Se utiliza la función buscarv para obtener el</t>
  </si>
  <si>
    <t>valor que debe tomar xi según el rango establecido</t>
  </si>
  <si>
    <t>por la regla y el número aleatorio asignado.</t>
  </si>
  <si>
    <t xml:space="preserve">    p(x) = (λ^x *e^-λ)/!x  x=0,1,2…</t>
  </si>
  <si>
    <t>Comparacion de metodos: Vemos que ambos metodos tanto el manual usando la prueba de chi-cuadrada como el usando statfit de Promodel, no pueden rechazar que la variable aleatoria se comporta  siguiendo una distribución de Poisson</t>
  </si>
  <si>
    <t>Simplemente por una restricción de tiempo y disponibilidad de datos solo tomo este par de observaciones.</t>
  </si>
  <si>
    <t>a)Determinar/generaral  menos 20  valores,  para cada  una  de las Variables  Aleatorias definidas y bajo estudio. Utilizar el método de generación más conveniente</t>
  </si>
  <si>
    <t>que ingresan local comercial bajo estudio. La unidad de esta variable es  [clientes/segundos]</t>
  </si>
  <si>
    <t xml:space="preserve">a) Rta: Valores generados a partir de la variable </t>
  </si>
  <si>
    <t>b)Presentar la información detallando: método, cálculos y resultados alcanzados.</t>
  </si>
  <si>
    <t>, para que la información pueda constrastarse entre si y poder asi obtener asi un comportamiento mas</t>
  </si>
  <si>
    <t xml:space="preserve"> Esta variable aleatoria continua representa el tiempo entre arribo de clientes </t>
  </si>
  <si>
    <t>Datos observados</t>
  </si>
  <si>
    <t>La informacion es obtenida por medio de observaciones realizadas</t>
  </si>
  <si>
    <t>sobre el portal de ingreso al comercio bajo estudio. Cada nuevo</t>
  </si>
  <si>
    <t>ingreso genera una marca de tiempo, que permite obtener el tiempo</t>
  </si>
  <si>
    <t>entre arribo de los clientes que ingresan al comercio.</t>
  </si>
  <si>
    <t>Las mediciones se realizaron 2 dias sabados consecutivos, durante</t>
  </si>
  <si>
    <t>límites del sistema para realizar las observaciones del tiempo entre arribo</t>
  </si>
  <si>
    <t>de clientes.</t>
  </si>
  <si>
    <t>Observacion de tiempos entre arribo de clientes</t>
  </si>
  <si>
    <t>243.40</t>
  </si>
  <si>
    <t>193.34</t>
  </si>
  <si>
    <t>122.17</t>
  </si>
  <si>
    <t>231.32</t>
  </si>
  <si>
    <t>92.35</t>
  </si>
  <si>
    <t>363.80</t>
  </si>
  <si>
    <t>13.22</t>
  </si>
  <si>
    <t>186.29</t>
  </si>
  <si>
    <t>81.36</t>
  </si>
  <si>
    <t>436.32</t>
  </si>
  <si>
    <t>96.65</t>
  </si>
  <si>
    <t>16.54</t>
  </si>
  <si>
    <t>185.64</t>
  </si>
  <si>
    <t>186.39</t>
  </si>
  <si>
    <t>169.48</t>
  </si>
  <si>
    <t>97.36</t>
  </si>
  <si>
    <t>843.22</t>
  </si>
  <si>
    <t>159.21</t>
  </si>
  <si>
    <t>44.55</t>
  </si>
  <si>
    <t>121.28</t>
  </si>
  <si>
    <t>113.10</t>
  </si>
  <si>
    <t>93.23</t>
  </si>
  <si>
    <t>22.49</t>
  </si>
  <si>
    <t>336.74</t>
  </si>
  <si>
    <t>612.37</t>
  </si>
  <si>
    <t>129.23</t>
  </si>
  <si>
    <t>514.37</t>
  </si>
  <si>
    <t>63.78</t>
  </si>
  <si>
    <t>32.21</t>
  </si>
  <si>
    <t>323.20</t>
  </si>
  <si>
    <t>Observacion 16</t>
  </si>
  <si>
    <t>112.13</t>
  </si>
  <si>
    <t>65.89</t>
  </si>
  <si>
    <t>Observacion 17</t>
  </si>
  <si>
    <t>173.03</t>
  </si>
  <si>
    <t>315.78</t>
  </si>
  <si>
    <t>Observacion 18</t>
  </si>
  <si>
    <t>16.09</t>
  </si>
  <si>
    <t>163.84</t>
  </si>
  <si>
    <t>Observacion 19</t>
  </si>
  <si>
    <t>119.96</t>
  </si>
  <si>
    <t>387.43</t>
  </si>
  <si>
    <t>Observacion 20</t>
  </si>
  <si>
    <t>34.25</t>
  </si>
  <si>
    <t>196.39</t>
  </si>
  <si>
    <t>Observacion 21</t>
  </si>
  <si>
    <t>11.08</t>
  </si>
  <si>
    <t>114.64</t>
  </si>
  <si>
    <t>Observacion 22</t>
  </si>
  <si>
    <t>137.52</t>
  </si>
  <si>
    <t>61.79</t>
  </si>
  <si>
    <t>Observacion 23</t>
  </si>
  <si>
    <t>172.56</t>
  </si>
  <si>
    <t>248.86</t>
  </si>
  <si>
    <t>Observacion 24</t>
  </si>
  <si>
    <t>345.95</t>
  </si>
  <si>
    <t>35.64</t>
  </si>
  <si>
    <t>Observacion 25</t>
  </si>
  <si>
    <t>183.93</t>
  </si>
  <si>
    <t>774.34</t>
  </si>
  <si>
    <t>Observacion 26</t>
  </si>
  <si>
    <t>275.98</t>
  </si>
  <si>
    <t>15.86</t>
  </si>
  <si>
    <t>Observacion 27</t>
  </si>
  <si>
    <t>293.65</t>
  </si>
  <si>
    <t>547.80</t>
  </si>
  <si>
    <t>Observacion 28</t>
  </si>
  <si>
    <t>53.70</t>
  </si>
  <si>
    <t>173.64</t>
  </si>
  <si>
    <t>Observacion 29</t>
  </si>
  <si>
    <t>391.09</t>
  </si>
  <si>
    <t>57.53</t>
  </si>
  <si>
    <t>Observacion 30</t>
  </si>
  <si>
    <t>89.66</t>
  </si>
  <si>
    <t>695.87</t>
  </si>
  <si>
    <t>Observacion 31</t>
  </si>
  <si>
    <t>205.23</t>
  </si>
  <si>
    <t>283.32</t>
  </si>
  <si>
    <t>Observacion 32</t>
  </si>
  <si>
    <t>23.54</t>
  </si>
  <si>
    <t>177.21</t>
  </si>
  <si>
    <t>Observacion 33</t>
  </si>
  <si>
    <t>111.32</t>
  </si>
  <si>
    <t>21.42</t>
  </si>
  <si>
    <t>Observacion 34</t>
  </si>
  <si>
    <t>17.26</t>
  </si>
  <si>
    <t>125.21</t>
  </si>
  <si>
    <t>Observacion 35</t>
  </si>
  <si>
    <t>341.21</t>
  </si>
  <si>
    <t>373.75</t>
  </si>
  <si>
    <t>Observacion 36</t>
  </si>
  <si>
    <t>47.43</t>
  </si>
  <si>
    <t>Observacion 37</t>
  </si>
  <si>
    <t>311.32</t>
  </si>
  <si>
    <t>162.1</t>
  </si>
  <si>
    <t>Observacion 38</t>
  </si>
  <si>
    <t>123.80</t>
  </si>
  <si>
    <t>11.57</t>
  </si>
  <si>
    <t>Observacion 39</t>
  </si>
  <si>
    <t>86.29</t>
  </si>
  <si>
    <t>182.56</t>
  </si>
  <si>
    <t>Observacion 40</t>
  </si>
  <si>
    <t>166.32</t>
  </si>
  <si>
    <t>24.41</t>
  </si>
  <si>
    <t>Soy consciente de que se requieren muchisimas más observaciones de esta variable continua (tiempo entre arribo de clientes) .</t>
  </si>
  <si>
    <t>fiel a la realidad en los resultados de la simulación.</t>
  </si>
  <si>
    <t>rechazar que la variable aleatoria tiene un comportamiento que sigue una distribución de Poisson</t>
  </si>
  <si>
    <t>Vemos que la distribución de exponencial es aquella que mejor ajuste presenta y  no se puede</t>
  </si>
  <si>
    <t>rechazar que la variable aleatoria tiene un comportamiento que sigue una distribución de exponencial.</t>
  </si>
  <si>
    <t>Lo ideal seria tener mucha mas observaciones (durante al menos 30 sabados) del tiempo entre arribo de clientes ,</t>
  </si>
  <si>
    <t>,para que la información pueda constrastarse entre si y poder asi obtener asi un comportamiento mas</t>
  </si>
  <si>
    <t xml:space="preserve">Observaciones de </t>
  </si>
  <si>
    <t>Tiempo entre arribo de clientes [TEAC]</t>
  </si>
  <si>
    <t>3. Intervalos</t>
  </si>
  <si>
    <t>0 -93,99999</t>
  </si>
  <si>
    <t>limite inferior</t>
  </si>
  <si>
    <t xml:space="preserve"> limite superior</t>
  </si>
  <si>
    <t>control</t>
  </si>
  <si>
    <t>94 -187,99999</t>
  </si>
  <si>
    <t>188-281,99999</t>
  </si>
  <si>
    <t>282-374,99999</t>
  </si>
  <si>
    <t>375-495,99999</t>
  </si>
  <si>
    <t>496-562,99999</t>
  </si>
  <si>
    <t>563-656,99999</t>
  </si>
  <si>
    <t>657-750,99999</t>
  </si>
  <si>
    <t>751-845</t>
  </si>
  <si>
    <t>tiempo de arribo dentro del int.</t>
  </si>
  <si>
    <t>2.  Calcular la media y varianza de los datos observados</t>
  </si>
  <si>
    <t>4. A partir de la media 192,23 segundos se establece la siguiete hipotesis:</t>
  </si>
  <si>
    <t>{k es el número de parámetros estimados en la distribución propuesta).</t>
  </si>
  <si>
    <t>media exponencial = μ  =</t>
  </si>
  <si>
    <t xml:space="preserve"> λ = 1/μ</t>
  </si>
  <si>
    <t xml:space="preserve"> para cada intervalo</t>
  </si>
  <si>
    <t>es calcular la probablidad exponencial</t>
  </si>
  <si>
    <t>para cada intervalo (usando la probabidad</t>
  </si>
  <si>
    <t>acumulada) restando convenientemente</t>
  </si>
  <si>
    <t>la probabilidad de un intervalo especifico.</t>
  </si>
  <si>
    <t>dichas prob. acumumuladas para obtener</t>
  </si>
  <si>
    <t>Frecuencia esperada  = Ei = π* n</t>
  </si>
  <si>
    <r>
      <t xml:space="preserve">Probabilidad exponencial </t>
    </r>
    <r>
      <rPr>
        <b/>
        <sz val="11"/>
        <color theme="1"/>
        <rFont val="Calibri"/>
        <family val="2"/>
      </rPr>
      <t>π</t>
    </r>
  </si>
  <si>
    <t>Comparacion de metodos: Vemos que ambos metodos, tanto el manual usando la prueba de chi-cuadrada como el realizado por medio de SW (statfit de Promodel), no pueden rechazar que la variable aleatoria se comporta  siguiendo una distribución de Exponencial</t>
  </si>
  <si>
    <t xml:space="preserve">H0 = Los datos siguen una Distribución exponencial </t>
  </si>
  <si>
    <t>Basicamente lo que estoy haciendo acá</t>
  </si>
  <si>
    <t>hipotesis de que la variable aleatoria se comporta de acuerdo con una distribución de exponencial,</t>
  </si>
  <si>
    <t xml:space="preserve">Partimos de la conclusión que obtuvimos la cual establece que: Como el estadistico de prueba es menor que el valor critico de prueba, no podemos rechazar la </t>
  </si>
  <si>
    <t>Partimos de la Conclusión: Como el estadistico de prueba es menor que el valor critico de prueba, no podemos rechazar la</t>
  </si>
  <si>
    <t>El parametro μ  de la dist. Exponencial lo estimamos de la muestra ==&gt; k = 1</t>
  </si>
  <si>
    <t>El parametro λ  de la dist. De Poisson lo estime de la muestra ==&gt; k = 1</t>
  </si>
  <si>
    <r>
      <t xml:space="preserve">Determinar el valor crítico de la prueba, </t>
    </r>
    <r>
      <rPr>
        <b/>
        <sz val="11"/>
        <color theme="1"/>
        <rFont val="Calibri"/>
        <family val="2"/>
        <scheme val="minor"/>
      </rPr>
      <t>Xα ,m-k-1  = X</t>
    </r>
    <r>
      <rPr>
        <b/>
        <sz val="10"/>
        <color theme="1"/>
        <rFont val="Calibri"/>
        <family val="2"/>
        <scheme val="minor"/>
      </rPr>
      <t>0,05;9-1-1</t>
    </r>
    <r>
      <rPr>
        <sz val="11"/>
        <color theme="1"/>
        <rFont val="Calibri"/>
        <family val="2"/>
        <scheme val="minor"/>
      </rPr>
      <t xml:space="preserve"> </t>
    </r>
  </si>
  <si>
    <t>hipotesis de que la variable aleatoria se comporta de acuerdo con una distribución de exponencial, con una media de tiempo entre arribo de clientes de: 192,28 seg/cliente</t>
  </si>
  <si>
    <t>con una media de tiempo entre arribo de clientes de: 192,28 seg/cliente</t>
  </si>
  <si>
    <t>[segundos/cliente]</t>
  </si>
  <si>
    <t>Simulación y analisis de sistemas con Promodel 2ed; Garcia Eduardo, E. Garcia Reyes  H.</t>
  </si>
  <si>
    <t>Distribucion de probabilidad que sigue la variable aleatoria</t>
  </si>
  <si>
    <t>Resumen de información de la variable aleatoria</t>
  </si>
  <si>
    <t>Variable aleatoria continua:</t>
  </si>
  <si>
    <t>Variable aleatoria discreta:</t>
  </si>
  <si>
    <t>La unidad de esta variable aleatoria es   [clientes/segundos]</t>
  </si>
  <si>
    <t>Distribución de Exponencial con una media exponencial μ  de 192,28 segundos/cliente</t>
  </si>
  <si>
    <t>aleatoria seleccionada</t>
  </si>
  <si>
    <t>Se generan valores a partir de la variable aleatoria para simular  el tiempo entre arribo de los clientes que ingresan al sistema bajo estudio.</t>
  </si>
  <si>
    <t xml:space="preserve">3.Intervalos </t>
  </si>
  <si>
    <t xml:space="preserve">                   Probabilidad de poisson                           λ=</t>
  </si>
  <si>
    <t xml:space="preserve">Sabiendo que existe una media exponencial μ  es de  192,28 segundos/clientes. Calculamos el parametro λ= 1/μ = 1/192,28   ==&gt;       λ = </t>
  </si>
  <si>
    <t>Distribución exponencial</t>
  </si>
  <si>
    <t>A partir de la función  de densidad de las variables aleatorias exponenciales con media 1/λ</t>
  </si>
  <si>
    <t>f(x) = λ * e^(-λ*x)  para x &gt;= 0</t>
  </si>
  <si>
    <t>se obtiene la función acumulada:</t>
  </si>
  <si>
    <t xml:space="preserve">                                                     F(x) = </t>
  </si>
  <si>
    <t>Si igualamos la funcion acumulada F(x) con el número pseudoaleatorio ri~ U (0,1) y despejamos x se obtiene:</t>
  </si>
  <si>
    <t xml:space="preserve">Método utilizado e  imagen de los pasos utilizados, extraida del libro: </t>
  </si>
  <si>
    <r>
      <t>xi = -(1/λ) * ln( 1- F(x)</t>
    </r>
    <r>
      <rPr>
        <sz val="9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)</t>
    </r>
  </si>
  <si>
    <t xml:space="preserve">    xi = -(1/λ) * ln( 1- ri )</t>
  </si>
  <si>
    <t>Conocemos λ, contamos con un conjunto de numeros aleatorios ri, por lo tanto podemos generar nuestra valores xi de nuestra variable aleatoria</t>
  </si>
  <si>
    <t>"Conj.1-NúmeroAleatorio+Pruebas" se pueden ver las pruebas realizadas y comprobar que son aptos a ser usados en un estudio de simulación</t>
  </si>
  <si>
    <t xml:space="preserve">a) Rta: Valores xi generados a partir de la variable </t>
  </si>
  <si>
    <t xml:space="preserve"> generar valores de la variable aleatoria con n=40</t>
  </si>
  <si>
    <t>aleatoria seleccioada a partir de xi = -(1/λ) * ln( 1- ri )  donde λ =0,0052018265</t>
  </si>
  <si>
    <t>Simplemente para probar, vemos que si introducimos los valores generados a partir de la variable aleatoria, estos tienen un comportamiento similar a los datos originales.</t>
  </si>
  <si>
    <t>Algoritmo generador:</t>
  </si>
  <si>
    <t>Esto se ve a partir de la distribucion que probabilidad (no rechazada--&gt;distr. exponencial) y los datos estadisticos descriptivos de este conjunto de valores.</t>
  </si>
  <si>
    <t xml:space="preserve">Método utilizado: imagen de los pasos utilizados, extraido del libro: </t>
  </si>
  <si>
    <t>Puesto que esta distribución de probabilildad es discreta, es necesario</t>
  </si>
  <si>
    <t>evaluar  para cada valor de x, y entonces determinar la distribución acumulada . De acuerdo a esta distribución Acumulada</t>
  </si>
  <si>
    <t>Analizando la forma del histograma, mis mejores candidatos para generar la hipotesis son</t>
  </si>
  <si>
    <t>las siguientes distribuciones: Poisson, uniforme, Binomial</t>
  </si>
  <si>
    <t>las siguientes distribuciones: Exponencial, Chi-Square,Gamma , Log-Normal</t>
  </si>
  <si>
    <t>Calculo  el parametro λ  usado en la dist. Exponencial y en Excel (formula)</t>
  </si>
  <si>
    <t xml:space="preserve">              Probabilidad de poisson (λ=</t>
  </si>
  <si>
    <t>Tambien se puede usar esta formula para calcular la prob. Acumulada.</t>
  </si>
  <si>
    <t>Lo que estoy utilizando es la funcion de excel Distr.exp (x, λ,acum).</t>
  </si>
  <si>
    <t xml:space="preserve">Se plantea el siguiente escenario del sistema real bajo estudio (se realizan </t>
  </si>
  <si>
    <t>Sistema durante hora pico</t>
  </si>
  <si>
    <t>Representación del sistema bajo estudio</t>
  </si>
  <si>
    <t>Aclaracion: Solo voy a brindar informacion para facilitar  la toma de desiciones para acotar la incertidumbre la situación</t>
  </si>
  <si>
    <t>Variables del sistema</t>
  </si>
  <si>
    <t xml:space="preserve">Variables discretas </t>
  </si>
  <si>
    <t>Variables continuas</t>
  </si>
  <si>
    <t>Tiempo entre arribo de clientes al sistema</t>
  </si>
  <si>
    <t>Tiempo promedio  espera en cola  de atención  i  con i = [1,2]</t>
  </si>
  <si>
    <t>Tiempo promedio de atención en puesto de atención i con i = [1,2]</t>
  </si>
  <si>
    <t>Tiempo promedio dentro del sistema</t>
  </si>
  <si>
    <t>Los valores de estas variables en relación al momento de interés del este estudio de simulación o sea los días sábados de 17hs a 20hs</t>
  </si>
  <si>
    <t xml:space="preserve">Cantidad de vehículos(autos,camionetas) de clientes que están </t>
  </si>
  <si>
    <t xml:space="preserve">     estacionados en el estacionamiento del sistema.</t>
  </si>
  <si>
    <t xml:space="preserve">Cantidad de puestos de atención prestando servicio </t>
  </si>
  <si>
    <t xml:space="preserve">Cantidad de clientes ingresaron al sistema </t>
  </si>
  <si>
    <t>Estado del sistema:</t>
  </si>
  <si>
    <t>Sistema cerrado y vacío.</t>
  </si>
  <si>
    <t>Sistema abierto y vacío.</t>
  </si>
  <si>
    <t>Sistema cerrado con clientes.</t>
  </si>
  <si>
    <t>Sistema abierto con clientes.</t>
  </si>
  <si>
    <t>Las variables seleccionadas estan marcadas en verde, en la hoja de excel "Actividad 1" se detallan toda la informacion solicitada en la consigna.</t>
  </si>
  <si>
    <t xml:space="preserve">Eventos actuales: 
</t>
  </si>
  <si>
    <t xml:space="preserve">Llegada de un cliente
</t>
  </si>
  <si>
    <t>Salida de un cliente</t>
  </si>
  <si>
    <t>Eventos futuros:</t>
  </si>
  <si>
    <t>Llegada de un cliente.</t>
  </si>
  <si>
    <t>Salida de un cliente.</t>
  </si>
  <si>
    <t>EVENTOS</t>
  </si>
  <si>
    <t>RECURSOS</t>
  </si>
  <si>
    <t>Caja registradora</t>
  </si>
  <si>
    <t>Cajero</t>
  </si>
  <si>
    <t>Posnet</t>
  </si>
  <si>
    <t>Sistema de control de stock</t>
  </si>
  <si>
    <t>lector de codigo de barras</t>
  </si>
  <si>
    <t>Elementos de protección y limpieza (barbijo,alcohol en gel, lavandina, paños)</t>
  </si>
  <si>
    <t>RELOJ RELATIVO:</t>
  </si>
  <si>
    <t>Cómo estoy estudiando un evento particular (hora pico del supermercado Bambi)</t>
  </si>
  <si>
    <t xml:space="preserve">supongo que el inicio del reloj relativo está asociado al inicio de la hora pico 17hs </t>
  </si>
  <si>
    <t xml:space="preserve">  autos o camionetas  en las calles aledañas proximas y de los cuales bajan </t>
  </si>
  <si>
    <t>La observacion comenzo a las 17:00 am y  cada intervalo</t>
  </si>
  <si>
    <t>que estacionan en las calles aledañas al local comercial bajo estudio, registrandose</t>
  </si>
  <si>
    <t>detalle del sistema con todos sus elementos.</t>
  </si>
  <si>
    <t xml:space="preserve">Sistema de interes: En la hoja de excel "Sistema" se puede ver el </t>
  </si>
  <si>
    <t>Procedimiento (tomado del libro de Simulación y analisis de sistemas con Promodel 2ed; Garcia Eduardo, E. Garcia Reyes  H. )</t>
  </si>
  <si>
    <t>Procedimiento (tomado del libro de Simulación y analisis de sistemas con Promodel 2ed; Garcia Eduardo, E. Garcia Reyes  H.)</t>
  </si>
  <si>
    <t>Analizando la forma del histograma y comparandolas con las formas de distribuciones</t>
  </si>
  <si>
    <t>de probabalidad que se asemejan a esta, mis mejores candidatos para generar la hipotesis son</t>
  </si>
  <si>
    <t>Si la prueba de Chi-cuadrada rechaza esta distribución, buscare otra distribución de probabilidad que se asemeje</t>
  </si>
  <si>
    <t>a la forma del histograma hasta encontrar aquella que la prueba indique que no se pueda rechaza.</t>
  </si>
  <si>
    <t>5.Frecuencia esperada=Ei=n*p(x)</t>
  </si>
  <si>
    <r>
      <t xml:space="preserve">7.Determinar el valor crítico de la prueba, </t>
    </r>
    <r>
      <rPr>
        <b/>
        <sz val="11"/>
        <color theme="1"/>
        <rFont val="Calibri"/>
        <family val="2"/>
        <scheme val="minor"/>
      </rPr>
      <t xml:space="preserve">Xα ,m-k-1  = X0,05; 6 -1-1 </t>
    </r>
  </si>
  <si>
    <t>Si bien existian otras variables interesantes requerian realizar las observaciones dentro del local, por seguridad (pandemia), seleccione aquellas</t>
  </si>
  <si>
    <t>que me permitian estar registrar los datos desde la distancia.</t>
  </si>
  <si>
    <t>Resultados alcanzados.</t>
  </si>
  <si>
    <t>Resultados alcanzados</t>
  </si>
  <si>
    <t>para dia sabado n durante la hora pico.</t>
  </si>
  <si>
    <t>Si tomamos una muestra con n=40 de los valores generados por variable aleatoria esto me permite simular el comportamiento los tiempos entre arribo de los clientes que llegan al sistema bajo estudio para un sabado n</t>
  </si>
  <si>
    <t>durante la hora pico.</t>
  </si>
  <si>
    <t>a la forma del histograma hasta encontrar aquella prueba que indique que no se pueda rechaza.</t>
  </si>
  <si>
    <t>durante el intervalo X=10 de tiempo establecido. Como se ven en las imágenes de ejemplo siguientes:</t>
  </si>
  <si>
    <t>de tiempo establecido fue de 10 minutos en los cuales</t>
  </si>
  <si>
    <t>personas que ingresan al local comercial bajo estudio. Los cuales seran registrados en el intervalo X=10 min de tiempo establecido.</t>
  </si>
  <si>
    <t>17:00:00-17:09:59</t>
  </si>
  <si>
    <t>17:20:00-17:29:59</t>
  </si>
  <si>
    <t>17:30:00-17:39:59</t>
  </si>
  <si>
    <t>17:40:00-17:49:59</t>
  </si>
  <si>
    <t>17:50:00-17:59:59</t>
  </si>
  <si>
    <t>18:00:00-18:09:59</t>
  </si>
  <si>
    <t>18:10:00-18:19:59</t>
  </si>
  <si>
    <t>18:20:00-18:29:59</t>
  </si>
  <si>
    <t>18:30:00-18:39:59</t>
  </si>
  <si>
    <t>18:40:00-18:49:59</t>
  </si>
  <si>
    <t>18:50:00-18:59:59</t>
  </si>
  <si>
    <t>19:00:00-19:09:59</t>
  </si>
  <si>
    <t>19:10:00-19:19:59</t>
  </si>
  <si>
    <t>19:20:00-19:29:59</t>
  </si>
  <si>
    <t>17:10:00-17:19:59</t>
  </si>
  <si>
    <t xml:space="preserve">el mismo intervalo de tiempo de 17:00 a 19:30:00. Aproximadamente durante </t>
  </si>
  <si>
    <t>2:30 hs de  observacion.</t>
  </si>
  <si>
    <t>problemática, la cual sera interpretada por el tomador de las decisiones con su conocimiento del negocio para tomar una decisión.</t>
  </si>
  <si>
    <t>suposiciones a partir de los observaciones realizadas del sistema desde el punto de vista de un cliente habitual)</t>
  </si>
  <si>
    <t>(primer evento) y el final de la hora pico 19:30hs (segundo evento).</t>
  </si>
  <si>
    <t xml:space="preserve">Se considera vehículos estacionados  validos y por lo tanto sujetos al registro,  a todos aquellos </t>
  </si>
  <si>
    <t xml:space="preserve">Punto b. Realizar  la  recolección de  datos del  comportamiento  de  dichas variables aleatorias. </t>
  </si>
  <si>
    <t>Cantidad de vehículo  estacionados de clientes [CVEC]</t>
  </si>
  <si>
    <t>cantidad de vehículos estacionados de clientes</t>
  </si>
  <si>
    <t>[vehículos estacionados de clientes/10min]</t>
  </si>
  <si>
    <t xml:space="preserve"> Esta variable aleatoria discreta representa la cantidad de vehículos (autos o camionetas) observados </t>
  </si>
  <si>
    <t>la cantidad observada cada X=10 minutos. La unidad de esta variable es  [vehículos estacionados de clientes/10min].</t>
  </si>
  <si>
    <t>Para la variable discreta vehículos estacionados simplemente se utiliza la aplicación ThingCounter para</t>
  </si>
  <si>
    <t>poder crear contadores para registrar los vehículos que estacionanen el local comercial bajo estudio</t>
  </si>
  <si>
    <t xml:space="preserve">se registraron la mayor cantidad vehículos(camionetas y autos) estacionados </t>
  </si>
  <si>
    <t>Observacion de vehículos estacionados durante el intervalo seleccionado</t>
  </si>
  <si>
    <t>Soy consciente de que se requieren muchisimas más observaciones de esta variable discreta (vehículos estacionados) .</t>
  </si>
  <si>
    <t>4. A partir de la media 3,76 vehículos estacionados/10 min se establece la siguiete hipotesis:</t>
  </si>
  <si>
    <t>H0 = Distribución Poisson (λ=4) ( 4 vehículos estacionados/10min)</t>
  </si>
  <si>
    <t>vehículos estacionados</t>
  </si>
  <si>
    <t>con una media de 4 vehículos estacionados de clientes cada 10 min.</t>
  </si>
  <si>
    <t>hipotesis de que la variable aleatoria se comporta de acuerdo con una distribución de Poisson, con una media de 4 vehículos estacionados de clientes cada 10 min.</t>
  </si>
  <si>
    <t>La unidad de esta variable es  [vehículos estacionados de clientes/10min].</t>
  </si>
  <si>
    <t>Distribución de Poisson con una media de 4 vehículos estacionados de clientes/10 min</t>
  </si>
  <si>
    <t>Sabiendo que existe una media de 4 vehículos estacionados de clientes cada 10 min. Se generan valores a partir de la variable aleatoria para simular los vehículos  estacionados en el estacionamiento.</t>
  </si>
  <si>
    <t>Si tomamos una muestra n=15 de los valores generados por la variable aleatoria esto me permite simular el comportamiento  de la cantidad de vehículos estacionados de los clientes/10 min</t>
  </si>
  <si>
    <t>x = cantidad de vehículos estacionados</t>
  </si>
  <si>
    <t>Cantidad de Vehículos estacionados [CVEC]</t>
  </si>
  <si>
    <t>Método de la transformada inversa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</si>
</sst>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2"/>
      <color theme="3"/>
      <name val="Calibri Light"/>
      <family val="2"/>
      <scheme val="major"/>
    </font>
    <font>
      <b/>
      <sz val="14"/>
      <color rgb="FFFA7D00"/>
      <name val="Calibri"/>
      <family val="2"/>
      <scheme val="minor"/>
    </font>
    <font>
      <sz val="11"/>
      <color theme="1"/>
      <name val="Calibri"/>
      <family val="2"/>
    </font>
    <font>
      <sz val="8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8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rgb="FF3F3F3F"/>
      </right>
      <top/>
      <bottom/>
      <diagonal/>
    </border>
    <border>
      <left style="double">
        <color rgb="FF3F3F3F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1" fillId="12" borderId="0" applyNumberFormat="0" applyBorder="0" applyAlignment="0" applyProtection="0"/>
    <xf numFmtId="0" fontId="12" fillId="3" borderId="1" applyNumberFormat="0" applyAlignment="0" applyProtection="0"/>
    <xf numFmtId="0" fontId="13" fillId="13" borderId="9" applyNumberFormat="0" applyAlignment="0" applyProtection="0"/>
    <xf numFmtId="0" fontId="1" fillId="14" borderId="0" applyNumberFormat="0" applyBorder="0" applyAlignment="0" applyProtection="0"/>
    <xf numFmtId="0" fontId="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5" borderId="1" applyNumberFormat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</cellStyleXfs>
  <cellXfs count="560">
    <xf numFmtId="0" fontId="0" fillId="0" borderId="0" xfId="0"/>
    <xf numFmtId="21" fontId="0" fillId="0" borderId="0" xfId="0" applyNumberFormat="1"/>
    <xf numFmtId="0" fontId="0" fillId="0" borderId="0" xfId="0" applyAlignment="1"/>
    <xf numFmtId="0" fontId="3" fillId="3" borderId="2" xfId="2" applyAlignment="1">
      <alignment horizontal="center"/>
    </xf>
    <xf numFmtId="21" fontId="3" fillId="3" borderId="2" xfId="2" applyNumberFormat="1" applyAlignment="1">
      <alignment horizontal="center"/>
    </xf>
    <xf numFmtId="0" fontId="2" fillId="2" borderId="2" xfId="1" applyBorder="1" applyAlignment="1">
      <alignment horizontal="center"/>
    </xf>
    <xf numFmtId="21" fontId="1" fillId="8" borderId="2" xfId="7" applyNumberFormat="1" applyBorder="1" applyAlignment="1">
      <alignment horizontal="center"/>
    </xf>
    <xf numFmtId="0" fontId="1" fillId="7" borderId="0" xfId="6"/>
    <xf numFmtId="0" fontId="1" fillId="5" borderId="2" xfId="4" applyBorder="1" applyAlignment="1">
      <alignment horizontal="center"/>
    </xf>
    <xf numFmtId="0" fontId="1" fillId="6" borderId="0" xfId="5"/>
    <xf numFmtId="0" fontId="1" fillId="6" borderId="4" xfId="5" applyBorder="1" applyAlignment="1">
      <alignment horizontal="left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13" fillId="13" borderId="15" xfId="17" applyBorder="1"/>
    <xf numFmtId="0" fontId="13" fillId="13" borderId="16" xfId="17" applyBorder="1" applyAlignment="1">
      <alignment horizontal="center"/>
    </xf>
    <xf numFmtId="0" fontId="0" fillId="0" borderId="5" xfId="0" applyBorder="1" applyAlignment="1">
      <alignment horizontal="center"/>
    </xf>
    <xf numFmtId="0" fontId="13" fillId="13" borderId="19" xfId="17" applyBorder="1" applyAlignment="1">
      <alignment horizontal="center"/>
    </xf>
    <xf numFmtId="0" fontId="13" fillId="13" borderId="20" xfId="17" applyBorder="1" applyAlignment="1">
      <alignment horizontal="center"/>
    </xf>
    <xf numFmtId="0" fontId="2" fillId="2" borderId="21" xfId="1" applyBorder="1" applyAlignment="1">
      <alignment horizontal="center"/>
    </xf>
    <xf numFmtId="0" fontId="2" fillId="2" borderId="22" xfId="1" applyBorder="1" applyAlignment="1">
      <alignment horizontal="center"/>
    </xf>
    <xf numFmtId="0" fontId="4" fillId="15" borderId="25" xfId="19" applyBorder="1" applyAlignment="1">
      <alignment horizontal="center"/>
    </xf>
    <xf numFmtId="0" fontId="12" fillId="3" borderId="28" xfId="16" applyBorder="1" applyAlignment="1">
      <alignment horizontal="center"/>
    </xf>
    <xf numFmtId="0" fontId="2" fillId="2" borderId="29" xfId="1" applyBorder="1" applyAlignment="1">
      <alignment horizontal="center"/>
    </xf>
    <xf numFmtId="0" fontId="2" fillId="2" borderId="30" xfId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0" fillId="0" borderId="32" xfId="0" applyBorder="1" applyAlignment="1">
      <alignment horizontal="center"/>
    </xf>
    <xf numFmtId="10" fontId="12" fillId="3" borderId="33" xfId="16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2" borderId="20" xfId="1" applyBorder="1" applyAlignment="1">
      <alignment horizontal="center"/>
    </xf>
    <xf numFmtId="0" fontId="2" fillId="2" borderId="19" xfId="1" applyBorder="1" applyAlignment="1">
      <alignment horizontal="center"/>
    </xf>
    <xf numFmtId="0" fontId="2" fillId="2" borderId="32" xfId="1" applyBorder="1" applyAlignment="1">
      <alignment horizontal="center"/>
    </xf>
    <xf numFmtId="0" fontId="12" fillId="3" borderId="33" xfId="16" applyBorder="1" applyAlignment="1">
      <alignment horizontal="center"/>
    </xf>
    <xf numFmtId="0" fontId="11" fillId="12" borderId="19" xfId="15" applyBorder="1" applyAlignment="1">
      <alignment horizontal="center"/>
    </xf>
    <xf numFmtId="164" fontId="4" fillId="10" borderId="32" xfId="9" applyNumberFormat="1" applyBorder="1" applyAlignment="1">
      <alignment horizontal="center"/>
    </xf>
    <xf numFmtId="0" fontId="12" fillId="3" borderId="33" xfId="16" applyNumberFormat="1" applyBorder="1" applyAlignment="1">
      <alignment horizontal="center"/>
    </xf>
    <xf numFmtId="0" fontId="2" fillId="2" borderId="17" xfId="1" applyBorder="1" applyAlignment="1">
      <alignment horizontal="center"/>
    </xf>
    <xf numFmtId="0" fontId="2" fillId="2" borderId="18" xfId="1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12" fillId="3" borderId="35" xfId="16" applyBorder="1" applyAlignment="1">
      <alignment horizontal="center"/>
    </xf>
    <xf numFmtId="0" fontId="12" fillId="3" borderId="36" xfId="16" applyNumberFormat="1" applyBorder="1" applyAlignment="1">
      <alignment horizontal="center"/>
    </xf>
    <xf numFmtId="0" fontId="2" fillId="2" borderId="0" xfId="1" applyBorder="1" applyAlignment="1">
      <alignment horizontal="left"/>
    </xf>
    <xf numFmtId="0" fontId="2" fillId="2" borderId="32" xfId="1" applyBorder="1" applyAlignment="1">
      <alignment horizontal="left"/>
    </xf>
    <xf numFmtId="0" fontId="2" fillId="2" borderId="37" xfId="1" applyBorder="1" applyAlignment="1"/>
    <xf numFmtId="0" fontId="2" fillId="2" borderId="0" xfId="1" applyBorder="1" applyAlignment="1"/>
    <xf numFmtId="0" fontId="2" fillId="2" borderId="32" xfId="1" applyBorder="1"/>
    <xf numFmtId="0" fontId="2" fillId="2" borderId="19" xfId="1" applyBorder="1"/>
    <xf numFmtId="0" fontId="2" fillId="2" borderId="0" xfId="1" applyBorder="1"/>
    <xf numFmtId="0" fontId="4" fillId="10" borderId="32" xfId="9" applyBorder="1" applyAlignment="1">
      <alignment horizontal="center"/>
    </xf>
    <xf numFmtId="0" fontId="0" fillId="0" borderId="18" xfId="0" applyBorder="1" applyAlignment="1">
      <alignment horizontal="center"/>
    </xf>
    <xf numFmtId="0" fontId="2" fillId="2" borderId="17" xfId="1" applyBorder="1"/>
    <xf numFmtId="0" fontId="2" fillId="2" borderId="37" xfId="1" applyBorder="1"/>
    <xf numFmtId="0" fontId="2" fillId="2" borderId="18" xfId="1" applyBorder="1"/>
    <xf numFmtId="0" fontId="2" fillId="2" borderId="32" xfId="1" applyBorder="1" applyAlignment="1"/>
    <xf numFmtId="0" fontId="1" fillId="16" borderId="26" xfId="20" applyBorder="1" applyAlignment="1">
      <alignment horizontal="center"/>
    </xf>
    <xf numFmtId="0" fontId="1" fillId="16" borderId="34" xfId="20" applyBorder="1" applyAlignment="1">
      <alignment horizontal="center"/>
    </xf>
    <xf numFmtId="0" fontId="0" fillId="0" borderId="43" xfId="0" applyBorder="1"/>
    <xf numFmtId="0" fontId="1" fillId="16" borderId="39" xfId="20" applyBorder="1" applyAlignment="1">
      <alignment horizontal="center"/>
    </xf>
    <xf numFmtId="164" fontId="1" fillId="16" borderId="40" xfId="20" applyNumberFormat="1" applyBorder="1" applyAlignment="1">
      <alignment horizontal="center"/>
    </xf>
    <xf numFmtId="0" fontId="1" fillId="9" borderId="44" xfId="8" applyBorder="1" applyAlignment="1">
      <alignment horizontal="center"/>
    </xf>
    <xf numFmtId="0" fontId="1" fillId="9" borderId="45" xfId="8" applyBorder="1"/>
    <xf numFmtId="0" fontId="1" fillId="9" borderId="46" xfId="8" applyBorder="1"/>
    <xf numFmtId="0" fontId="0" fillId="0" borderId="34" xfId="0" applyBorder="1"/>
    <xf numFmtId="0" fontId="0" fillId="0" borderId="14" xfId="0" applyBorder="1"/>
    <xf numFmtId="0" fontId="0" fillId="0" borderId="47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11" borderId="19" xfId="10" applyBorder="1" applyAlignment="1">
      <alignment horizontal="center"/>
    </xf>
    <xf numFmtId="0" fontId="1" fillId="11" borderId="0" xfId="10" applyBorder="1" applyAlignment="1">
      <alignment horizontal="center"/>
    </xf>
    <xf numFmtId="0" fontId="1" fillId="18" borderId="6" xfId="22" applyBorder="1" applyAlignment="1">
      <alignment horizontal="center"/>
    </xf>
    <xf numFmtId="0" fontId="1" fillId="14" borderId="0" xfId="18" applyBorder="1" applyAlignment="1">
      <alignment horizontal="right"/>
    </xf>
    <xf numFmtId="0" fontId="1" fillId="14" borderId="32" xfId="18" applyBorder="1" applyAlignment="1">
      <alignment horizontal="left"/>
    </xf>
    <xf numFmtId="0" fontId="1" fillId="5" borderId="5" xfId="4" applyBorder="1"/>
    <xf numFmtId="0" fontId="1" fillId="5" borderId="5" xfId="4" applyBorder="1" applyAlignment="1">
      <alignment horizontal="center"/>
    </xf>
    <xf numFmtId="0" fontId="2" fillId="2" borderId="19" xfId="1" applyBorder="1" applyAlignment="1">
      <alignment horizontal="left"/>
    </xf>
    <xf numFmtId="0" fontId="1" fillId="18" borderId="34" xfId="22" applyBorder="1"/>
    <xf numFmtId="0" fontId="1" fillId="18" borderId="14" xfId="22" applyBorder="1"/>
    <xf numFmtId="0" fontId="1" fillId="18" borderId="19" xfId="22" applyBorder="1"/>
    <xf numFmtId="0" fontId="1" fillId="18" borderId="0" xfId="22" applyBorder="1"/>
    <xf numFmtId="0" fontId="1" fillId="18" borderId="17" xfId="22" applyBorder="1"/>
    <xf numFmtId="0" fontId="1" fillId="18" borderId="37" xfId="22" applyBorder="1"/>
    <xf numFmtId="0" fontId="1" fillId="18" borderId="49" xfId="22" applyBorder="1" applyAlignment="1">
      <alignment horizontal="center"/>
    </xf>
    <xf numFmtId="0" fontId="1" fillId="18" borderId="49" xfId="22" applyNumberFormat="1" applyBorder="1" applyAlignment="1">
      <alignment horizontal="center"/>
    </xf>
    <xf numFmtId="0" fontId="1" fillId="18" borderId="37" xfId="22" applyBorder="1" applyAlignment="1">
      <alignment horizontal="center"/>
    </xf>
    <xf numFmtId="0" fontId="1" fillId="18" borderId="18" xfId="22" applyBorder="1" applyAlignment="1">
      <alignment horizontal="center"/>
    </xf>
    <xf numFmtId="0" fontId="1" fillId="8" borderId="6" xfId="7" applyBorder="1" applyAlignment="1">
      <alignment horizontal="center"/>
    </xf>
    <xf numFmtId="0" fontId="1" fillId="17" borderId="6" xfId="21" applyBorder="1" applyAlignment="1">
      <alignment horizontal="center"/>
    </xf>
    <xf numFmtId="0" fontId="1" fillId="7" borderId="5" xfId="6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1" fillId="17" borderId="5" xfId="21" applyBorder="1" applyAlignment="1">
      <alignment horizontal="center"/>
    </xf>
    <xf numFmtId="0" fontId="2" fillId="2" borderId="5" xfId="1" applyBorder="1" applyAlignment="1">
      <alignment horizontal="center"/>
    </xf>
    <xf numFmtId="0" fontId="1" fillId="11" borderId="0" xfId="10" applyBorder="1"/>
    <xf numFmtId="0" fontId="12" fillId="3" borderId="1" xfId="16" applyAlignment="1">
      <alignment horizontal="center"/>
    </xf>
    <xf numFmtId="0" fontId="13" fillId="10" borderId="10" xfId="9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13" fillId="13" borderId="5" xfId="17" applyBorder="1"/>
    <xf numFmtId="0" fontId="13" fillId="13" borderId="49" xfId="17" applyBorder="1"/>
    <xf numFmtId="0" fontId="0" fillId="0" borderId="49" xfId="0" applyBorder="1"/>
    <xf numFmtId="0" fontId="0" fillId="0" borderId="55" xfId="0" applyBorder="1" applyAlignment="1">
      <alignment horizontal="center"/>
    </xf>
    <xf numFmtId="0" fontId="12" fillId="3" borderId="1" xfId="16"/>
    <xf numFmtId="0" fontId="14" fillId="0" borderId="5" xfId="0" applyFont="1" applyBorder="1" applyAlignment="1">
      <alignment horizontal="center"/>
    </xf>
    <xf numFmtId="0" fontId="14" fillId="0" borderId="5" xfId="0" applyFont="1" applyBorder="1"/>
    <xf numFmtId="0" fontId="5" fillId="2" borderId="57" xfId="11" applyFill="1" applyBorder="1" applyAlignment="1">
      <alignment horizontal="center"/>
    </xf>
    <xf numFmtId="0" fontId="12" fillId="3" borderId="5" xfId="16" applyBorder="1" applyAlignment="1">
      <alignment horizontal="center"/>
    </xf>
    <xf numFmtId="0" fontId="12" fillId="3" borderId="56" xfId="16" applyBorder="1" applyAlignment="1">
      <alignment horizontal="center"/>
    </xf>
    <xf numFmtId="0" fontId="5" fillId="2" borderId="58" xfId="1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56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0" fontId="2" fillId="2" borderId="59" xfId="1" applyBorder="1" applyAlignment="1">
      <alignment horizontal="center"/>
    </xf>
    <xf numFmtId="0" fontId="2" fillId="2" borderId="60" xfId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0" fontId="4" fillId="10" borderId="37" xfId="9" applyNumberFormat="1" applyBorder="1" applyAlignment="1">
      <alignment horizontal="left"/>
    </xf>
    <xf numFmtId="0" fontId="4" fillId="10" borderId="37" xfId="9" applyBorder="1" applyAlignment="1"/>
    <xf numFmtId="0" fontId="1" fillId="16" borderId="40" xfId="20" applyBorder="1" applyAlignment="1">
      <alignment horizontal="center"/>
    </xf>
    <xf numFmtId="0" fontId="1" fillId="5" borderId="52" xfId="4" applyBorder="1" applyAlignment="1">
      <alignment horizontal="center"/>
    </xf>
    <xf numFmtId="0" fontId="1" fillId="5" borderId="53" xfId="4" applyBorder="1"/>
    <xf numFmtId="0" fontId="0" fillId="0" borderId="62" xfId="0" applyBorder="1" applyAlignment="1">
      <alignment horizontal="center"/>
    </xf>
    <xf numFmtId="0" fontId="4" fillId="10" borderId="19" xfId="9" applyBorder="1" applyAlignment="1">
      <alignment horizontal="center"/>
    </xf>
    <xf numFmtId="0" fontId="4" fillId="10" borderId="0" xfId="9" applyBorder="1" applyAlignment="1">
      <alignment horizontal="center"/>
    </xf>
    <xf numFmtId="0" fontId="1" fillId="18" borderId="5" xfId="22" applyBorder="1" applyAlignment="1">
      <alignment horizontal="center"/>
    </xf>
    <xf numFmtId="0" fontId="0" fillId="0" borderId="18" xfId="0" applyBorder="1"/>
    <xf numFmtId="0" fontId="1" fillId="11" borderId="0" xfId="10" applyAlignment="1">
      <alignment horizontal="center"/>
    </xf>
    <xf numFmtId="0" fontId="0" fillId="0" borderId="40" xfId="0" applyBorder="1" applyAlignment="1">
      <alignment horizontal="left"/>
    </xf>
    <xf numFmtId="0" fontId="0" fillId="0" borderId="17" xfId="0" applyBorder="1"/>
    <xf numFmtId="0" fontId="0" fillId="0" borderId="20" xfId="0" applyBorder="1"/>
    <xf numFmtId="0" fontId="0" fillId="0" borderId="58" xfId="0" applyBorder="1"/>
    <xf numFmtId="0" fontId="21" fillId="0" borderId="32" xfId="0" applyFont="1" applyBorder="1" applyAlignment="1">
      <alignment vertical="center"/>
    </xf>
    <xf numFmtId="0" fontId="1" fillId="11" borderId="0" xfId="10" applyAlignment="1"/>
    <xf numFmtId="0" fontId="1" fillId="11" borderId="5" xfId="10" applyBorder="1"/>
    <xf numFmtId="0" fontId="1" fillId="11" borderId="0" xfId="10" applyAlignment="1">
      <alignment horizontal="right" indent="3"/>
    </xf>
    <xf numFmtId="0" fontId="0" fillId="0" borderId="37" xfId="0" applyBorder="1"/>
    <xf numFmtId="0" fontId="14" fillId="0" borderId="1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" fillId="9" borderId="5" xfId="8" applyBorder="1" applyAlignment="1">
      <alignment horizontal="center"/>
    </xf>
    <xf numFmtId="21" fontId="0" fillId="0" borderId="5" xfId="0" applyNumberForma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0" fillId="0" borderId="40" xfId="0" applyBorder="1"/>
    <xf numFmtId="0" fontId="0" fillId="0" borderId="39" xfId="0" applyBorder="1" applyAlignment="1">
      <alignment horizontal="right"/>
    </xf>
    <xf numFmtId="0" fontId="1" fillId="22" borderId="5" xfId="25" applyBorder="1" applyAlignment="1">
      <alignment horizontal="right"/>
    </xf>
    <xf numFmtId="0" fontId="1" fillId="11" borderId="0" xfId="1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11" borderId="6" xfId="10" applyBorder="1" applyAlignment="1">
      <alignment horizontal="right"/>
    </xf>
    <xf numFmtId="0" fontId="1" fillId="11" borderId="62" xfId="10" applyBorder="1"/>
    <xf numFmtId="0" fontId="1" fillId="11" borderId="20" xfId="10" applyBorder="1"/>
    <xf numFmtId="0" fontId="0" fillId="0" borderId="70" xfId="0" applyBorder="1" applyAlignment="1">
      <alignment horizontal="center"/>
    </xf>
    <xf numFmtId="0" fontId="1" fillId="11" borderId="0" xfId="10" applyBorder="1" applyAlignment="1"/>
    <xf numFmtId="0" fontId="1" fillId="7" borderId="0" xfId="6" applyBorder="1" applyAlignment="1">
      <alignment horizontal="right"/>
    </xf>
    <xf numFmtId="0" fontId="1" fillId="7" borderId="0" xfId="6" applyBorder="1"/>
    <xf numFmtId="0" fontId="14" fillId="0" borderId="43" xfId="0" applyFont="1" applyBorder="1"/>
    <xf numFmtId="0" fontId="14" fillId="0" borderId="63" xfId="0" applyFont="1" applyBorder="1"/>
    <xf numFmtId="0" fontId="0" fillId="0" borderId="20" xfId="0" applyFill="1" applyBorder="1"/>
    <xf numFmtId="0" fontId="14" fillId="0" borderId="20" xfId="0" applyFont="1" applyFill="1" applyBorder="1"/>
    <xf numFmtId="0" fontId="0" fillId="0" borderId="58" xfId="0" applyFill="1" applyBorder="1"/>
    <xf numFmtId="0" fontId="22" fillId="0" borderId="0" xfId="0" applyFont="1" applyAlignment="1"/>
    <xf numFmtId="0" fontId="22" fillId="0" borderId="0" xfId="0" applyFont="1"/>
    <xf numFmtId="164" fontId="0" fillId="0" borderId="68" xfId="0" applyNumberFormat="1" applyBorder="1" applyAlignment="1">
      <alignment horizontal="center"/>
    </xf>
    <xf numFmtId="164" fontId="0" fillId="0" borderId="56" xfId="0" applyNumberFormat="1" applyBorder="1" applyAlignment="1">
      <alignment horizontal="center"/>
    </xf>
    <xf numFmtId="0" fontId="4" fillId="15" borderId="5" xfId="19" applyBorder="1" applyAlignment="1">
      <alignment horizontal="center"/>
    </xf>
    <xf numFmtId="0" fontId="0" fillId="0" borderId="0" xfId="0" applyBorder="1"/>
    <xf numFmtId="0" fontId="0" fillId="0" borderId="32" xfId="0" applyBorder="1"/>
    <xf numFmtId="0" fontId="0" fillId="0" borderId="0" xfId="0"/>
    <xf numFmtId="0" fontId="1" fillId="7" borderId="0" xfId="6" applyAlignment="1"/>
    <xf numFmtId="0" fontId="14" fillId="11" borderId="5" xfId="10" applyFont="1" applyBorder="1" applyAlignment="1"/>
    <xf numFmtId="0" fontId="13" fillId="15" borderId="5" xfId="19" applyFont="1" applyBorder="1" applyAlignment="1">
      <alignment horizontal="center"/>
    </xf>
    <xf numFmtId="0" fontId="4" fillId="15" borderId="6" xfId="19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5" xfId="0" applyFont="1" applyBorder="1" applyAlignment="1"/>
    <xf numFmtId="0" fontId="24" fillId="2" borderId="5" xfId="1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164" fontId="22" fillId="0" borderId="5" xfId="0" applyNumberFormat="1" applyFont="1" applyBorder="1" applyAlignment="1"/>
    <xf numFmtId="0" fontId="22" fillId="0" borderId="5" xfId="0" applyFont="1" applyBorder="1" applyAlignment="1"/>
    <xf numFmtId="0" fontId="0" fillId="0" borderId="14" xfId="0" applyBorder="1"/>
    <xf numFmtId="0" fontId="14" fillId="0" borderId="0" xfId="0" applyFont="1" applyBorder="1" applyAlignment="1">
      <alignment horizontal="center"/>
    </xf>
    <xf numFmtId="0" fontId="0" fillId="24" borderId="0" xfId="0" applyFill="1" applyBorder="1"/>
    <xf numFmtId="0" fontId="1" fillId="8" borderId="5" xfId="7" applyBorder="1" applyAlignment="1">
      <alignment horizontal="center"/>
    </xf>
    <xf numFmtId="164" fontId="1" fillId="8" borderId="5" xfId="7" applyNumberFormat="1" applyBorder="1" applyAlignment="1">
      <alignment horizontal="center"/>
    </xf>
    <xf numFmtId="0" fontId="1" fillId="23" borderId="5" xfId="26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0" fillId="0" borderId="0" xfId="0" applyBorder="1" applyAlignment="1"/>
    <xf numFmtId="0" fontId="18" fillId="0" borderId="52" xfId="0" applyFont="1" applyBorder="1" applyAlignment="1">
      <alignment horizontal="center" vertical="center"/>
    </xf>
    <xf numFmtId="0" fontId="18" fillId="0" borderId="71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" fillId="11" borderId="67" xfId="10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0" fillId="0" borderId="32" xfId="0" applyBorder="1"/>
    <xf numFmtId="0" fontId="0" fillId="0" borderId="14" xfId="0" applyBorder="1"/>
    <xf numFmtId="0" fontId="1" fillId="11" borderId="6" xfId="10" applyBorder="1" applyAlignment="1">
      <alignment horizontal="center"/>
    </xf>
    <xf numFmtId="0" fontId="1" fillId="7" borderId="43" xfId="6" applyBorder="1"/>
    <xf numFmtId="0" fontId="14" fillId="11" borderId="5" xfId="10" applyFont="1" applyBorder="1" applyAlignment="1">
      <alignment horizontal="center"/>
    </xf>
    <xf numFmtId="0" fontId="14" fillId="11" borderId="71" xfId="10" applyFont="1" applyBorder="1" applyAlignment="1">
      <alignment horizontal="center"/>
    </xf>
    <xf numFmtId="0" fontId="14" fillId="11" borderId="55" xfId="10" applyFont="1" applyBorder="1" applyAlignment="1">
      <alignment horizontal="center"/>
    </xf>
    <xf numFmtId="0" fontId="1" fillId="8" borderId="0" xfId="7" applyBorder="1"/>
    <xf numFmtId="0" fontId="1" fillId="8" borderId="0" xfId="7" applyBorder="1" applyAlignment="1">
      <alignment horizontal="right"/>
    </xf>
    <xf numFmtId="0" fontId="1" fillId="16" borderId="6" xfId="20" applyBorder="1" applyAlignment="1">
      <alignment horizontal="center"/>
    </xf>
    <xf numFmtId="0" fontId="14" fillId="11" borderId="79" xfId="10" applyFont="1" applyBorder="1" applyAlignment="1">
      <alignment horizontal="center"/>
    </xf>
    <xf numFmtId="0" fontId="1" fillId="11" borderId="77" xfId="10" applyBorder="1" applyAlignment="1">
      <alignment horizontal="center"/>
    </xf>
    <xf numFmtId="0" fontId="18" fillId="0" borderId="54" xfId="0" applyFont="1" applyBorder="1" applyAlignment="1">
      <alignment horizontal="center"/>
    </xf>
    <xf numFmtId="0" fontId="18" fillId="0" borderId="55" xfId="0" applyFont="1" applyBorder="1" applyAlignment="1">
      <alignment horizontal="center"/>
    </xf>
    <xf numFmtId="0" fontId="25" fillId="25" borderId="1" xfId="27" applyNumberFormat="1" applyBorder="1" applyAlignment="1">
      <alignment horizontal="center"/>
    </xf>
    <xf numFmtId="0" fontId="0" fillId="0" borderId="19" xfId="0" applyBorder="1" applyAlignment="1"/>
    <xf numFmtId="0" fontId="0" fillId="0" borderId="32" xfId="0" applyBorder="1" applyAlignment="1"/>
    <xf numFmtId="0" fontId="1" fillId="27" borderId="19" xfId="29" applyBorder="1"/>
    <xf numFmtId="0" fontId="1" fillId="27" borderId="0" xfId="29" applyBorder="1"/>
    <xf numFmtId="0" fontId="1" fillId="27" borderId="17" xfId="29" applyBorder="1" applyAlignment="1"/>
    <xf numFmtId="0" fontId="1" fillId="27" borderId="37" xfId="29" applyBorder="1" applyAlignment="1"/>
    <xf numFmtId="0" fontId="22" fillId="0" borderId="34" xfId="0" applyFont="1" applyBorder="1" applyAlignment="1"/>
    <xf numFmtId="0" fontId="22" fillId="0" borderId="0" xfId="0" applyFont="1" applyBorder="1" applyAlignment="1"/>
    <xf numFmtId="0" fontId="22" fillId="0" borderId="19" xfId="0" applyFont="1" applyBorder="1" applyAlignment="1"/>
    <xf numFmtId="0" fontId="4" fillId="4" borderId="0" xfId="3" applyBorder="1" applyAlignment="1">
      <alignment horizontal="center"/>
    </xf>
    <xf numFmtId="0" fontId="4" fillId="4" borderId="0" xfId="3" applyBorder="1" applyAlignment="1">
      <alignment horizontal="left"/>
    </xf>
    <xf numFmtId="0" fontId="23" fillId="0" borderId="47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19" xfId="0" applyFont="1" applyBorder="1"/>
    <xf numFmtId="0" fontId="22" fillId="0" borderId="0" xfId="0" applyFont="1" applyBorder="1"/>
    <xf numFmtId="0" fontId="22" fillId="0" borderId="17" xfId="0" applyFont="1" applyBorder="1"/>
    <xf numFmtId="0" fontId="22" fillId="0" borderId="37" xfId="0" applyFont="1" applyBorder="1"/>
    <xf numFmtId="0" fontId="14" fillId="0" borderId="19" xfId="0" applyFont="1" applyFill="1" applyBorder="1"/>
    <xf numFmtId="0" fontId="4" fillId="4" borderId="52" xfId="3" applyBorder="1" applyAlignment="1">
      <alignment horizontal="center"/>
    </xf>
    <xf numFmtId="0" fontId="1" fillId="11" borderId="53" xfId="10" applyBorder="1" applyAlignment="1">
      <alignment horizontal="center"/>
    </xf>
    <xf numFmtId="0" fontId="0" fillId="0" borderId="0" xfId="0" applyBorder="1" applyAlignment="1">
      <alignment horizontal="center"/>
    </xf>
    <xf numFmtId="0" fontId="4" fillId="21" borderId="0" xfId="24" applyBorder="1" applyAlignment="1">
      <alignment horizontal="center"/>
    </xf>
    <xf numFmtId="0" fontId="14" fillId="11" borderId="5" xfId="10" applyFont="1" applyBorder="1" applyAlignment="1">
      <alignment horizontal="center"/>
    </xf>
    <xf numFmtId="0" fontId="1" fillId="11" borderId="5" xfId="10" applyBorder="1" applyAlignment="1">
      <alignment horizontal="center"/>
    </xf>
    <xf numFmtId="0" fontId="2" fillId="2" borderId="0" xfId="1" applyBorder="1" applyAlignment="1">
      <alignment horizontal="left"/>
    </xf>
    <xf numFmtId="0" fontId="0" fillId="0" borderId="0" xfId="0" applyBorder="1"/>
    <xf numFmtId="0" fontId="0" fillId="0" borderId="1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11" borderId="68" xfId="1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0" xfId="0" applyBorder="1" applyAlignment="1">
      <alignment horizontal="left"/>
    </xf>
    <xf numFmtId="0" fontId="4" fillId="4" borderId="2" xfId="3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13" xfId="0" applyBorder="1"/>
    <xf numFmtId="0" fontId="0" fillId="0" borderId="14" xfId="0" applyBorder="1"/>
    <xf numFmtId="0" fontId="0" fillId="0" borderId="19" xfId="0" applyBorder="1" applyAlignment="1">
      <alignment horizontal="center"/>
    </xf>
    <xf numFmtId="0" fontId="14" fillId="11" borderId="49" xfId="10" applyFont="1" applyBorder="1" applyAlignment="1">
      <alignment horizontal="center"/>
    </xf>
    <xf numFmtId="0" fontId="14" fillId="11" borderId="78" xfId="10" applyFont="1" applyBorder="1" applyAlignment="1">
      <alignment horizontal="center"/>
    </xf>
    <xf numFmtId="0" fontId="1" fillId="11" borderId="56" xfId="10" applyBorder="1" applyAlignment="1">
      <alignment horizontal="center"/>
    </xf>
    <xf numFmtId="0" fontId="0" fillId="0" borderId="0" xfId="0"/>
    <xf numFmtId="0" fontId="2" fillId="2" borderId="19" xfId="1" applyBorder="1"/>
    <xf numFmtId="0" fontId="2" fillId="2" borderId="0" xfId="1" applyBorder="1"/>
    <xf numFmtId="0" fontId="2" fillId="2" borderId="32" xfId="1" applyBorder="1"/>
    <xf numFmtId="0" fontId="1" fillId="16" borderId="19" xfId="20" applyBorder="1" applyAlignment="1"/>
    <xf numFmtId="0" fontId="1" fillId="16" borderId="0" xfId="20" applyBorder="1" applyAlignment="1"/>
    <xf numFmtId="0" fontId="1" fillId="16" borderId="19" xfId="20" applyBorder="1"/>
    <xf numFmtId="0" fontId="1" fillId="16" borderId="0" xfId="20" applyBorder="1"/>
    <xf numFmtId="2" fontId="4" fillId="15" borderId="6" xfId="19" applyNumberFormat="1" applyBorder="1" applyAlignment="1">
      <alignment horizontal="center"/>
    </xf>
    <xf numFmtId="0" fontId="29" fillId="15" borderId="0" xfId="19" applyFont="1" applyBorder="1" applyAlignment="1"/>
    <xf numFmtId="0" fontId="1" fillId="16" borderId="0" xfId="20" applyBorder="1" applyAlignment="1">
      <alignment horizontal="left"/>
    </xf>
    <xf numFmtId="0" fontId="14" fillId="11" borderId="79" xfId="10" applyFont="1" applyBorder="1" applyAlignment="1"/>
    <xf numFmtId="164" fontId="1" fillId="11" borderId="69" xfId="10" applyNumberFormat="1" applyBorder="1" applyAlignment="1">
      <alignment horizontal="center"/>
    </xf>
    <xf numFmtId="164" fontId="1" fillId="11" borderId="66" xfId="10" applyNumberFormat="1" applyBorder="1" applyAlignment="1">
      <alignment horizontal="center"/>
    </xf>
    <xf numFmtId="164" fontId="25" fillId="25" borderId="84" xfId="27" applyNumberFormat="1" applyBorder="1" applyAlignment="1">
      <alignment horizontal="center"/>
    </xf>
    <xf numFmtId="0" fontId="14" fillId="11" borderId="22" xfId="10" applyFont="1" applyBorder="1" applyAlignment="1">
      <alignment horizontal="center"/>
    </xf>
    <xf numFmtId="0" fontId="14" fillId="11" borderId="60" xfId="10" applyFont="1" applyBorder="1" applyAlignment="1">
      <alignment horizontal="center"/>
    </xf>
    <xf numFmtId="164" fontId="1" fillId="11" borderId="85" xfId="10" applyNumberFormat="1" applyBorder="1" applyAlignment="1">
      <alignment horizontal="center"/>
    </xf>
    <xf numFmtId="164" fontId="1" fillId="11" borderId="86" xfId="10" applyNumberFormat="1" applyBorder="1" applyAlignment="1">
      <alignment horizontal="center"/>
    </xf>
    <xf numFmtId="0" fontId="1" fillId="27" borderId="20" xfId="29" applyBorder="1"/>
    <xf numFmtId="0" fontId="1" fillId="27" borderId="58" xfId="29" applyBorder="1"/>
    <xf numFmtId="164" fontId="25" fillId="25" borderId="87" xfId="27" applyNumberFormat="1" applyBorder="1" applyAlignment="1">
      <alignment horizontal="center"/>
    </xf>
    <xf numFmtId="0" fontId="0" fillId="0" borderId="86" xfId="0" applyBorder="1"/>
    <xf numFmtId="0" fontId="14" fillId="11" borderId="56" xfId="10" applyFont="1" applyBorder="1" applyAlignment="1">
      <alignment horizontal="center"/>
    </xf>
    <xf numFmtId="0" fontId="14" fillId="11" borderId="66" xfId="10" applyFont="1" applyBorder="1" applyAlignment="1">
      <alignment horizontal="center"/>
    </xf>
    <xf numFmtId="0" fontId="14" fillId="11" borderId="67" xfId="10" applyFont="1" applyBorder="1" applyAlignment="1">
      <alignment horizontal="center"/>
    </xf>
    <xf numFmtId="0" fontId="1" fillId="17" borderId="0" xfId="21" applyBorder="1" applyAlignment="1">
      <alignment horizontal="center"/>
    </xf>
    <xf numFmtId="0" fontId="0" fillId="0" borderId="0" xfId="0" applyBorder="1" applyAlignment="1">
      <alignment horizontal="center"/>
    </xf>
    <xf numFmtId="0" fontId="1" fillId="11" borderId="0" xfId="10" applyBorder="1" applyAlignment="1">
      <alignment horizontal="center"/>
    </xf>
    <xf numFmtId="0" fontId="0" fillId="0" borderId="0" xfId="0"/>
    <xf numFmtId="0" fontId="4" fillId="10" borderId="13" xfId="9" applyBorder="1" applyAlignment="1">
      <alignment horizontal="center"/>
    </xf>
    <xf numFmtId="0" fontId="4" fillId="10" borderId="34" xfId="9" applyBorder="1" applyAlignment="1">
      <alignment horizontal="center"/>
    </xf>
    <xf numFmtId="0" fontId="4" fillId="10" borderId="14" xfId="9" applyBorder="1" applyAlignment="1">
      <alignment horizontal="center"/>
    </xf>
    <xf numFmtId="0" fontId="4" fillId="10" borderId="19" xfId="9" applyBorder="1" applyAlignment="1">
      <alignment horizontal="center"/>
    </xf>
    <xf numFmtId="0" fontId="4" fillId="10" borderId="0" xfId="9" applyBorder="1" applyAlignment="1">
      <alignment horizontal="center"/>
    </xf>
    <xf numFmtId="0" fontId="4" fillId="10" borderId="32" xfId="9" applyBorder="1" applyAlignment="1">
      <alignment horizontal="center"/>
    </xf>
    <xf numFmtId="0" fontId="4" fillId="10" borderId="17" xfId="9" applyBorder="1" applyAlignment="1">
      <alignment horizontal="center"/>
    </xf>
    <xf numFmtId="0" fontId="4" fillId="10" borderId="37" xfId="9" applyBorder="1" applyAlignment="1">
      <alignment horizontal="center"/>
    </xf>
    <xf numFmtId="0" fontId="4" fillId="10" borderId="18" xfId="9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  <xf numFmtId="0" fontId="14" fillId="11" borderId="53" xfId="10" applyFont="1" applyBorder="1" applyAlignment="1">
      <alignment horizontal="center"/>
    </xf>
    <xf numFmtId="0" fontId="14" fillId="11" borderId="81" xfId="10" applyFont="1" applyBorder="1" applyAlignment="1">
      <alignment horizontal="center"/>
    </xf>
    <xf numFmtId="0" fontId="14" fillId="11" borderId="49" xfId="10" applyFont="1" applyBorder="1" applyAlignment="1">
      <alignment horizontal="center"/>
    </xf>
    <xf numFmtId="0" fontId="14" fillId="11" borderId="82" xfId="10" applyFont="1" applyBorder="1" applyAlignment="1">
      <alignment horizontal="center"/>
    </xf>
    <xf numFmtId="0" fontId="14" fillId="11" borderId="78" xfId="10" applyFont="1" applyBorder="1" applyAlignment="1">
      <alignment horizontal="center"/>
    </xf>
    <xf numFmtId="0" fontId="0" fillId="0" borderId="0" xfId="0" applyBorder="1"/>
    <xf numFmtId="0" fontId="1" fillId="11" borderId="56" xfId="10" applyBorder="1" applyAlignment="1">
      <alignment horizontal="center"/>
    </xf>
    <xf numFmtId="0" fontId="1" fillId="11" borderId="66" xfId="10" applyBorder="1" applyAlignment="1">
      <alignment horizontal="center"/>
    </xf>
    <xf numFmtId="0" fontId="25" fillId="25" borderId="1" xfId="27" applyBorder="1" applyAlignment="1">
      <alignment horizontal="center"/>
    </xf>
    <xf numFmtId="0" fontId="25" fillId="25" borderId="83" xfId="27" applyBorder="1" applyAlignment="1">
      <alignment horizontal="center"/>
    </xf>
    <xf numFmtId="0" fontId="1" fillId="11" borderId="68" xfId="10" applyBorder="1" applyAlignment="1">
      <alignment horizontal="center"/>
    </xf>
    <xf numFmtId="0" fontId="1" fillId="11" borderId="69" xfId="10" applyBorder="1" applyAlignment="1">
      <alignment horizontal="center"/>
    </xf>
    <xf numFmtId="0" fontId="1" fillId="11" borderId="0" xfId="10" applyBorder="1" applyAlignment="1">
      <alignment horizontal="left"/>
    </xf>
    <xf numFmtId="0" fontId="2" fillId="2" borderId="17" xfId="1" applyBorder="1" applyAlignment="1">
      <alignment horizontal="left"/>
    </xf>
    <xf numFmtId="0" fontId="2" fillId="2" borderId="37" xfId="1" applyBorder="1" applyAlignment="1">
      <alignment horizontal="left"/>
    </xf>
    <xf numFmtId="0" fontId="2" fillId="2" borderId="18" xfId="1" applyBorder="1" applyAlignment="1">
      <alignment horizontal="left"/>
    </xf>
    <xf numFmtId="0" fontId="2" fillId="2" borderId="19" xfId="1" applyBorder="1" applyAlignment="1">
      <alignment horizontal="left"/>
    </xf>
    <xf numFmtId="0" fontId="2" fillId="2" borderId="0" xfId="1" applyBorder="1" applyAlignment="1">
      <alignment horizontal="left"/>
    </xf>
    <xf numFmtId="0" fontId="0" fillId="0" borderId="39" xfId="0" applyBorder="1" applyAlignment="1">
      <alignment horizontal="center"/>
    </xf>
    <xf numFmtId="0" fontId="2" fillId="2" borderId="26" xfId="1" applyBorder="1" applyAlignment="1">
      <alignment horizontal="center"/>
    </xf>
    <xf numFmtId="0" fontId="2" fillId="2" borderId="39" xfId="1" applyBorder="1" applyAlignment="1">
      <alignment horizontal="center"/>
    </xf>
    <xf numFmtId="0" fontId="2" fillId="2" borderId="40" xfId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15" borderId="0" xfId="19" applyBorder="1" applyAlignment="1">
      <alignment horizontal="center"/>
    </xf>
    <xf numFmtId="0" fontId="4" fillId="21" borderId="0" xfId="24" applyBorder="1" applyAlignment="1">
      <alignment horizontal="center"/>
    </xf>
    <xf numFmtId="0" fontId="1" fillId="7" borderId="5" xfId="6" applyBorder="1" applyAlignment="1">
      <alignment horizontal="center"/>
    </xf>
    <xf numFmtId="0" fontId="10" fillId="20" borderId="72" xfId="14" applyFill="1" applyBorder="1" applyAlignment="1">
      <alignment horizontal="center"/>
    </xf>
    <xf numFmtId="0" fontId="10" fillId="20" borderId="73" xfId="14" applyFill="1" applyBorder="1" applyAlignment="1">
      <alignment horizontal="center"/>
    </xf>
    <xf numFmtId="0" fontId="10" fillId="20" borderId="74" xfId="14" applyFill="1" applyBorder="1" applyAlignment="1">
      <alignment horizontal="center"/>
    </xf>
    <xf numFmtId="0" fontId="1" fillId="7" borderId="0" xfId="6" applyBorder="1" applyAlignment="1">
      <alignment horizontal="center"/>
    </xf>
    <xf numFmtId="0" fontId="1" fillId="20" borderId="13" xfId="23" applyBorder="1" applyAlignment="1">
      <alignment horizontal="center"/>
    </xf>
    <xf numFmtId="0" fontId="1" fillId="20" borderId="34" xfId="23" applyBorder="1" applyAlignment="1">
      <alignment horizontal="center"/>
    </xf>
    <xf numFmtId="0" fontId="1" fillId="20" borderId="14" xfId="23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39" xfId="0" applyBorder="1" applyAlignment="1">
      <alignment horizontal="left"/>
    </xf>
    <xf numFmtId="0" fontId="2" fillId="2" borderId="32" xfId="1" applyBorder="1" applyAlignment="1">
      <alignment horizontal="left"/>
    </xf>
    <xf numFmtId="0" fontId="1" fillId="6" borderId="0" xfId="5" applyAlignment="1">
      <alignment horizontal="left"/>
    </xf>
    <xf numFmtId="0" fontId="1" fillId="11" borderId="0" xfId="10" applyAlignment="1">
      <alignment horizontal="left"/>
    </xf>
    <xf numFmtId="0" fontId="1" fillId="11" borderId="0" xfId="10" applyAlignment="1">
      <alignment horizontal="center"/>
    </xf>
    <xf numFmtId="0" fontId="0" fillId="0" borderId="1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19" xfId="0" applyBorder="1"/>
    <xf numFmtId="0" fontId="0" fillId="0" borderId="32" xfId="0" applyBorder="1"/>
    <xf numFmtId="0" fontId="1" fillId="7" borderId="64" xfId="6" applyBorder="1" applyAlignment="1">
      <alignment horizontal="center"/>
    </xf>
    <xf numFmtId="0" fontId="1" fillId="7" borderId="38" xfId="6" applyBorder="1" applyAlignment="1">
      <alignment horizontal="center"/>
    </xf>
    <xf numFmtId="0" fontId="0" fillId="7" borderId="65" xfId="6" applyFont="1" applyBorder="1" applyAlignment="1">
      <alignment horizontal="center"/>
    </xf>
    <xf numFmtId="0" fontId="1" fillId="7" borderId="31" xfId="6" applyBorder="1" applyAlignment="1">
      <alignment horizontal="center"/>
    </xf>
    <xf numFmtId="0" fontId="0" fillId="0" borderId="13" xfId="0" applyBorder="1"/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5" fillId="7" borderId="3" xfId="11" applyFill="1" applyAlignment="1">
      <alignment horizontal="center"/>
    </xf>
    <xf numFmtId="0" fontId="2" fillId="2" borderId="2" xfId="1" applyBorder="1" applyAlignment="1">
      <alignment horizontal="center"/>
    </xf>
    <xf numFmtId="0" fontId="4" fillId="4" borderId="2" xfId="3" applyBorder="1" applyAlignment="1">
      <alignment horizontal="center"/>
    </xf>
    <xf numFmtId="0" fontId="1" fillId="20" borderId="0" xfId="23" applyBorder="1" applyAlignment="1">
      <alignment horizontal="center"/>
    </xf>
    <xf numFmtId="0" fontId="1" fillId="7" borderId="26" xfId="6" applyBorder="1" applyAlignment="1">
      <alignment horizontal="center"/>
    </xf>
    <xf numFmtId="0" fontId="1" fillId="7" borderId="39" xfId="6" applyBorder="1" applyAlignment="1">
      <alignment horizontal="center"/>
    </xf>
    <xf numFmtId="0" fontId="1" fillId="7" borderId="40" xfId="6" applyBorder="1" applyAlignment="1">
      <alignment horizontal="center"/>
    </xf>
    <xf numFmtId="0" fontId="1" fillId="7" borderId="19" xfId="6" applyBorder="1" applyAlignment="1">
      <alignment horizontal="center"/>
    </xf>
    <xf numFmtId="0" fontId="1" fillId="7" borderId="32" xfId="6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5" borderId="13" xfId="4" applyFont="1" applyBorder="1" applyAlignment="1">
      <alignment horizontal="left"/>
    </xf>
    <xf numFmtId="0" fontId="1" fillId="5" borderId="14" xfId="4" applyBorder="1" applyAlignment="1">
      <alignment horizontal="left"/>
    </xf>
    <xf numFmtId="0" fontId="0" fillId="5" borderId="19" xfId="4" applyFont="1" applyBorder="1" applyAlignment="1">
      <alignment horizontal="left"/>
    </xf>
    <xf numFmtId="0" fontId="1" fillId="5" borderId="32" xfId="4" applyBorder="1" applyAlignment="1">
      <alignment horizontal="left"/>
    </xf>
    <xf numFmtId="0" fontId="0" fillId="0" borderId="0" xfId="0" applyAlignment="1">
      <alignment horizontal="center"/>
    </xf>
    <xf numFmtId="0" fontId="14" fillId="5" borderId="19" xfId="4" applyFont="1" applyBorder="1" applyAlignment="1">
      <alignment horizontal="center"/>
    </xf>
    <xf numFmtId="0" fontId="14" fillId="5" borderId="0" xfId="4" applyFont="1" applyBorder="1" applyAlignment="1">
      <alignment horizontal="center"/>
    </xf>
    <xf numFmtId="0" fontId="10" fillId="20" borderId="8" xfId="14" applyFill="1" applyBorder="1" applyAlignment="1">
      <alignment horizontal="center"/>
    </xf>
    <xf numFmtId="0" fontId="1" fillId="22" borderId="56" xfId="25" applyBorder="1" applyAlignment="1">
      <alignment horizontal="center"/>
    </xf>
    <xf numFmtId="0" fontId="1" fillId="22" borderId="66" xfId="25" applyBorder="1" applyAlignment="1">
      <alignment horizontal="center"/>
    </xf>
    <xf numFmtId="0" fontId="1" fillId="22" borderId="67" xfId="25" applyBorder="1" applyAlignment="1">
      <alignment horizontal="center"/>
    </xf>
    <xf numFmtId="0" fontId="14" fillId="11" borderId="5" xfId="10" applyFont="1" applyBorder="1" applyAlignment="1">
      <alignment horizontal="center"/>
    </xf>
    <xf numFmtId="0" fontId="0" fillId="8" borderId="0" xfId="7" applyFont="1" applyBorder="1" applyAlignment="1">
      <alignment horizontal="center"/>
    </xf>
    <xf numFmtId="0" fontId="1" fillId="8" borderId="0" xfId="7" applyBorder="1" applyAlignment="1">
      <alignment horizontal="center"/>
    </xf>
    <xf numFmtId="0" fontId="1" fillId="11" borderId="5" xfId="10" applyBorder="1" applyAlignment="1">
      <alignment horizontal="center"/>
    </xf>
    <xf numFmtId="0" fontId="2" fillId="2" borderId="19" xfId="1" applyBorder="1" applyAlignment="1">
      <alignment horizontal="center"/>
    </xf>
    <xf numFmtId="0" fontId="2" fillId="2" borderId="0" xfId="1" applyBorder="1" applyAlignment="1">
      <alignment horizontal="center"/>
    </xf>
    <xf numFmtId="0" fontId="13" fillId="21" borderId="26" xfId="24" applyFont="1" applyBorder="1" applyAlignment="1">
      <alignment horizontal="left"/>
    </xf>
    <xf numFmtId="0" fontId="13" fillId="21" borderId="39" xfId="24" applyFont="1" applyBorder="1" applyAlignment="1">
      <alignment horizontal="left"/>
    </xf>
    <xf numFmtId="0" fontId="13" fillId="21" borderId="40" xfId="24" applyFont="1" applyBorder="1" applyAlignment="1">
      <alignment horizontal="left"/>
    </xf>
    <xf numFmtId="0" fontId="1" fillId="27" borderId="19" xfId="29" applyBorder="1" applyAlignment="1">
      <alignment horizontal="center"/>
    </xf>
    <xf numFmtId="0" fontId="1" fillId="27" borderId="0" xfId="29" applyBorder="1" applyAlignment="1">
      <alignment horizontal="center"/>
    </xf>
    <xf numFmtId="0" fontId="0" fillId="7" borderId="0" xfId="6" applyFont="1" applyBorder="1" applyAlignment="1">
      <alignment horizontal="center"/>
    </xf>
    <xf numFmtId="0" fontId="14" fillId="17" borderId="75" xfId="21" applyFont="1" applyBorder="1" applyAlignment="1">
      <alignment horizontal="center"/>
    </xf>
    <xf numFmtId="0" fontId="14" fillId="17" borderId="0" xfId="21" applyFont="1" applyBorder="1" applyAlignment="1">
      <alignment horizontal="center"/>
    </xf>
    <xf numFmtId="0" fontId="1" fillId="16" borderId="24" xfId="20" applyBorder="1" applyAlignment="1">
      <alignment horizontal="center"/>
    </xf>
    <xf numFmtId="0" fontId="1" fillId="16" borderId="25" xfId="20" applyBorder="1" applyAlignment="1">
      <alignment horizontal="center"/>
    </xf>
    <xf numFmtId="0" fontId="1" fillId="27" borderId="13" xfId="29" applyBorder="1" applyAlignment="1">
      <alignment horizontal="center"/>
    </xf>
    <xf numFmtId="0" fontId="1" fillId="27" borderId="34" xfId="29" applyBorder="1" applyAlignment="1">
      <alignment horizontal="center"/>
    </xf>
    <xf numFmtId="0" fontId="4" fillId="4" borderId="0" xfId="3" applyBorder="1" applyAlignment="1">
      <alignment horizontal="center"/>
    </xf>
    <xf numFmtId="0" fontId="1" fillId="7" borderId="34" xfId="6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4" fillId="16" borderId="19" xfId="20" applyFont="1" applyBorder="1" applyAlignment="1">
      <alignment horizontal="center"/>
    </xf>
    <xf numFmtId="0" fontId="14" fillId="16" borderId="0" xfId="20" applyFont="1" applyBorder="1" applyAlignment="1">
      <alignment horizontal="center"/>
    </xf>
    <xf numFmtId="0" fontId="4" fillId="4" borderId="0" xfId="3" applyBorder="1" applyAlignment="1">
      <alignment horizontal="left"/>
    </xf>
    <xf numFmtId="0" fontId="5" fillId="0" borderId="3" xfId="11" applyAlignment="1">
      <alignment horizontal="left"/>
    </xf>
    <xf numFmtId="0" fontId="1" fillId="7" borderId="26" xfId="6" applyBorder="1" applyAlignment="1">
      <alignment horizontal="left"/>
    </xf>
    <xf numFmtId="0" fontId="1" fillId="7" borderId="39" xfId="6" applyBorder="1" applyAlignment="1">
      <alignment horizontal="left"/>
    </xf>
    <xf numFmtId="0" fontId="1" fillId="7" borderId="40" xfId="6" applyBorder="1" applyAlignment="1">
      <alignment horizontal="left"/>
    </xf>
    <xf numFmtId="0" fontId="1" fillId="18" borderId="0" xfId="22" applyBorder="1" applyAlignment="1">
      <alignment horizontal="left"/>
    </xf>
    <xf numFmtId="0" fontId="4" fillId="4" borderId="49" xfId="3" applyBorder="1" applyAlignment="1">
      <alignment horizontal="center"/>
    </xf>
    <xf numFmtId="0" fontId="4" fillId="4" borderId="55" xfId="3" applyBorder="1" applyAlignment="1">
      <alignment horizontal="center"/>
    </xf>
    <xf numFmtId="0" fontId="1" fillId="9" borderId="0" xfId="8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" fillId="23" borderId="5" xfId="26" applyBorder="1" applyAlignment="1">
      <alignment horizontal="center"/>
    </xf>
    <xf numFmtId="0" fontId="4" fillId="26" borderId="26" xfId="28" applyBorder="1" applyAlignment="1">
      <alignment horizontal="center"/>
    </xf>
    <xf numFmtId="0" fontId="4" fillId="26" borderId="39" xfId="28" applyBorder="1" applyAlignment="1">
      <alignment horizontal="center"/>
    </xf>
    <xf numFmtId="0" fontId="4" fillId="26" borderId="40" xfId="28" applyBorder="1" applyAlignment="1">
      <alignment horizontal="center"/>
    </xf>
    <xf numFmtId="0" fontId="1" fillId="9" borderId="53" xfId="8" applyBorder="1" applyAlignment="1">
      <alignment horizontal="center"/>
    </xf>
    <xf numFmtId="0" fontId="1" fillId="9" borderId="71" xfId="8" applyBorder="1" applyAlignment="1">
      <alignment horizontal="center"/>
    </xf>
    <xf numFmtId="0" fontId="4" fillId="21" borderId="48" xfId="24" applyBorder="1" applyAlignment="1">
      <alignment horizontal="center"/>
    </xf>
    <xf numFmtId="0" fontId="4" fillId="21" borderId="49" xfId="24" applyBorder="1" applyAlignment="1">
      <alignment horizontal="center"/>
    </xf>
    <xf numFmtId="0" fontId="30" fillId="10" borderId="19" xfId="9" applyFont="1" applyBorder="1" applyAlignment="1">
      <alignment horizontal="center"/>
    </xf>
    <xf numFmtId="0" fontId="30" fillId="10" borderId="0" xfId="9" applyFont="1" applyBorder="1" applyAlignment="1">
      <alignment horizontal="center"/>
    </xf>
    <xf numFmtId="0" fontId="4" fillId="26" borderId="17" xfId="28" applyBorder="1" applyAlignment="1">
      <alignment horizontal="center"/>
    </xf>
    <xf numFmtId="0" fontId="4" fillId="26" borderId="37" xfId="28" applyBorder="1" applyAlignment="1">
      <alignment horizontal="center"/>
    </xf>
    <xf numFmtId="0" fontId="1" fillId="16" borderId="19" xfId="20" applyBorder="1" applyAlignment="1">
      <alignment horizontal="left"/>
    </xf>
    <xf numFmtId="0" fontId="1" fillId="16" borderId="0" xfId="20" applyBorder="1" applyAlignment="1">
      <alignment horizontal="left"/>
    </xf>
    <xf numFmtId="0" fontId="14" fillId="16" borderId="19" xfId="20" applyFont="1" applyBorder="1" applyAlignment="1">
      <alignment horizontal="left"/>
    </xf>
    <xf numFmtId="0" fontId="14" fillId="16" borderId="0" xfId="20" applyFont="1" applyBorder="1" applyAlignment="1">
      <alignment horizontal="left"/>
    </xf>
    <xf numFmtId="0" fontId="1" fillId="16" borderId="19" xfId="20" applyBorder="1" applyAlignment="1">
      <alignment horizontal="center"/>
    </xf>
    <xf numFmtId="0" fontId="1" fillId="16" borderId="0" xfId="20" applyBorder="1" applyAlignment="1">
      <alignment horizontal="center"/>
    </xf>
    <xf numFmtId="0" fontId="30" fillId="4" borderId="19" xfId="3" applyFont="1" applyBorder="1" applyAlignment="1">
      <alignment horizontal="center"/>
    </xf>
    <xf numFmtId="0" fontId="30" fillId="4" borderId="0" xfId="3" applyFont="1" applyBorder="1" applyAlignment="1">
      <alignment horizontal="center"/>
    </xf>
    <xf numFmtId="0" fontId="4" fillId="4" borderId="76" xfId="3" applyBorder="1" applyAlignment="1">
      <alignment horizontal="center"/>
    </xf>
    <xf numFmtId="0" fontId="1" fillId="9" borderId="80" xfId="8" applyBorder="1" applyAlignment="1">
      <alignment horizontal="center"/>
    </xf>
    <xf numFmtId="0" fontId="1" fillId="9" borderId="34" xfId="8" applyBorder="1" applyAlignment="1">
      <alignment horizontal="center"/>
    </xf>
    <xf numFmtId="0" fontId="0" fillId="16" borderId="19" xfId="20" applyFont="1" applyBorder="1" applyAlignment="1">
      <alignment horizontal="center"/>
    </xf>
    <xf numFmtId="0" fontId="5" fillId="10" borderId="0" xfId="11" applyFill="1" applyBorder="1" applyAlignment="1">
      <alignment horizontal="center"/>
    </xf>
    <xf numFmtId="0" fontId="1" fillId="18" borderId="32" xfId="22" applyBorder="1" applyAlignment="1">
      <alignment horizontal="left"/>
    </xf>
    <xf numFmtId="0" fontId="1" fillId="18" borderId="19" xfId="22" applyBorder="1" applyAlignment="1">
      <alignment horizontal="left"/>
    </xf>
    <xf numFmtId="0" fontId="1" fillId="18" borderId="13" xfId="22" applyBorder="1" applyAlignment="1">
      <alignment horizontal="center"/>
    </xf>
    <xf numFmtId="0" fontId="1" fillId="18" borderId="34" xfId="22" applyBorder="1" applyAlignment="1">
      <alignment horizontal="center"/>
    </xf>
    <xf numFmtId="0" fontId="12" fillId="3" borderId="1" xfId="16" applyAlignment="1">
      <alignment horizontal="center"/>
    </xf>
    <xf numFmtId="0" fontId="12" fillId="3" borderId="38" xfId="16" applyBorder="1" applyAlignment="1">
      <alignment horizontal="center"/>
    </xf>
    <xf numFmtId="0" fontId="17" fillId="3" borderId="41" xfId="16" applyFont="1" applyBorder="1" applyAlignment="1">
      <alignment horizontal="center"/>
    </xf>
    <xf numFmtId="0" fontId="17" fillId="3" borderId="42" xfId="16" applyFont="1" applyBorder="1" applyAlignment="1">
      <alignment horizontal="center"/>
    </xf>
    <xf numFmtId="0" fontId="17" fillId="3" borderId="23" xfId="16" applyFont="1" applyBorder="1" applyAlignment="1">
      <alignment horizontal="center"/>
    </xf>
    <xf numFmtId="0" fontId="4" fillId="10" borderId="19" xfId="9" applyBorder="1" applyAlignment="1">
      <alignment horizontal="left"/>
    </xf>
    <xf numFmtId="0" fontId="4" fillId="10" borderId="0" xfId="9" applyBorder="1" applyAlignment="1">
      <alignment horizontal="left"/>
    </xf>
    <xf numFmtId="0" fontId="4" fillId="10" borderId="32" xfId="9" applyBorder="1" applyAlignment="1">
      <alignment horizontal="left"/>
    </xf>
    <xf numFmtId="0" fontId="4" fillId="10" borderId="17" xfId="9" applyBorder="1" applyAlignment="1">
      <alignment horizontal="left"/>
    </xf>
    <xf numFmtId="0" fontId="4" fillId="10" borderId="37" xfId="9" applyBorder="1" applyAlignment="1">
      <alignment horizontal="left"/>
    </xf>
    <xf numFmtId="0" fontId="17" fillId="3" borderId="50" xfId="16" applyFont="1" applyBorder="1" applyAlignment="1">
      <alignment horizontal="center"/>
    </xf>
    <xf numFmtId="0" fontId="17" fillId="3" borderId="51" xfId="16" applyFont="1" applyBorder="1" applyAlignment="1">
      <alignment horizontal="center"/>
    </xf>
    <xf numFmtId="0" fontId="2" fillId="2" borderId="32" xfId="1" applyBorder="1" applyAlignment="1">
      <alignment horizontal="center"/>
    </xf>
    <xf numFmtId="0" fontId="2" fillId="2" borderId="37" xfId="1" applyBorder="1" applyAlignment="1">
      <alignment horizontal="center"/>
    </xf>
    <xf numFmtId="0" fontId="2" fillId="2" borderId="18" xfId="1" applyBorder="1" applyAlignment="1">
      <alignment horizontal="center"/>
    </xf>
    <xf numFmtId="0" fontId="2" fillId="2" borderId="19" xfId="1" applyBorder="1" applyAlignment="1"/>
    <xf numFmtId="0" fontId="2" fillId="2" borderId="0" xfId="1" applyBorder="1" applyAlignment="1"/>
    <xf numFmtId="49" fontId="17" fillId="3" borderId="26" xfId="16" applyNumberFormat="1" applyFont="1" applyBorder="1" applyAlignment="1">
      <alignment horizontal="center"/>
    </xf>
    <xf numFmtId="49" fontId="17" fillId="3" borderId="39" xfId="16" applyNumberFormat="1" applyFont="1" applyBorder="1" applyAlignment="1">
      <alignment horizontal="center"/>
    </xf>
    <xf numFmtId="49" fontId="17" fillId="3" borderId="40" xfId="16" applyNumberFormat="1" applyFont="1" applyBorder="1" applyAlignment="1">
      <alignment horizontal="center"/>
    </xf>
    <xf numFmtId="0" fontId="4" fillId="4" borderId="34" xfId="3" applyBorder="1" applyAlignment="1">
      <alignment horizontal="center"/>
    </xf>
    <xf numFmtId="0" fontId="4" fillId="4" borderId="14" xfId="3" applyBorder="1" applyAlignment="1">
      <alignment horizontal="center"/>
    </xf>
    <xf numFmtId="0" fontId="2" fillId="2" borderId="13" xfId="1" applyBorder="1"/>
    <xf numFmtId="0" fontId="2" fillId="2" borderId="34" xfId="1" applyBorder="1"/>
    <xf numFmtId="0" fontId="2" fillId="2" borderId="14" xfId="1" applyBorder="1"/>
    <xf numFmtId="0" fontId="2" fillId="2" borderId="19" xfId="1" applyBorder="1"/>
    <xf numFmtId="0" fontId="2" fillId="2" borderId="0" xfId="1" applyBorder="1"/>
    <xf numFmtId="0" fontId="2" fillId="2" borderId="32" xfId="1" applyBorder="1"/>
    <xf numFmtId="0" fontId="9" fillId="0" borderId="0" xfId="13" applyBorder="1" applyAlignment="1">
      <alignment horizontal="center"/>
    </xf>
    <xf numFmtId="0" fontId="14" fillId="0" borderId="0" xfId="0" applyFont="1" applyAlignment="1">
      <alignment horizontal="center"/>
    </xf>
    <xf numFmtId="0" fontId="13" fillId="13" borderId="11" xfId="17" applyBorder="1" applyAlignment="1">
      <alignment horizontal="center"/>
    </xf>
    <xf numFmtId="0" fontId="13" fillId="13" borderId="12" xfId="17" applyBorder="1" applyAlignment="1">
      <alignment horizontal="center"/>
    </xf>
    <xf numFmtId="0" fontId="2" fillId="2" borderId="13" xfId="1" applyBorder="1" applyAlignment="1">
      <alignment horizontal="center"/>
    </xf>
    <xf numFmtId="0" fontId="2" fillId="2" borderId="14" xfId="1" applyBorder="1" applyAlignment="1">
      <alignment horizontal="center"/>
    </xf>
    <xf numFmtId="0" fontId="2" fillId="2" borderId="17" xfId="1" applyBorder="1" applyAlignment="1">
      <alignment horizontal="center"/>
    </xf>
    <xf numFmtId="0" fontId="15" fillId="19" borderId="0" xfId="12" applyFont="1" applyFill="1" applyAlignment="1">
      <alignment horizontal="center"/>
    </xf>
    <xf numFmtId="0" fontId="12" fillId="3" borderId="23" xfId="16" applyBorder="1" applyAlignment="1">
      <alignment horizontal="center"/>
    </xf>
    <xf numFmtId="0" fontId="12" fillId="3" borderId="31" xfId="16" applyBorder="1" applyAlignment="1">
      <alignment horizontal="center"/>
    </xf>
    <xf numFmtId="49" fontId="17" fillId="3" borderId="24" xfId="16" applyNumberFormat="1" applyFont="1" applyBorder="1" applyAlignment="1">
      <alignment horizontal="center"/>
    </xf>
    <xf numFmtId="49" fontId="17" fillId="3" borderId="25" xfId="16" applyNumberFormat="1" applyFont="1" applyBorder="1" applyAlignment="1">
      <alignment horizontal="center"/>
    </xf>
    <xf numFmtId="0" fontId="4" fillId="15" borderId="26" xfId="19" applyBorder="1" applyAlignment="1">
      <alignment horizontal="center"/>
    </xf>
    <xf numFmtId="0" fontId="4" fillId="15" borderId="27" xfId="19" applyBorder="1" applyAlignment="1">
      <alignment horizontal="center"/>
    </xf>
    <xf numFmtId="0" fontId="2" fillId="2" borderId="13" xfId="1" applyBorder="1" applyAlignment="1">
      <alignment horizontal="left"/>
    </xf>
    <xf numFmtId="0" fontId="2" fillId="2" borderId="34" xfId="1" applyBorder="1" applyAlignment="1">
      <alignment horizontal="left"/>
    </xf>
    <xf numFmtId="0" fontId="2" fillId="2" borderId="14" xfId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10" borderId="17" xfId="9" applyBorder="1" applyAlignment="1">
      <alignment horizontal="right"/>
    </xf>
    <xf numFmtId="0" fontId="4" fillId="10" borderId="37" xfId="9" applyBorder="1" applyAlignment="1">
      <alignment horizontal="right"/>
    </xf>
    <xf numFmtId="0" fontId="5" fillId="0" borderId="5" xfId="11" applyBorder="1" applyAlignment="1">
      <alignment horizontal="center"/>
    </xf>
    <xf numFmtId="0" fontId="4" fillId="10" borderId="0" xfId="9" applyAlignment="1">
      <alignment horizontal="center"/>
    </xf>
    <xf numFmtId="0" fontId="12" fillId="3" borderId="5" xfId="16" applyBorder="1" applyAlignment="1">
      <alignment horizontal="center"/>
    </xf>
    <xf numFmtId="0" fontId="12" fillId="3" borderId="56" xfId="16" applyBorder="1" applyAlignment="1">
      <alignment horizontal="center"/>
    </xf>
    <xf numFmtId="0" fontId="12" fillId="3" borderId="61" xfId="16" applyBorder="1" applyAlignment="1">
      <alignment horizontal="center"/>
    </xf>
    <xf numFmtId="0" fontId="12" fillId="3" borderId="1" xfId="16" applyAlignment="1">
      <alignment horizontal="left"/>
    </xf>
    <xf numFmtId="0" fontId="20" fillId="0" borderId="26" xfId="14" applyFont="1" applyBorder="1" applyAlignment="1">
      <alignment horizontal="center"/>
    </xf>
    <xf numFmtId="0" fontId="20" fillId="0" borderId="39" xfId="14" applyFont="1" applyBorder="1" applyAlignment="1">
      <alignment horizontal="center"/>
    </xf>
    <xf numFmtId="0" fontId="20" fillId="0" borderId="40" xfId="14" applyFont="1" applyBorder="1" applyAlignment="1">
      <alignment horizontal="center"/>
    </xf>
    <xf numFmtId="0" fontId="11" fillId="12" borderId="52" xfId="15" applyBorder="1" applyAlignment="1">
      <alignment horizontal="left"/>
    </xf>
    <xf numFmtId="0" fontId="11" fillId="12" borderId="53" xfId="15" applyBorder="1" applyAlignment="1">
      <alignment horizontal="left"/>
    </xf>
    <xf numFmtId="0" fontId="13" fillId="13" borderId="47" xfId="17" applyBorder="1" applyAlignment="1">
      <alignment horizontal="center"/>
    </xf>
    <xf numFmtId="0" fontId="13" fillId="13" borderId="5" xfId="17" applyBorder="1" applyAlignment="1">
      <alignment horizontal="center"/>
    </xf>
    <xf numFmtId="0" fontId="13" fillId="13" borderId="47" xfId="17" applyBorder="1" applyAlignment="1">
      <alignment horizontal="right"/>
    </xf>
    <xf numFmtId="0" fontId="13" fillId="13" borderId="5" xfId="17" applyBorder="1" applyAlignment="1">
      <alignment horizontal="right"/>
    </xf>
    <xf numFmtId="0" fontId="13" fillId="13" borderId="48" xfId="17" applyBorder="1" applyAlignment="1">
      <alignment horizontal="right"/>
    </xf>
    <xf numFmtId="0" fontId="13" fillId="13" borderId="49" xfId="17" applyBorder="1" applyAlignment="1">
      <alignment horizontal="right"/>
    </xf>
    <xf numFmtId="0" fontId="12" fillId="3" borderId="1" xfId="16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0" fillId="0" borderId="5" xfId="0" applyBorder="1" applyAlignment="1"/>
    <xf numFmtId="0" fontId="0" fillId="0" borderId="5" xfId="0" applyBorder="1" applyAlignment="1">
      <alignment horizontal="left"/>
    </xf>
    <xf numFmtId="0" fontId="0" fillId="0" borderId="62" xfId="0" applyBorder="1" applyAlignment="1"/>
    <xf numFmtId="0" fontId="0" fillId="0" borderId="24" xfId="0" applyBorder="1" applyAlignment="1"/>
    <xf numFmtId="0" fontId="0" fillId="0" borderId="88" xfId="0" applyBorder="1" applyAlignment="1"/>
    <xf numFmtId="0" fontId="0" fillId="0" borderId="25" xfId="0" applyBorder="1" applyAlignment="1"/>
    <xf numFmtId="0" fontId="14" fillId="0" borderId="5" xfId="0" applyFont="1" applyBorder="1" applyAlignment="1">
      <alignment horizontal="center"/>
    </xf>
    <xf numFmtId="0" fontId="1" fillId="11" borderId="5" xfId="10" applyBorder="1" applyAlignment="1"/>
    <xf numFmtId="0" fontId="1" fillId="11" borderId="0" xfId="10"/>
    <xf numFmtId="0" fontId="1" fillId="11" borderId="0" xfId="10"/>
    <xf numFmtId="0" fontId="4" fillId="15" borderId="34" xfId="19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horizontal="left" wrapText="1"/>
    </xf>
    <xf numFmtId="0" fontId="0" fillId="0" borderId="56" xfId="0" applyBorder="1" applyAlignment="1">
      <alignment horizontal="center"/>
    </xf>
    <xf numFmtId="0" fontId="0" fillId="0" borderId="67" xfId="0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Fill="1" applyBorder="1"/>
    <xf numFmtId="0" fontId="31" fillId="0" borderId="0" xfId="0" applyFont="1"/>
    <xf numFmtId="0" fontId="31" fillId="0" borderId="56" xfId="0" applyFont="1" applyBorder="1" applyAlignment="1">
      <alignment horizontal="center" wrapText="1"/>
    </xf>
    <xf numFmtId="0" fontId="31" fillId="0" borderId="67" xfId="0" applyFont="1" applyBorder="1" applyAlignment="1">
      <alignment horizontal="center" wrapText="1"/>
    </xf>
    <xf numFmtId="0" fontId="31" fillId="0" borderId="5" xfId="0" applyFont="1" applyBorder="1" applyAlignment="1">
      <alignment horizontal="center"/>
    </xf>
    <xf numFmtId="0" fontId="14" fillId="0" borderId="5" xfId="0" applyFont="1" applyBorder="1" applyAlignment="1">
      <alignment horizontal="left" wrapText="1"/>
    </xf>
    <xf numFmtId="0" fontId="14" fillId="0" borderId="5" xfId="0" applyFont="1" applyBorder="1" applyAlignment="1">
      <alignment horizontal="center" wrapText="1"/>
    </xf>
    <xf numFmtId="0" fontId="14" fillId="0" borderId="5" xfId="0" applyFont="1" applyFill="1" applyBorder="1" applyAlignment="1">
      <alignment horizontal="center" wrapText="1"/>
    </xf>
    <xf numFmtId="0" fontId="14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4" fillId="4" borderId="2" xfId="3" applyBorder="1"/>
    <xf numFmtId="0" fontId="4" fillId="4" borderId="19" xfId="3" applyBorder="1" applyAlignment="1">
      <alignment horizontal="center"/>
    </xf>
    <xf numFmtId="0" fontId="14" fillId="11" borderId="58" xfId="10" applyFont="1" applyBorder="1"/>
    <xf numFmtId="0" fontId="14" fillId="20" borderId="63" xfId="23" applyFont="1" applyBorder="1" applyAlignment="1">
      <alignment horizontal="right"/>
    </xf>
    <xf numFmtId="0" fontId="14" fillId="20" borderId="20" xfId="23" applyFont="1" applyBorder="1" applyAlignment="1">
      <alignment horizontal="right"/>
    </xf>
    <xf numFmtId="0" fontId="0" fillId="24" borderId="19" xfId="0" applyFill="1" applyBorder="1"/>
    <xf numFmtId="0" fontId="0" fillId="0" borderId="34" xfId="0" applyBorder="1"/>
    <xf numFmtId="0" fontId="4" fillId="21" borderId="19" xfId="24" applyBorder="1" applyAlignment="1">
      <alignment horizontal="center"/>
    </xf>
    <xf numFmtId="0" fontId="4" fillId="21" borderId="32" xfId="24" applyBorder="1" applyAlignment="1">
      <alignment horizontal="center"/>
    </xf>
    <xf numFmtId="0" fontId="14" fillId="0" borderId="26" xfId="0" applyFont="1" applyBorder="1"/>
    <xf numFmtId="0" fontId="14" fillId="0" borderId="13" xfId="0" applyFont="1" applyBorder="1"/>
    <xf numFmtId="0" fontId="14" fillId="0" borderId="19" xfId="0" applyFont="1" applyBorder="1"/>
    <xf numFmtId="0" fontId="1" fillId="7" borderId="6" xfId="6" applyBorder="1" applyAlignment="1">
      <alignment horizontal="center"/>
    </xf>
    <xf numFmtId="0" fontId="21" fillId="0" borderId="0" xfId="0" applyFont="1" applyBorder="1" applyAlignment="1">
      <alignment vertical="center"/>
    </xf>
    <xf numFmtId="0" fontId="0" fillId="28" borderId="0" xfId="0" applyFill="1" applyBorder="1"/>
    <xf numFmtId="0" fontId="4" fillId="4" borderId="0" xfId="3" applyBorder="1" applyAlignment="1"/>
    <xf numFmtId="0" fontId="1" fillId="7" borderId="0" xfId="6" applyBorder="1" applyAlignment="1">
      <alignment horizontal="left"/>
    </xf>
    <xf numFmtId="0" fontId="4" fillId="10" borderId="3" xfId="9" applyBorder="1" applyAlignment="1">
      <alignment horizontal="center"/>
    </xf>
    <xf numFmtId="0" fontId="1" fillId="7" borderId="32" xfId="6" applyBorder="1" applyAlignment="1">
      <alignment horizontal="left"/>
    </xf>
    <xf numFmtId="0" fontId="1" fillId="17" borderId="0" xfId="21" applyAlignment="1">
      <alignment horizontal="center"/>
    </xf>
    <xf numFmtId="0" fontId="14" fillId="0" borderId="0" xfId="0" applyFont="1" applyAlignment="1"/>
  </cellXfs>
  <cellStyles count="30">
    <cellStyle name="20% - Énfasis2" xfId="5" builtinId="34"/>
    <cellStyle name="20% - Énfasis5" xfId="26" builtinId="46"/>
    <cellStyle name="20% - Énfasis6" xfId="29" builtinId="50"/>
    <cellStyle name="40% - Énfasis1" xfId="4" builtinId="31"/>
    <cellStyle name="40% - Énfasis2" xfId="18" builtinId="35"/>
    <cellStyle name="40% - Énfasis3" xfId="25" builtinId="39"/>
    <cellStyle name="40% - Énfasis4" xfId="7" builtinId="43"/>
    <cellStyle name="40% - Énfasis5" xfId="20" builtinId="47"/>
    <cellStyle name="40% - Énfasis6" xfId="22" builtinId="51"/>
    <cellStyle name="60% - Énfasis1" xfId="23" builtinId="32"/>
    <cellStyle name="60% - Énfasis2" xfId="6" builtinId="36"/>
    <cellStyle name="60% - Énfasis4" xfId="8" builtinId="44"/>
    <cellStyle name="60% - Énfasis5" xfId="21" builtinId="48"/>
    <cellStyle name="60% - Énfasis6" xfId="10" builtinId="52"/>
    <cellStyle name="Bueno" xfId="1" builtinId="26"/>
    <cellStyle name="Cálculo" xfId="16" builtinId="22"/>
    <cellStyle name="Celda de comprobación" xfId="17" builtinId="23"/>
    <cellStyle name="Encabezado 1" xfId="13" builtinId="16"/>
    <cellStyle name="Énfasis1" xfId="3" builtinId="29"/>
    <cellStyle name="Énfasis2" xfId="24" builtinId="33"/>
    <cellStyle name="Énfasis3" xfId="28" builtinId="37"/>
    <cellStyle name="Énfasis5" xfId="19" builtinId="45"/>
    <cellStyle name="Énfasis6" xfId="9" builtinId="49"/>
    <cellStyle name="Entrada" xfId="27" builtinId="20"/>
    <cellStyle name="Neutral" xfId="15" builtinId="28"/>
    <cellStyle name="Normal" xfId="0" builtinId="0"/>
    <cellStyle name="Salida" xfId="2" builtinId="21"/>
    <cellStyle name="Título" xfId="12" builtinId="15"/>
    <cellStyle name="Título 2" xfId="11" builtinId="17"/>
    <cellStyle name="Título 3" xfId="14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3.Histograma de estacionamientos - Super Bambi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4393518518518519"/>
          <c:w val="0.915530183727034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'Actividad 1'!$E$184:$E$189</c:f>
              <c:strCache>
                <c:ptCount val="6"/>
                <c:pt idx="0">
                  <c:v>[0-1]</c:v>
                </c:pt>
                <c:pt idx="1">
                  <c:v>(1-2]</c:v>
                </c:pt>
                <c:pt idx="2">
                  <c:v>(2-3]</c:v>
                </c:pt>
                <c:pt idx="3">
                  <c:v>(3-4]</c:v>
                </c:pt>
                <c:pt idx="4">
                  <c:v>(4-5]</c:v>
                </c:pt>
                <c:pt idx="5">
                  <c:v>(5-&gt;6]</c:v>
                </c:pt>
              </c:strCache>
            </c:strRef>
          </c:cat>
          <c:val>
            <c:numRef>
              <c:f>'Actividad 1'!$F$184:$F$189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1-4DCD-A4DD-CC5D716FC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482088"/>
        <c:axId val="9874834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'Actividad 1'!$E$184:$E$189</c15:sqref>
                        </c15:formulaRef>
                      </c:ext>
                    </c:extLst>
                    <c:strCache>
                      <c:ptCount val="6"/>
                      <c:pt idx="0">
                        <c:v>[0-1]</c:v>
                      </c:pt>
                      <c:pt idx="1">
                        <c:v>(1-2]</c:v>
                      </c:pt>
                      <c:pt idx="2">
                        <c:v>(2-3]</c:v>
                      </c:pt>
                      <c:pt idx="3">
                        <c:v>(3-4]</c:v>
                      </c:pt>
                      <c:pt idx="4">
                        <c:v>(4-5]</c:v>
                      </c:pt>
                      <c:pt idx="5">
                        <c:v>(5-&gt;6]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'Actividad 1'!$G$184:$G$189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B01-4DCD-A4DD-CC5D716FCBB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'Actividad 1'!$E$184:$E$189</c15:sqref>
                        </c15:formulaRef>
                      </c:ext>
                    </c:extLst>
                    <c:strCache>
                      <c:ptCount val="6"/>
                      <c:pt idx="0">
                        <c:v>[0-1]</c:v>
                      </c:pt>
                      <c:pt idx="1">
                        <c:v>(1-2]</c:v>
                      </c:pt>
                      <c:pt idx="2">
                        <c:v>(2-3]</c:v>
                      </c:pt>
                      <c:pt idx="3">
                        <c:v>(3-4]</c:v>
                      </c:pt>
                      <c:pt idx="4">
                        <c:v>(4-5]</c:v>
                      </c:pt>
                      <c:pt idx="5">
                        <c:v>(5-&gt;6]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'Actividad 1'!$H$184:$H$189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01-4DCD-A4DD-CC5D716FCBB0}"/>
                  </c:ext>
                </c:extLst>
              </c15:ser>
            </c15:filteredBarSeries>
          </c:ext>
        </c:extLst>
      </c:barChart>
      <c:catAx>
        <c:axId val="98748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Estacionamiento</a:t>
                </a:r>
                <a:r>
                  <a:rPr lang="es-AR" baseline="0"/>
                  <a:t> de vehiculos/30 min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28819430578144489"/>
              <c:y val="0.92960647360940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7483400"/>
        <c:crosses val="autoZero"/>
        <c:auto val="1"/>
        <c:lblAlgn val="ctr"/>
        <c:lblOffset val="100"/>
        <c:noMultiLvlLbl val="0"/>
      </c:catAx>
      <c:valAx>
        <c:axId val="98748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Frecuencia</a:t>
                </a:r>
              </a:p>
            </c:rich>
          </c:tx>
          <c:layout>
            <c:manualLayout>
              <c:xMode val="edge"/>
              <c:yMode val="edge"/>
              <c:x val="0"/>
              <c:y val="0.39344895841508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748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3.Histograma</a:t>
            </a:r>
            <a:r>
              <a:rPr lang="es-AR" baseline="0"/>
              <a:t> Tiempo de arribo de clientes- Supermercado Bambi</a:t>
            </a:r>
            <a:endParaRPr lang="es-AR"/>
          </a:p>
        </c:rich>
      </c:tx>
      <c:layout>
        <c:manualLayout>
          <c:xMode val="edge"/>
          <c:yMode val="edge"/>
          <c:x val="0.15122615744242848"/>
          <c:y val="2.3127905329288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'Actividad 1'!$K$293:$K$301</c:f>
              <c:strCache>
                <c:ptCount val="9"/>
                <c:pt idx="0">
                  <c:v>0 -93,99999</c:v>
                </c:pt>
                <c:pt idx="1">
                  <c:v>94 -187,99999</c:v>
                </c:pt>
                <c:pt idx="2">
                  <c:v>188-281,99999</c:v>
                </c:pt>
                <c:pt idx="3">
                  <c:v>282-374,99999</c:v>
                </c:pt>
                <c:pt idx="4">
                  <c:v>375-495,99999</c:v>
                </c:pt>
                <c:pt idx="5">
                  <c:v>496-562,99999</c:v>
                </c:pt>
                <c:pt idx="6">
                  <c:v>563-656,99999</c:v>
                </c:pt>
                <c:pt idx="7">
                  <c:v>657-750,99999</c:v>
                </c:pt>
                <c:pt idx="8">
                  <c:v>751-845</c:v>
                </c:pt>
              </c:strCache>
            </c:strRef>
          </c:cat>
          <c:val>
            <c:numRef>
              <c:f>'Actividad 1'!$L$293:$L$301</c:f>
              <c:numCache>
                <c:formatCode>General</c:formatCode>
                <c:ptCount val="9"/>
                <c:pt idx="0">
                  <c:v>26</c:v>
                </c:pt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2-4E7F-BF41-30414C53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299960"/>
        <c:axId val="572310128"/>
      </c:barChart>
      <c:catAx>
        <c:axId val="57229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  <a:r>
                  <a:rPr lang="es-AR" baseline="0"/>
                  <a:t> entre arribos de clientes observado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2310128"/>
        <c:crosses val="autoZero"/>
        <c:auto val="1"/>
        <c:lblAlgn val="ctr"/>
        <c:lblOffset val="100"/>
        <c:noMultiLvlLbl val="0"/>
      </c:catAx>
      <c:valAx>
        <c:axId val="5723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229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0.png"/><Relationship Id="rId18" Type="http://schemas.openxmlformats.org/officeDocument/2006/relationships/chart" Target="../charts/chart2.xml"/><Relationship Id="rId3" Type="http://schemas.openxmlformats.org/officeDocument/2006/relationships/image" Target="../media/image11.png"/><Relationship Id="rId21" Type="http://schemas.openxmlformats.org/officeDocument/2006/relationships/image" Target="../media/image2.png"/><Relationship Id="rId7" Type="http://schemas.openxmlformats.org/officeDocument/2006/relationships/image" Target="../media/image15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" Type="http://schemas.openxmlformats.org/officeDocument/2006/relationships/image" Target="../media/image10.png"/><Relationship Id="rId16" Type="http://schemas.openxmlformats.org/officeDocument/2006/relationships/image" Target="../media/image23.png"/><Relationship Id="rId20" Type="http://schemas.openxmlformats.org/officeDocument/2006/relationships/image" Target="../media/image26.png"/><Relationship Id="rId1" Type="http://schemas.openxmlformats.org/officeDocument/2006/relationships/image" Target="../media/image1.png"/><Relationship Id="rId6" Type="http://schemas.openxmlformats.org/officeDocument/2006/relationships/image" Target="../media/image14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2.png"/><Relationship Id="rId23" Type="http://schemas.openxmlformats.org/officeDocument/2006/relationships/image" Target="../media/image27.png"/><Relationship Id="rId10" Type="http://schemas.openxmlformats.org/officeDocument/2006/relationships/image" Target="../media/image17.png"/><Relationship Id="rId19" Type="http://schemas.openxmlformats.org/officeDocument/2006/relationships/image" Target="../media/image25.png"/><Relationship Id="rId4" Type="http://schemas.openxmlformats.org/officeDocument/2006/relationships/image" Target="../media/image12.png"/><Relationship Id="rId9" Type="http://schemas.openxmlformats.org/officeDocument/2006/relationships/chart" Target="../charts/chart1.xml"/><Relationship Id="rId14" Type="http://schemas.openxmlformats.org/officeDocument/2006/relationships/image" Target="../media/image21.png"/><Relationship Id="rId22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2" Type="http://schemas.openxmlformats.org/officeDocument/2006/relationships/image" Target="../media/image28.png"/><Relationship Id="rId1" Type="http://schemas.openxmlformats.org/officeDocument/2006/relationships/image" Target="../media/image15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Relationship Id="rId14" Type="http://schemas.openxmlformats.org/officeDocument/2006/relationships/image" Target="../media/image4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12" Type="http://schemas.openxmlformats.org/officeDocument/2006/relationships/image" Target="../media/image52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Relationship Id="rId6" Type="http://schemas.openxmlformats.org/officeDocument/2006/relationships/image" Target="../media/image46.png"/><Relationship Id="rId11" Type="http://schemas.openxmlformats.org/officeDocument/2006/relationships/image" Target="../media/image51.png"/><Relationship Id="rId5" Type="http://schemas.openxmlformats.org/officeDocument/2006/relationships/image" Target="../media/image45.png"/><Relationship Id="rId10" Type="http://schemas.openxmlformats.org/officeDocument/2006/relationships/image" Target="../media/image50.png"/><Relationship Id="rId4" Type="http://schemas.openxmlformats.org/officeDocument/2006/relationships/image" Target="../media/image44.png"/><Relationship Id="rId9" Type="http://schemas.openxmlformats.org/officeDocument/2006/relationships/image" Target="../media/image4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12" Type="http://schemas.openxmlformats.org/officeDocument/2006/relationships/image" Target="../media/image52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Relationship Id="rId6" Type="http://schemas.openxmlformats.org/officeDocument/2006/relationships/image" Target="../media/image46.png"/><Relationship Id="rId11" Type="http://schemas.openxmlformats.org/officeDocument/2006/relationships/image" Target="../media/image51.png"/><Relationship Id="rId5" Type="http://schemas.openxmlformats.org/officeDocument/2006/relationships/image" Target="../media/image45.png"/><Relationship Id="rId10" Type="http://schemas.openxmlformats.org/officeDocument/2006/relationships/image" Target="../media/image50.png"/><Relationship Id="rId4" Type="http://schemas.openxmlformats.org/officeDocument/2006/relationships/image" Target="../media/image44.png"/><Relationship Id="rId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848553</xdr:colOff>
      <xdr:row>0</xdr:row>
      <xdr:rowOff>0</xdr:rowOff>
    </xdr:from>
    <xdr:to>
      <xdr:col>12</xdr:col>
      <xdr:colOff>184088</xdr:colOff>
      <xdr:row>16</xdr:row>
      <xdr:rowOff>119642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6288A4-C74D-428A-8998-9B2A8FFA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6575" y="0"/>
          <a:ext cx="7493904" cy="3167642"/>
        </a:xfrm>
        <a:prstGeom prst="rect">
          <a:avLst/>
        </a:prstGeom>
      </xdr:spPr>
    </xdr:pic>
    <xdr:clientData/>
  </xdr:twoCellAnchor>
  <xdr:twoCellAnchor editAs="oneCell">
    <xdr:from>
      <xdr:col>6</xdr:col>
      <xdr:colOff>568233</xdr:colOff>
      <xdr:row>19</xdr:row>
      <xdr:rowOff>13843</xdr:rowOff>
    </xdr:from>
    <xdr:to>
      <xdr:col>11</xdr:col>
      <xdr:colOff>685952</xdr:colOff>
      <xdr:row>35</xdr:row>
      <xdr:rowOff>121340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081734-9549-41E3-8CB3-B848DFE61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972" y="3633343"/>
          <a:ext cx="4855371" cy="3155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124239</xdr:colOff>
      <xdr:row>28</xdr:row>
      <xdr:rowOff>53668</xdr:rowOff>
    </xdr:from>
    <xdr:to>
      <xdr:col>4</xdr:col>
      <xdr:colOff>57564</xdr:colOff>
      <xdr:row>32</xdr:row>
      <xdr:rowOff>6936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13019E1-3147-4245-9E8B-6856D5FEA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239" y="5387668"/>
          <a:ext cx="4886325" cy="715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84542</xdr:rowOff>
    </xdr:from>
    <xdr:to>
      <xdr:col>5</xdr:col>
      <xdr:colOff>1953851</xdr:colOff>
      <xdr:row>69</xdr:row>
      <xdr:rowOff>176893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5668B5F-B91A-4904-84E6-BBC3BD9B5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2542"/>
          <a:ext cx="7991281" cy="6378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66261</xdr:rowOff>
    </xdr:from>
    <xdr:to>
      <xdr:col>4</xdr:col>
      <xdr:colOff>885095</xdr:colOff>
      <xdr:row>76</xdr:row>
      <xdr:rowOff>18523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B11E5FB-3750-4B0B-BFDF-A94FF4A7E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591761"/>
          <a:ext cx="5838095" cy="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124241</xdr:rowOff>
    </xdr:from>
    <xdr:to>
      <xdr:col>4</xdr:col>
      <xdr:colOff>532714</xdr:colOff>
      <xdr:row>83</xdr:row>
      <xdr:rowOff>171812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B754EFF-18C0-4058-8974-CDDE2F335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554741"/>
          <a:ext cx="5485714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33131</xdr:rowOff>
    </xdr:from>
    <xdr:to>
      <xdr:col>2</xdr:col>
      <xdr:colOff>963744</xdr:colOff>
      <xdr:row>100</xdr:row>
      <xdr:rowOff>13774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E8788A1-F0E9-4BDF-BD76-B7346D7F8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6606631"/>
          <a:ext cx="2819048" cy="2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140804</xdr:rowOff>
    </xdr:from>
    <xdr:to>
      <xdr:col>2</xdr:col>
      <xdr:colOff>1735172</xdr:colOff>
      <xdr:row>116</xdr:row>
      <xdr:rowOff>73875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37BBEBB-C909-4847-AC27-BD23CB0F0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0143304"/>
          <a:ext cx="3590476" cy="2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389282</xdr:colOff>
      <xdr:row>4</xdr:row>
      <xdr:rowOff>44012</xdr:rowOff>
    </xdr:from>
    <xdr:to>
      <xdr:col>4</xdr:col>
      <xdr:colOff>792744</xdr:colOff>
      <xdr:row>27</xdr:row>
      <xdr:rowOff>108726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B47BBE6-7044-40DE-A252-9B370B874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9282" y="806012"/>
          <a:ext cx="5356462" cy="44462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250456</xdr:colOff>
      <xdr:row>8</xdr:row>
      <xdr:rowOff>28575</xdr:rowOff>
    </xdr:from>
    <xdr:to>
      <xdr:col>1</xdr:col>
      <xdr:colOff>3529547</xdr:colOff>
      <xdr:row>24</xdr:row>
      <xdr:rowOff>148217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8F46C6-53E1-4D7F-9546-E6793EFDC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456" y="1600200"/>
          <a:ext cx="7502894" cy="3167642"/>
        </a:xfrm>
        <a:prstGeom prst="rect">
          <a:avLst/>
        </a:prstGeom>
      </xdr:spPr>
    </xdr:pic>
    <xdr:clientData/>
  </xdr:twoCellAnchor>
  <xdr:twoCellAnchor editAs="oneCell">
    <xdr:from>
      <xdr:col>1</xdr:col>
      <xdr:colOff>906861</xdr:colOff>
      <xdr:row>57</xdr:row>
      <xdr:rowOff>57150</xdr:rowOff>
    </xdr:from>
    <xdr:to>
      <xdr:col>1</xdr:col>
      <xdr:colOff>2489049</xdr:colOff>
      <xdr:row>72</xdr:row>
      <xdr:rowOff>183777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F1EF042-A9ED-4167-8D9B-D5E80F0EC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1536" y="11010900"/>
          <a:ext cx="1582188" cy="2984127"/>
        </a:xfrm>
        <a:prstGeom prst="rect">
          <a:avLst/>
        </a:prstGeom>
      </xdr:spPr>
    </xdr:pic>
    <xdr:clientData/>
  </xdr:twoCellAnchor>
  <xdr:twoCellAnchor editAs="oneCell">
    <xdr:from>
      <xdr:col>7</xdr:col>
      <xdr:colOff>280988</xdr:colOff>
      <xdr:row>118</xdr:row>
      <xdr:rowOff>90487</xdr:rowOff>
    </xdr:from>
    <xdr:to>
      <xdr:col>12</xdr:col>
      <xdr:colOff>2369713</xdr:colOff>
      <xdr:row>141</xdr:row>
      <xdr:rowOff>137558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F35FD17-14C1-4E36-9297-3B8B7C0D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97238" y="22617112"/>
          <a:ext cx="10304762" cy="4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244303</xdr:colOff>
      <xdr:row>110</xdr:row>
      <xdr:rowOff>13607</xdr:rowOff>
    </xdr:from>
    <xdr:to>
      <xdr:col>2</xdr:col>
      <xdr:colOff>4448227</xdr:colOff>
      <xdr:row>121</xdr:row>
      <xdr:rowOff>187502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D3878FA-A5F0-46B8-A480-BA526858B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33874" y="21159107"/>
          <a:ext cx="4203924" cy="2269395"/>
        </a:xfrm>
        <a:prstGeom prst="rect">
          <a:avLst/>
        </a:prstGeom>
      </xdr:spPr>
    </xdr:pic>
    <xdr:clientData/>
  </xdr:twoCellAnchor>
  <xdr:twoCellAnchor editAs="oneCell">
    <xdr:from>
      <xdr:col>8</xdr:col>
      <xdr:colOff>475569</xdr:colOff>
      <xdr:row>106</xdr:row>
      <xdr:rowOff>78241</xdr:rowOff>
    </xdr:from>
    <xdr:to>
      <xdr:col>12</xdr:col>
      <xdr:colOff>1385649</xdr:colOff>
      <xdr:row>118</xdr:row>
      <xdr:rowOff>58908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89AABF7-7DB8-4148-B6A2-B33897EFC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743533" y="20461741"/>
          <a:ext cx="7022089" cy="22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772206</xdr:colOff>
      <xdr:row>118</xdr:row>
      <xdr:rowOff>65314</xdr:rowOff>
    </xdr:from>
    <xdr:to>
      <xdr:col>6</xdr:col>
      <xdr:colOff>313995</xdr:colOff>
      <xdr:row>142</xdr:row>
      <xdr:rowOff>7600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AE0DF12-5E5E-43FC-A34E-1A6802F9C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68831" y="22591939"/>
          <a:ext cx="4142859" cy="4514286"/>
        </a:xfrm>
        <a:prstGeom prst="rect">
          <a:avLst/>
        </a:prstGeom>
      </xdr:spPr>
    </xdr:pic>
    <xdr:clientData/>
  </xdr:twoCellAnchor>
  <xdr:twoCellAnchor editAs="oneCell">
    <xdr:from>
      <xdr:col>13</xdr:col>
      <xdr:colOff>1111063</xdr:colOff>
      <xdr:row>105</xdr:row>
      <xdr:rowOff>202253</xdr:rowOff>
    </xdr:from>
    <xdr:to>
      <xdr:col>14</xdr:col>
      <xdr:colOff>486862</xdr:colOff>
      <xdr:row>117</xdr:row>
      <xdr:rowOff>182364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D958CA10-6B0C-4E15-AE89-0A8F9DC2C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101699" y="20412571"/>
          <a:ext cx="2392219" cy="2283429"/>
        </a:xfrm>
        <a:prstGeom prst="rect">
          <a:avLst/>
        </a:prstGeom>
      </xdr:spPr>
    </xdr:pic>
    <xdr:clientData/>
  </xdr:twoCellAnchor>
  <xdr:twoCellAnchor editAs="oneCell">
    <xdr:from>
      <xdr:col>12</xdr:col>
      <xdr:colOff>4174</xdr:colOff>
      <xdr:row>153</xdr:row>
      <xdr:rowOff>66675</xdr:rowOff>
    </xdr:from>
    <xdr:to>
      <xdr:col>12</xdr:col>
      <xdr:colOff>961812</xdr:colOff>
      <xdr:row>155</xdr:row>
      <xdr:rowOff>152294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305400-AAA8-4D2B-8AD6-D11B55925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87524" y="29432250"/>
          <a:ext cx="957638" cy="476144"/>
        </a:xfrm>
        <a:prstGeom prst="rect">
          <a:avLst/>
        </a:prstGeom>
      </xdr:spPr>
    </xdr:pic>
    <xdr:clientData/>
  </xdr:twoCellAnchor>
  <xdr:twoCellAnchor>
    <xdr:from>
      <xdr:col>3</xdr:col>
      <xdr:colOff>1296240</xdr:colOff>
      <xdr:row>163</xdr:row>
      <xdr:rowOff>115419</xdr:rowOff>
    </xdr:from>
    <xdr:to>
      <xdr:col>8</xdr:col>
      <xdr:colOff>358028</xdr:colOff>
      <xdr:row>178</xdr:row>
      <xdr:rowOff>124944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53FC8F6-D727-4325-A936-8806D78F2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13</xdr:col>
      <xdr:colOff>720587</xdr:colOff>
      <xdr:row>189</xdr:row>
      <xdr:rowOff>5453</xdr:rowOff>
    </xdr:from>
    <xdr:to>
      <xdr:col>13</xdr:col>
      <xdr:colOff>1020002</xdr:colOff>
      <xdr:row>190</xdr:row>
      <xdr:rowOff>157806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DF23660-9888-4C40-9546-17B1E1A21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464630" y="36241866"/>
          <a:ext cx="299415" cy="351136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209550</xdr:colOff>
      <xdr:row>176</xdr:row>
      <xdr:rowOff>28575</xdr:rowOff>
    </xdr:from>
    <xdr:to>
      <xdr:col>13</xdr:col>
      <xdr:colOff>1819074</xdr:colOff>
      <xdr:row>180</xdr:row>
      <xdr:rowOff>18956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DA01FB1-AA92-4419-9BDB-475B64F07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698075" y="33804225"/>
          <a:ext cx="1609524" cy="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552450</xdr:colOff>
      <xdr:row>192</xdr:row>
      <xdr:rowOff>47625</xdr:rowOff>
    </xdr:from>
    <xdr:to>
      <xdr:col>13</xdr:col>
      <xdr:colOff>1314355</xdr:colOff>
      <xdr:row>193</xdr:row>
      <xdr:rowOff>171411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63012D02-D0CD-416B-A95D-20100E592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288625" y="36890325"/>
          <a:ext cx="761905" cy="3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952502</xdr:colOff>
      <xdr:row>210</xdr:row>
      <xdr:rowOff>171448</xdr:rowOff>
    </xdr:from>
    <xdr:to>
      <xdr:col>2</xdr:col>
      <xdr:colOff>3267077</xdr:colOff>
      <xdr:row>233</xdr:row>
      <xdr:rowOff>111577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1E012951-C4EC-406B-A3D4-A02A0B3FA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2" y="40214548"/>
          <a:ext cx="2314575" cy="4321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40821</xdr:colOff>
      <xdr:row>244</xdr:row>
      <xdr:rowOff>27214</xdr:rowOff>
    </xdr:from>
    <xdr:to>
      <xdr:col>9</xdr:col>
      <xdr:colOff>40623</xdr:colOff>
      <xdr:row>267</xdr:row>
      <xdr:rowOff>169523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2F0826-9F50-4954-AA77-3C1EE3D13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261035" y="46958250"/>
          <a:ext cx="4152381" cy="45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598714</xdr:colOff>
      <xdr:row>244</xdr:row>
      <xdr:rowOff>27214</xdr:rowOff>
    </xdr:from>
    <xdr:to>
      <xdr:col>12</xdr:col>
      <xdr:colOff>2762259</xdr:colOff>
      <xdr:row>257</xdr:row>
      <xdr:rowOff>103095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509C8A-A3E5-4824-88E9-2C80986F8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384000" y="46958250"/>
          <a:ext cx="4409524" cy="25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612322</xdr:colOff>
      <xdr:row>257</xdr:row>
      <xdr:rowOff>108857</xdr:rowOff>
    </xdr:from>
    <xdr:to>
      <xdr:col>13</xdr:col>
      <xdr:colOff>2025006</xdr:colOff>
      <xdr:row>277</xdr:row>
      <xdr:rowOff>165524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1F06513-CDE8-4A97-B0BA-3FB99C1F6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397608" y="49516393"/>
          <a:ext cx="6857143" cy="3866667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257</xdr:row>
      <xdr:rowOff>107746</xdr:rowOff>
    </xdr:from>
    <xdr:to>
      <xdr:col>19</xdr:col>
      <xdr:colOff>33949</xdr:colOff>
      <xdr:row>277</xdr:row>
      <xdr:rowOff>158650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4F3C5F8-B5C5-4235-8BE4-276C737A3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1318199" y="49104346"/>
          <a:ext cx="7163133" cy="3860904"/>
        </a:xfrm>
        <a:prstGeom prst="rect">
          <a:avLst/>
        </a:prstGeom>
      </xdr:spPr>
    </xdr:pic>
    <xdr:clientData/>
  </xdr:twoCellAnchor>
  <xdr:oneCellAnchor>
    <xdr:from>
      <xdr:col>16</xdr:col>
      <xdr:colOff>4174</xdr:colOff>
      <xdr:row>290</xdr:row>
      <xdr:rowOff>66675</xdr:rowOff>
    </xdr:from>
    <xdr:ext cx="957638" cy="483937"/>
    <xdr:pic>
      <xdr:nvPicPr>
        <xdr:cNvPr id="24" name="Imagen 23">
          <a:extLst>
            <a:ext uri="{FF2B5EF4-FFF2-40B4-BE49-F238E27FC236}">
              <a16:creationId xmlns:a16="http://schemas.microsoft.com/office/drawing/2014/main" id="{C36C1916-0D66-4A51-BD0F-D7F0CD8F6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860219" y="29594175"/>
          <a:ext cx="957638" cy="483937"/>
        </a:xfrm>
        <a:prstGeom prst="rect">
          <a:avLst/>
        </a:prstGeom>
      </xdr:spPr>
    </xdr:pic>
    <xdr:clientData/>
  </xdr:oneCellAnchor>
  <xdr:oneCellAnchor>
    <xdr:from>
      <xdr:col>14</xdr:col>
      <xdr:colOff>216323</xdr:colOff>
      <xdr:row>329</xdr:row>
      <xdr:rowOff>27864</xdr:rowOff>
    </xdr:from>
    <xdr:ext cx="299415" cy="360171"/>
    <xdr:pic>
      <xdr:nvPicPr>
        <xdr:cNvPr id="26" name="Imagen 25">
          <a:extLst>
            <a:ext uri="{FF2B5EF4-FFF2-40B4-BE49-F238E27FC236}">
              <a16:creationId xmlns:a16="http://schemas.microsoft.com/office/drawing/2014/main" id="{6FC143C7-A1DE-4C89-A595-1B1177784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046882" y="63229040"/>
          <a:ext cx="299415" cy="360171"/>
        </a:xfrm>
        <a:prstGeom prst="rect">
          <a:avLst/>
        </a:prstGeom>
      </xdr:spPr>
    </xdr:pic>
    <xdr:clientData/>
  </xdr:oneCellAnchor>
  <xdr:oneCellAnchor>
    <xdr:from>
      <xdr:col>14</xdr:col>
      <xdr:colOff>493059</xdr:colOff>
      <xdr:row>314</xdr:row>
      <xdr:rowOff>105629</xdr:rowOff>
    </xdr:from>
    <xdr:ext cx="1311753" cy="613186"/>
    <xdr:pic>
      <xdr:nvPicPr>
        <xdr:cNvPr id="27" name="Imagen 26">
          <a:extLst>
            <a:ext uri="{FF2B5EF4-FFF2-40B4-BE49-F238E27FC236}">
              <a16:creationId xmlns:a16="http://schemas.microsoft.com/office/drawing/2014/main" id="{64CDDB84-733F-4408-82A4-E26768AE6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592559" y="60482923"/>
          <a:ext cx="1311753" cy="613186"/>
        </a:xfrm>
        <a:prstGeom prst="rect">
          <a:avLst/>
        </a:prstGeom>
      </xdr:spPr>
    </xdr:pic>
    <xdr:clientData/>
  </xdr:oneCellAnchor>
  <xdr:oneCellAnchor>
    <xdr:from>
      <xdr:col>18</xdr:col>
      <xdr:colOff>698126</xdr:colOff>
      <xdr:row>329</xdr:row>
      <xdr:rowOff>70037</xdr:rowOff>
    </xdr:from>
    <xdr:ext cx="761905" cy="314286"/>
    <xdr:pic>
      <xdr:nvPicPr>
        <xdr:cNvPr id="28" name="Imagen 27">
          <a:extLst>
            <a:ext uri="{FF2B5EF4-FFF2-40B4-BE49-F238E27FC236}">
              <a16:creationId xmlns:a16="http://schemas.microsoft.com/office/drawing/2014/main" id="{14FCFC98-FC6F-4317-B5E0-2C5A62A8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705802" y="63271213"/>
          <a:ext cx="761905" cy="314286"/>
        </a:xfrm>
        <a:prstGeom prst="rect">
          <a:avLst/>
        </a:prstGeom>
      </xdr:spPr>
    </xdr:pic>
    <xdr:clientData/>
  </xdr:oneCellAnchor>
  <xdr:twoCellAnchor>
    <xdr:from>
      <xdr:col>9</xdr:col>
      <xdr:colOff>751451</xdr:colOff>
      <xdr:row>291</xdr:row>
      <xdr:rowOff>122783</xdr:rowOff>
    </xdr:from>
    <xdr:to>
      <xdr:col>12</xdr:col>
      <xdr:colOff>952501</xdr:colOff>
      <xdr:row>303</xdr:row>
      <xdr:rowOff>136071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2C0A65E-B4DD-42A9-B835-2AD861209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14</xdr:col>
      <xdr:colOff>11206</xdr:colOff>
      <xdr:row>308</xdr:row>
      <xdr:rowOff>124977</xdr:rowOff>
    </xdr:from>
    <xdr:to>
      <xdr:col>15</xdr:col>
      <xdr:colOff>505993</xdr:colOff>
      <xdr:row>313</xdr:row>
      <xdr:rowOff>173536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77BBC1D-4E25-4BD5-8DE9-F699F73A1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4110706" y="59314448"/>
          <a:ext cx="3475552" cy="1045883"/>
        </a:xfrm>
        <a:prstGeom prst="rect">
          <a:avLst/>
        </a:prstGeom>
      </xdr:spPr>
    </xdr:pic>
    <xdr:clientData/>
  </xdr:twoCellAnchor>
  <xdr:twoCellAnchor editAs="oneCell">
    <xdr:from>
      <xdr:col>8</xdr:col>
      <xdr:colOff>963703</xdr:colOff>
      <xdr:row>333</xdr:row>
      <xdr:rowOff>78415</xdr:rowOff>
    </xdr:from>
    <xdr:to>
      <xdr:col>10</xdr:col>
      <xdr:colOff>911495</xdr:colOff>
      <xdr:row>336</xdr:row>
      <xdr:rowOff>44822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B8031F27-6588-4C34-9F59-7DBD62914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3341850" y="64164856"/>
          <a:ext cx="3803415" cy="549113"/>
        </a:xfrm>
        <a:prstGeom prst="rect">
          <a:avLst/>
        </a:prstGeom>
      </xdr:spPr>
    </xdr:pic>
    <xdr:clientData/>
  </xdr:twoCellAnchor>
  <xdr:twoCellAnchor editAs="oneCell">
    <xdr:from>
      <xdr:col>1</xdr:col>
      <xdr:colOff>3527308</xdr:colOff>
      <xdr:row>8</xdr:row>
      <xdr:rowOff>54427</xdr:rowOff>
    </xdr:from>
    <xdr:to>
      <xdr:col>2</xdr:col>
      <xdr:colOff>881742</xdr:colOff>
      <xdr:row>24</xdr:row>
      <xdr:rowOff>161924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BBBB26C6-A82B-43B7-A253-718974BD9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5522" y="1632856"/>
          <a:ext cx="4851970" cy="3155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4684568</xdr:colOff>
      <xdr:row>44</xdr:row>
      <xdr:rowOff>38099</xdr:rowOff>
    </xdr:from>
    <xdr:to>
      <xdr:col>7</xdr:col>
      <xdr:colOff>1501908</xdr:colOff>
      <xdr:row>76</xdr:row>
      <xdr:rowOff>65456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88B865E3-1D54-4887-8C35-7FE05F287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9368" y="8458199"/>
          <a:ext cx="7790140" cy="6123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294409</xdr:colOff>
      <xdr:row>210</xdr:row>
      <xdr:rowOff>13889</xdr:rowOff>
    </xdr:from>
    <xdr:to>
      <xdr:col>7</xdr:col>
      <xdr:colOff>438671</xdr:colOff>
      <xdr:row>236</xdr:row>
      <xdr:rowOff>159458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F5A745E5-EC5B-449A-80E2-4ABF0B604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727" y="40590389"/>
          <a:ext cx="6396126" cy="50985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1856540</xdr:colOff>
      <xdr:row>8</xdr:row>
      <xdr:rowOff>136072</xdr:rowOff>
    </xdr:from>
    <xdr:to>
      <xdr:col>2</xdr:col>
      <xdr:colOff>3440964</xdr:colOff>
      <xdr:row>25</xdr:row>
      <xdr:rowOff>6251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97641B07-6960-4A7E-BBD2-DB95522B6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572290" y="1714501"/>
          <a:ext cx="1584424" cy="3108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734620</xdr:colOff>
      <xdr:row>17</xdr:row>
      <xdr:rowOff>8406</xdr:rowOff>
    </xdr:from>
    <xdr:to>
      <xdr:col>26</xdr:col>
      <xdr:colOff>458602</xdr:colOff>
      <xdr:row>28</xdr:row>
      <xdr:rowOff>207540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8B77DA4-11AB-47CC-9848-E39D6404B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77002" y="3527053"/>
          <a:ext cx="2368571" cy="2417899"/>
        </a:xfrm>
        <a:prstGeom prst="rect">
          <a:avLst/>
        </a:prstGeom>
      </xdr:spPr>
    </xdr:pic>
    <xdr:clientData/>
  </xdr:twoCellAnchor>
  <xdr:twoCellAnchor editAs="oneCell">
    <xdr:from>
      <xdr:col>12</xdr:col>
      <xdr:colOff>8965</xdr:colOff>
      <xdr:row>28</xdr:row>
      <xdr:rowOff>180975</xdr:rowOff>
    </xdr:from>
    <xdr:to>
      <xdr:col>18</xdr:col>
      <xdr:colOff>200031</xdr:colOff>
      <xdr:row>40</xdr:row>
      <xdr:rowOff>51820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FA727E6-2249-4496-ACE6-58F8858A0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494318" y="5918387"/>
          <a:ext cx="4438095" cy="2324933"/>
        </a:xfrm>
        <a:prstGeom prst="rect">
          <a:avLst/>
        </a:prstGeom>
      </xdr:spPr>
    </xdr:pic>
    <xdr:clientData/>
  </xdr:twoCellAnchor>
  <xdr:twoCellAnchor editAs="oneCell">
    <xdr:from>
      <xdr:col>12</xdr:col>
      <xdr:colOff>128686</xdr:colOff>
      <xdr:row>11</xdr:row>
      <xdr:rowOff>112619</xdr:rowOff>
    </xdr:from>
    <xdr:to>
      <xdr:col>16</xdr:col>
      <xdr:colOff>750286</xdr:colOff>
      <xdr:row>28</xdr:row>
      <xdr:rowOff>199495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0933509-365F-43F5-BE81-688C9CAB6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614039" y="2421031"/>
          <a:ext cx="3344629" cy="3515876"/>
        </a:xfrm>
        <a:prstGeom prst="rect">
          <a:avLst/>
        </a:prstGeom>
      </xdr:spPr>
    </xdr:pic>
    <xdr:clientData/>
  </xdr:twoCellAnchor>
  <xdr:twoCellAnchor editAs="oneCell">
    <xdr:from>
      <xdr:col>17</xdr:col>
      <xdr:colOff>53789</xdr:colOff>
      <xdr:row>22</xdr:row>
      <xdr:rowOff>33618</xdr:rowOff>
    </xdr:from>
    <xdr:to>
      <xdr:col>23</xdr:col>
      <xdr:colOff>748456</xdr:colOff>
      <xdr:row>28</xdr:row>
      <xdr:rowOff>158958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4A8D028F-860A-4D50-AB24-C2980BFB4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024171" y="4560794"/>
          <a:ext cx="5266667" cy="1335576"/>
        </a:xfrm>
        <a:prstGeom prst="rect">
          <a:avLst/>
        </a:prstGeom>
      </xdr:spPr>
    </xdr:pic>
    <xdr:clientData/>
  </xdr:twoCellAnchor>
  <xdr:twoCellAnchor editAs="oneCell">
    <xdr:from>
      <xdr:col>18</xdr:col>
      <xdr:colOff>198344</xdr:colOff>
      <xdr:row>28</xdr:row>
      <xdr:rowOff>174392</xdr:rowOff>
    </xdr:from>
    <xdr:to>
      <xdr:col>27</xdr:col>
      <xdr:colOff>1180429</xdr:colOff>
      <xdr:row>46</xdr:row>
      <xdr:rowOff>48233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89FC6A59-C9E2-4394-8652-9D951ED01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930726" y="5911804"/>
          <a:ext cx="8501232" cy="35717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100854</xdr:rowOff>
    </xdr:from>
    <xdr:to>
      <xdr:col>4</xdr:col>
      <xdr:colOff>1084241</xdr:colOff>
      <xdr:row>42</xdr:row>
      <xdr:rowOff>176687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6DA74BFE-CDEA-4294-AA34-6A421523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838266"/>
          <a:ext cx="8390476" cy="2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89650</xdr:rowOff>
    </xdr:from>
    <xdr:to>
      <xdr:col>4</xdr:col>
      <xdr:colOff>941384</xdr:colOff>
      <xdr:row>84</xdr:row>
      <xdr:rowOff>150559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EB75F7-69E7-49B6-A93B-19CFD8839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968385"/>
          <a:ext cx="8247619" cy="1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168089</xdr:rowOff>
    </xdr:from>
    <xdr:to>
      <xdr:col>4</xdr:col>
      <xdr:colOff>1198527</xdr:colOff>
      <xdr:row>92</xdr:row>
      <xdr:rowOff>21109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DF59A8B-A42D-4690-A905-246C00ECC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257060"/>
          <a:ext cx="8504762" cy="1466667"/>
        </a:xfrm>
        <a:prstGeom prst="rect">
          <a:avLst/>
        </a:prstGeom>
      </xdr:spPr>
    </xdr:pic>
    <xdr:clientData/>
  </xdr:twoCellAnchor>
  <xdr:oneCellAnchor>
    <xdr:from>
      <xdr:col>0</xdr:col>
      <xdr:colOff>2140324</xdr:colOff>
      <xdr:row>69</xdr:row>
      <xdr:rowOff>0</xdr:rowOff>
    </xdr:from>
    <xdr:ext cx="2476500" cy="4258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0C6B121-31F1-4A43-8F9B-D487C97E6A9C}"/>
                </a:ext>
              </a:extLst>
            </xdr:cNvPr>
            <xdr:cNvSpPr txBox="1"/>
          </xdr:nvSpPr>
          <xdr:spPr>
            <a:xfrm>
              <a:off x="2140324" y="14063382"/>
              <a:ext cx="2476500" cy="425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nary>
                    <m:naryPr>
                      <m:limLoc m:val="undOvr"/>
                      <m:grow m:val="on"/>
                      <m:ctrlPr>
                        <a:rPr lang="es-AR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s-AR" sz="1100" i="0">
                          <a:latin typeface="Cambria Math" panose="02040503050406030204" pitchFamily="18" charset="0"/>
                        </a:rPr>
                        <m:t>0</m:t>
                      </m:r>
                    </m:sub>
                    <m:sup>
                      <m:r>
                        <a:rPr lang="es-AR" sz="1100" i="1">
                          <a:latin typeface="Cambria Math" panose="02040503050406030204" pitchFamily="18" charset="0"/>
                        </a:rPr>
                        <m:t>𝑥</m:t>
                      </m:r>
                    </m:sup>
                    <m:e>
                      <m:r>
                        <a:rPr lang="el-GR" sz="1100" i="1">
                          <a:latin typeface="Cambria Math" panose="02040503050406030204" pitchFamily="18" charset="0"/>
                        </a:rPr>
                        <m:t>𝜆</m:t>
                      </m:r>
                      <m:r>
                        <a:rPr lang="es-AR" sz="1100" i="1">
                          <a:latin typeface="Cambria Math" panose="02040503050406030204" pitchFamily="18" charset="0"/>
                        </a:rPr>
                        <m:t>𝑒</m:t>
                      </m:r>
                      <m:r>
                        <a:rPr lang="es-AR" sz="1100" i="1">
                          <a:latin typeface="Cambria Math" panose="02040503050406030204" pitchFamily="18" charset="0"/>
                        </a:rPr>
                        <m:t>^(−</m:t>
                      </m:r>
                      <m:r>
                        <a:rPr lang="el-GR" sz="1100" i="1">
                          <a:latin typeface="Cambria Math" panose="02040503050406030204" pitchFamily="18" charset="0"/>
                        </a:rPr>
                        <m:t>𝜆</m:t>
                      </m:r>
                      <m:r>
                        <a:rPr lang="el-GR" sz="110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s-AR" sz="110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s-AR" sz="1100" i="1">
                          <a:latin typeface="Cambria Math" panose="02040503050406030204" pitchFamily="18" charset="0"/>
                        </a:rPr>
                        <m:t>)</m:t>
                      </m:r>
                    </m:e>
                  </m:nary>
                </m:oMath>
              </a14:m>
              <a:r>
                <a:rPr lang="es-AR" sz="1100"/>
                <a:t> dx  =  1 - e^(-</a:t>
              </a:r>
              <a:r>
                <a:rPr lang="el-GR" sz="1100"/>
                <a:t>λ*</a:t>
              </a:r>
              <a:r>
                <a:rPr lang="es-AR" sz="1100"/>
                <a:t>x) para x &gt;= 0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0C6B121-31F1-4A43-8F9B-D487C97E6A9C}"/>
                </a:ext>
              </a:extLst>
            </xdr:cNvPr>
            <xdr:cNvSpPr txBox="1"/>
          </xdr:nvSpPr>
          <xdr:spPr>
            <a:xfrm>
              <a:off x="2140324" y="14063382"/>
              <a:ext cx="2476500" cy="425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∫129_0^𝑥▒〖</a:t>
              </a:r>
              <a:r>
                <a:rPr lang="el-GR" sz="1100" i="0">
                  <a:latin typeface="Cambria Math" panose="02040503050406030204" pitchFamily="18" charset="0"/>
                </a:rPr>
                <a:t>𝜆</a:t>
              </a:r>
              <a:r>
                <a:rPr lang="es-AR" sz="1100" i="0">
                  <a:latin typeface="Cambria Math" panose="02040503050406030204" pitchFamily="18" charset="0"/>
                </a:rPr>
                <a:t>𝑒^(-</a:t>
              </a:r>
              <a:r>
                <a:rPr lang="el-GR" sz="1100" i="0">
                  <a:latin typeface="Cambria Math" panose="02040503050406030204" pitchFamily="18" charset="0"/>
                </a:rPr>
                <a:t>𝜆*</a:t>
              </a:r>
              <a:r>
                <a:rPr lang="es-AR" sz="1100" i="0">
                  <a:latin typeface="Cambria Math" panose="02040503050406030204" pitchFamily="18" charset="0"/>
                </a:rPr>
                <a:t>𝑥)〗</a:t>
              </a:r>
              <a:r>
                <a:rPr lang="es-AR" sz="1100"/>
                <a:t> dx  =  1 - e^(-</a:t>
              </a:r>
              <a:r>
                <a:rPr lang="el-GR" sz="1100"/>
                <a:t>λ*</a:t>
              </a:r>
              <a:r>
                <a:rPr lang="es-AR" sz="1100"/>
                <a:t>x) para x &gt;= 0</a:t>
              </a:r>
            </a:p>
          </xdr:txBody>
        </xdr:sp>
      </mc:Fallback>
    </mc:AlternateContent>
    <xdr:clientData/>
  </xdr:oneCellAnchor>
  <xdr:twoCellAnchor editAs="oneCell">
    <xdr:from>
      <xdr:col>16</xdr:col>
      <xdr:colOff>421340</xdr:colOff>
      <xdr:row>60</xdr:row>
      <xdr:rowOff>43288</xdr:rowOff>
    </xdr:from>
    <xdr:to>
      <xdr:col>21</xdr:col>
      <xdr:colOff>448236</xdr:colOff>
      <xdr:row>69</xdr:row>
      <xdr:rowOff>176207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F8B8E8-BCAD-443F-ABA7-EC4196384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629722" y="12369759"/>
          <a:ext cx="3836896" cy="194827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40022</xdr:colOff>
      <xdr:row>60</xdr:row>
      <xdr:rowOff>40341</xdr:rowOff>
    </xdr:from>
    <xdr:to>
      <xdr:col>16</xdr:col>
      <xdr:colOff>366720</xdr:colOff>
      <xdr:row>80</xdr:row>
      <xdr:rowOff>226954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CB7028F-06DE-446F-9666-CA0AAC796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460816" y="12366812"/>
          <a:ext cx="4114286" cy="4220730"/>
        </a:xfrm>
        <a:prstGeom prst="rect">
          <a:avLst/>
        </a:prstGeom>
      </xdr:spPr>
    </xdr:pic>
    <xdr:clientData/>
  </xdr:twoCellAnchor>
  <xdr:twoCellAnchor editAs="oneCell">
    <xdr:from>
      <xdr:col>21</xdr:col>
      <xdr:colOff>587188</xdr:colOff>
      <xdr:row>60</xdr:row>
      <xdr:rowOff>22411</xdr:rowOff>
    </xdr:from>
    <xdr:to>
      <xdr:col>29</xdr:col>
      <xdr:colOff>25419</xdr:colOff>
      <xdr:row>81</xdr:row>
      <xdr:rowOff>589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7EB07E4-D3D5-4718-BA0A-AB00CD0B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650394" y="12348882"/>
          <a:ext cx="7304761" cy="42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840442</xdr:colOff>
      <xdr:row>81</xdr:row>
      <xdr:rowOff>78440</xdr:rowOff>
    </xdr:from>
    <xdr:to>
      <xdr:col>25</xdr:col>
      <xdr:colOff>71044</xdr:colOff>
      <xdr:row>102</xdr:row>
      <xdr:rowOff>166426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89EBBBC-AE15-4049-A58F-AC426C512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981089" y="16674352"/>
          <a:ext cx="9876190" cy="43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1218155</xdr:colOff>
      <xdr:row>29</xdr:row>
      <xdr:rowOff>33617</xdr:rowOff>
    </xdr:from>
    <xdr:to>
      <xdr:col>7</xdr:col>
      <xdr:colOff>1030940</xdr:colOff>
      <xdr:row>47</xdr:row>
      <xdr:rowOff>140935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9779C36-14CE-4BE6-ABFD-BC280E797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801861" y="6006352"/>
          <a:ext cx="4283932" cy="3771642"/>
        </a:xfrm>
        <a:prstGeom prst="rect">
          <a:avLst/>
        </a:prstGeom>
      </xdr:spPr>
    </xdr:pic>
    <xdr:clientData/>
  </xdr:twoCellAnchor>
  <xdr:twoCellAnchor editAs="oneCell">
    <xdr:from>
      <xdr:col>5</xdr:col>
      <xdr:colOff>851646</xdr:colOff>
      <xdr:row>81</xdr:row>
      <xdr:rowOff>11207</xdr:rowOff>
    </xdr:from>
    <xdr:to>
      <xdr:col>7</xdr:col>
      <xdr:colOff>1494785</xdr:colOff>
      <xdr:row>105</xdr:row>
      <xdr:rowOff>41979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2055738-03D1-48D7-B710-D6BA7D74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435352" y="16539883"/>
          <a:ext cx="5114286" cy="48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52</xdr:row>
      <xdr:rowOff>47625</xdr:rowOff>
    </xdr:from>
    <xdr:to>
      <xdr:col>7</xdr:col>
      <xdr:colOff>1368239</xdr:colOff>
      <xdr:row>57</xdr:row>
      <xdr:rowOff>153521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17D2BA-6241-419C-BBAF-0454BC5C1C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10210800"/>
          <a:ext cx="1901639" cy="1058396"/>
        </a:xfrm>
        <a:prstGeom prst="rect">
          <a:avLst/>
        </a:prstGeom>
      </xdr:spPr>
    </xdr:pic>
    <xdr:clientData/>
  </xdr:twoCellAnchor>
  <xdr:twoCellAnchor editAs="oneCell">
    <xdr:from>
      <xdr:col>7</xdr:col>
      <xdr:colOff>949699</xdr:colOff>
      <xdr:row>66</xdr:row>
      <xdr:rowOff>19869</xdr:rowOff>
    </xdr:from>
    <xdr:to>
      <xdr:col>9</xdr:col>
      <xdr:colOff>121098</xdr:colOff>
      <xdr:row>67</xdr:row>
      <xdr:rowOff>180935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7994FC-AA48-4252-9D13-F369E227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94149" y="12897669"/>
          <a:ext cx="1609799" cy="351566"/>
        </a:xfrm>
        <a:prstGeom prst="rect">
          <a:avLst/>
        </a:prstGeom>
      </xdr:spPr>
    </xdr:pic>
    <xdr:clientData/>
  </xdr:twoCellAnchor>
  <xdr:twoCellAnchor editAs="oneCell">
    <xdr:from>
      <xdr:col>5</xdr:col>
      <xdr:colOff>1909473</xdr:colOff>
      <xdr:row>63</xdr:row>
      <xdr:rowOff>180975</xdr:rowOff>
    </xdr:from>
    <xdr:to>
      <xdr:col>6</xdr:col>
      <xdr:colOff>870134</xdr:colOff>
      <xdr:row>65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35914E9-A105-4531-806E-8035DC0D1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4973" y="12477750"/>
          <a:ext cx="865661" cy="390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</xdr:colOff>
      <xdr:row>89</xdr:row>
      <xdr:rowOff>126088</xdr:rowOff>
    </xdr:from>
    <xdr:to>
      <xdr:col>6</xdr:col>
      <xdr:colOff>75984</xdr:colOff>
      <xdr:row>92</xdr:row>
      <xdr:rowOff>104673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CCCAC2-C565-4E19-BDDF-2220749C1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25125" y="17490163"/>
          <a:ext cx="1171359" cy="550085"/>
        </a:xfrm>
        <a:prstGeom prst="rect">
          <a:avLst/>
        </a:prstGeom>
      </xdr:spPr>
    </xdr:pic>
    <xdr:clientData/>
  </xdr:twoCellAnchor>
  <xdr:twoCellAnchor editAs="oneCell">
    <xdr:from>
      <xdr:col>6</xdr:col>
      <xdr:colOff>3053150</xdr:colOff>
      <xdr:row>78</xdr:row>
      <xdr:rowOff>33616</xdr:rowOff>
    </xdr:from>
    <xdr:to>
      <xdr:col>7</xdr:col>
      <xdr:colOff>1266556</xdr:colOff>
      <xdr:row>82</xdr:row>
      <xdr:rowOff>174065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371471C-503E-4144-9ECE-E1745D3CA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40075" y="15273616"/>
          <a:ext cx="1270931" cy="902449"/>
        </a:xfrm>
        <a:prstGeom prst="rect">
          <a:avLst/>
        </a:prstGeom>
      </xdr:spPr>
    </xdr:pic>
    <xdr:clientData/>
  </xdr:twoCellAnchor>
  <xdr:twoCellAnchor editAs="oneCell">
    <xdr:from>
      <xdr:col>4</xdr:col>
      <xdr:colOff>885265</xdr:colOff>
      <xdr:row>81</xdr:row>
      <xdr:rowOff>117364</xdr:rowOff>
    </xdr:from>
    <xdr:to>
      <xdr:col>4</xdr:col>
      <xdr:colOff>1437610</xdr:colOff>
      <xdr:row>82</xdr:row>
      <xdr:rowOff>186531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D66073E-EF8B-4972-BE71-57DC658FB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5815" y="15928864"/>
          <a:ext cx="552345" cy="259667"/>
        </a:xfrm>
        <a:prstGeom prst="rect">
          <a:avLst/>
        </a:prstGeom>
      </xdr:spPr>
    </xdr:pic>
    <xdr:clientData/>
  </xdr:twoCellAnchor>
  <xdr:twoCellAnchor editAs="oneCell">
    <xdr:from>
      <xdr:col>4</xdr:col>
      <xdr:colOff>851647</xdr:colOff>
      <xdr:row>83</xdr:row>
      <xdr:rowOff>2721</xdr:rowOff>
    </xdr:from>
    <xdr:to>
      <xdr:col>4</xdr:col>
      <xdr:colOff>1423014</xdr:colOff>
      <xdr:row>83</xdr:row>
      <xdr:rowOff>185415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726A86B-153F-41C0-9ACE-C61C7D2DB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2197" y="16204746"/>
          <a:ext cx="571367" cy="182694"/>
        </a:xfrm>
        <a:prstGeom prst="rect">
          <a:avLst/>
        </a:prstGeom>
      </xdr:spPr>
    </xdr:pic>
    <xdr:clientData/>
  </xdr:twoCellAnchor>
  <xdr:twoCellAnchor editAs="oneCell">
    <xdr:from>
      <xdr:col>7</xdr:col>
      <xdr:colOff>640976</xdr:colOff>
      <xdr:row>95</xdr:row>
      <xdr:rowOff>17369</xdr:rowOff>
    </xdr:from>
    <xdr:to>
      <xdr:col>9</xdr:col>
      <xdr:colOff>451316</xdr:colOff>
      <xdr:row>96</xdr:row>
      <xdr:rowOff>179250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F2C7728-12CF-4426-A8B9-6AF499FED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85426" y="18533969"/>
          <a:ext cx="2248740" cy="3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112</xdr:row>
      <xdr:rowOff>304360</xdr:rowOff>
    </xdr:from>
    <xdr:to>
      <xdr:col>6</xdr:col>
      <xdr:colOff>1077195</xdr:colOff>
      <xdr:row>112</xdr:row>
      <xdr:rowOff>829670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0E579F8-A5B9-4E36-8914-7387BBC2C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658600" y="22154710"/>
          <a:ext cx="1039095" cy="525310"/>
        </a:xfrm>
        <a:prstGeom prst="rect">
          <a:avLst/>
        </a:prstGeom>
      </xdr:spPr>
    </xdr:pic>
    <xdr:clientData/>
  </xdr:twoCellAnchor>
  <xdr:twoCellAnchor editAs="oneCell">
    <xdr:from>
      <xdr:col>5</xdr:col>
      <xdr:colOff>930089</xdr:colOff>
      <xdr:row>115</xdr:row>
      <xdr:rowOff>30456</xdr:rowOff>
    </xdr:from>
    <xdr:to>
      <xdr:col>7</xdr:col>
      <xdr:colOff>513512</xdr:colOff>
      <xdr:row>117</xdr:row>
      <xdr:rowOff>123193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6C691EF-9CDA-4F70-8F95-DC20EB1F4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07589" y="23414331"/>
          <a:ext cx="1850373" cy="47373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222998</xdr:colOff>
      <xdr:row>113</xdr:row>
      <xdr:rowOff>141754</xdr:rowOff>
    </xdr:from>
    <xdr:to>
      <xdr:col>6</xdr:col>
      <xdr:colOff>1003950</xdr:colOff>
      <xdr:row>113</xdr:row>
      <xdr:rowOff>460517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D32CF2D-D481-4C3B-A5B9-EEAF295C0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843498" y="22839829"/>
          <a:ext cx="780952" cy="318763"/>
        </a:xfrm>
        <a:prstGeom prst="rect">
          <a:avLst/>
        </a:prstGeom>
      </xdr:spPr>
    </xdr:pic>
    <xdr:clientData/>
  </xdr:twoCellAnchor>
  <xdr:twoCellAnchor editAs="oneCell">
    <xdr:from>
      <xdr:col>7</xdr:col>
      <xdr:colOff>1347509</xdr:colOff>
      <xdr:row>119</xdr:row>
      <xdr:rowOff>22411</xdr:rowOff>
    </xdr:from>
    <xdr:to>
      <xdr:col>8</xdr:col>
      <xdr:colOff>138885</xdr:colOff>
      <xdr:row>120</xdr:row>
      <xdr:rowOff>155721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A43DD8E-494C-4C60-BB7A-2E7654A96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091959" y="24168286"/>
          <a:ext cx="563026" cy="3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24091</xdr:colOff>
      <xdr:row>119</xdr:row>
      <xdr:rowOff>10085</xdr:rowOff>
    </xdr:from>
    <xdr:to>
      <xdr:col>9</xdr:col>
      <xdr:colOff>678417</xdr:colOff>
      <xdr:row>120</xdr:row>
      <xdr:rowOff>138348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E8AF7B2-54E0-4167-A5D3-9245C3F0B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206941" y="24155960"/>
          <a:ext cx="654326" cy="318763"/>
        </a:xfrm>
        <a:prstGeom prst="rect">
          <a:avLst/>
        </a:prstGeom>
      </xdr:spPr>
    </xdr:pic>
    <xdr:clientData/>
  </xdr:twoCellAnchor>
  <xdr:twoCellAnchor editAs="oneCell">
    <xdr:from>
      <xdr:col>10</xdr:col>
      <xdr:colOff>1590115</xdr:colOff>
      <xdr:row>141</xdr:row>
      <xdr:rowOff>17928</xdr:rowOff>
    </xdr:from>
    <xdr:to>
      <xdr:col>10</xdr:col>
      <xdr:colOff>2856126</xdr:colOff>
      <xdr:row>144</xdr:row>
      <xdr:rowOff>2673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4431EFB-7A56-45C5-BA7A-2D495C8F7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525565" y="28440528"/>
          <a:ext cx="1266011" cy="632445"/>
        </a:xfrm>
        <a:prstGeom prst="rect">
          <a:avLst/>
        </a:prstGeom>
      </xdr:spPr>
    </xdr:pic>
    <xdr:clientData/>
  </xdr:twoCellAnchor>
  <xdr:twoCellAnchor editAs="oneCell">
    <xdr:from>
      <xdr:col>8</xdr:col>
      <xdr:colOff>17929</xdr:colOff>
      <xdr:row>144</xdr:row>
      <xdr:rowOff>30816</xdr:rowOff>
    </xdr:from>
    <xdr:to>
      <xdr:col>9</xdr:col>
      <xdr:colOff>4385</xdr:colOff>
      <xdr:row>144</xdr:row>
      <xdr:rowOff>349019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8A405FD-57D5-4C71-918B-FC8532479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534029" y="29101116"/>
          <a:ext cx="653206" cy="318203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147</xdr:row>
      <xdr:rowOff>33618</xdr:rowOff>
    </xdr:from>
    <xdr:to>
      <xdr:col>7</xdr:col>
      <xdr:colOff>752405</xdr:colOff>
      <xdr:row>148</xdr:row>
      <xdr:rowOff>166928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C6D4312-843D-4F33-B930-609D05572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934950" y="29856393"/>
          <a:ext cx="561905" cy="3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739586</xdr:colOff>
      <xdr:row>147</xdr:row>
      <xdr:rowOff>29136</xdr:rowOff>
    </xdr:from>
    <xdr:to>
      <xdr:col>7</xdr:col>
      <xdr:colOff>1393913</xdr:colOff>
      <xdr:row>148</xdr:row>
      <xdr:rowOff>157399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8B7C461-BD00-41ED-81F1-69A2E02B3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84036" y="29851911"/>
          <a:ext cx="654327" cy="3187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1613647</xdr:colOff>
      <xdr:row>89</xdr:row>
      <xdr:rowOff>190501</xdr:rowOff>
    </xdr:from>
    <xdr:to>
      <xdr:col>6</xdr:col>
      <xdr:colOff>3873314</xdr:colOff>
      <xdr:row>95</xdr:row>
      <xdr:rowOff>124946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B9629B-7812-415E-863F-7C1F763DB27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72347" y="17430751"/>
          <a:ext cx="2259667" cy="1144120"/>
        </a:xfrm>
        <a:prstGeom prst="rect">
          <a:avLst/>
        </a:prstGeom>
      </xdr:spPr>
    </xdr:pic>
    <xdr:clientData/>
  </xdr:twoCellAnchor>
  <xdr:twoCellAnchor editAs="oneCell">
    <xdr:from>
      <xdr:col>7</xdr:col>
      <xdr:colOff>949699</xdr:colOff>
      <xdr:row>104</xdr:row>
      <xdr:rowOff>19869</xdr:rowOff>
    </xdr:from>
    <xdr:to>
      <xdr:col>9</xdr:col>
      <xdr:colOff>493694</xdr:colOff>
      <xdr:row>105</xdr:row>
      <xdr:rowOff>180935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B68281-4BC2-4873-8645-080EF5FF1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3249" y="20231919"/>
          <a:ext cx="1610920" cy="351566"/>
        </a:xfrm>
        <a:prstGeom prst="rect">
          <a:avLst/>
        </a:prstGeom>
      </xdr:spPr>
    </xdr:pic>
    <xdr:clientData/>
  </xdr:twoCellAnchor>
  <xdr:twoCellAnchor editAs="oneCell">
    <xdr:from>
      <xdr:col>5</xdr:col>
      <xdr:colOff>1909473</xdr:colOff>
      <xdr:row>101</xdr:row>
      <xdr:rowOff>180975</xdr:rowOff>
    </xdr:from>
    <xdr:to>
      <xdr:col>6</xdr:col>
      <xdr:colOff>822509</xdr:colOff>
      <xdr:row>103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6990406-E525-4E05-9489-5CF59346D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5548" y="19812000"/>
          <a:ext cx="865661" cy="390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</xdr:colOff>
      <xdr:row>127</xdr:row>
      <xdr:rowOff>126088</xdr:rowOff>
    </xdr:from>
    <xdr:to>
      <xdr:col>5</xdr:col>
      <xdr:colOff>1218984</xdr:colOff>
      <xdr:row>130</xdr:row>
      <xdr:rowOff>104673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9CDF529-A61B-46EF-B958-BEEE0D728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53700" y="24824413"/>
          <a:ext cx="1171359" cy="550085"/>
        </a:xfrm>
        <a:prstGeom prst="rect">
          <a:avLst/>
        </a:prstGeom>
      </xdr:spPr>
    </xdr:pic>
    <xdr:clientData/>
  </xdr:twoCellAnchor>
  <xdr:twoCellAnchor editAs="oneCell">
    <xdr:from>
      <xdr:col>6</xdr:col>
      <xdr:colOff>3053150</xdr:colOff>
      <xdr:row>116</xdr:row>
      <xdr:rowOff>33616</xdr:rowOff>
    </xdr:from>
    <xdr:to>
      <xdr:col>6</xdr:col>
      <xdr:colOff>4324081</xdr:colOff>
      <xdr:row>120</xdr:row>
      <xdr:rowOff>174065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EB6F110-813B-45A5-8592-D3BA53C9B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11850" y="22607866"/>
          <a:ext cx="1270931" cy="902449"/>
        </a:xfrm>
        <a:prstGeom prst="rect">
          <a:avLst/>
        </a:prstGeom>
      </xdr:spPr>
    </xdr:pic>
    <xdr:clientData/>
  </xdr:twoCellAnchor>
  <xdr:twoCellAnchor editAs="oneCell">
    <xdr:from>
      <xdr:col>4</xdr:col>
      <xdr:colOff>560295</xdr:colOff>
      <xdr:row>119</xdr:row>
      <xdr:rowOff>150982</xdr:rowOff>
    </xdr:from>
    <xdr:to>
      <xdr:col>4</xdr:col>
      <xdr:colOff>1112640</xdr:colOff>
      <xdr:row>121</xdr:row>
      <xdr:rowOff>18443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D39FAF0-D9EF-4ED3-B13A-84A464DBF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80445" y="23296732"/>
          <a:ext cx="552345" cy="257986"/>
        </a:xfrm>
        <a:prstGeom prst="rect">
          <a:avLst/>
        </a:prstGeom>
      </xdr:spPr>
    </xdr:pic>
    <xdr:clientData/>
  </xdr:twoCellAnchor>
  <xdr:twoCellAnchor editAs="oneCell">
    <xdr:from>
      <xdr:col>4</xdr:col>
      <xdr:colOff>515471</xdr:colOff>
      <xdr:row>121</xdr:row>
      <xdr:rowOff>2721</xdr:rowOff>
    </xdr:from>
    <xdr:to>
      <xdr:col>4</xdr:col>
      <xdr:colOff>1086838</xdr:colOff>
      <xdr:row>121</xdr:row>
      <xdr:rowOff>185415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C7AA0E1-4CCC-4709-A199-DB48A65EF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35621" y="23538996"/>
          <a:ext cx="571367" cy="182694"/>
        </a:xfrm>
        <a:prstGeom prst="rect">
          <a:avLst/>
        </a:prstGeom>
      </xdr:spPr>
    </xdr:pic>
    <xdr:clientData/>
  </xdr:twoCellAnchor>
  <xdr:twoCellAnchor editAs="oneCell">
    <xdr:from>
      <xdr:col>7</xdr:col>
      <xdr:colOff>640976</xdr:colOff>
      <xdr:row>133</xdr:row>
      <xdr:rowOff>17369</xdr:rowOff>
    </xdr:from>
    <xdr:to>
      <xdr:col>9</xdr:col>
      <xdr:colOff>823912</xdr:colOff>
      <xdr:row>134</xdr:row>
      <xdr:rowOff>179250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41C3462-7307-4C81-BDA1-75344F2D7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614526" y="25868219"/>
          <a:ext cx="2249861" cy="3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2812680</xdr:colOff>
      <xdr:row>150</xdr:row>
      <xdr:rowOff>22413</xdr:rowOff>
    </xdr:from>
    <xdr:to>
      <xdr:col>6</xdr:col>
      <xdr:colOff>4277595</xdr:colOff>
      <xdr:row>150</xdr:row>
      <xdr:rowOff>762995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CA2624D-C6DF-4694-9C04-A9417FD6B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71380" y="29216538"/>
          <a:ext cx="1464915" cy="740582"/>
        </a:xfrm>
        <a:prstGeom prst="rect">
          <a:avLst/>
        </a:prstGeom>
      </xdr:spPr>
    </xdr:pic>
    <xdr:clientData/>
  </xdr:twoCellAnchor>
  <xdr:twoCellAnchor editAs="oneCell">
    <xdr:from>
      <xdr:col>5</xdr:col>
      <xdr:colOff>930089</xdr:colOff>
      <xdr:row>153</xdr:row>
      <xdr:rowOff>30456</xdr:rowOff>
    </xdr:from>
    <xdr:to>
      <xdr:col>6</xdr:col>
      <xdr:colOff>827837</xdr:colOff>
      <xdr:row>155</xdr:row>
      <xdr:rowOff>123193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40ACE6B-D070-44E8-A9E3-B6A64E273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36164" y="30586656"/>
          <a:ext cx="1850373" cy="473737"/>
        </a:xfrm>
        <a:prstGeom prst="rect">
          <a:avLst/>
        </a:prstGeom>
      </xdr:spPr>
    </xdr:pic>
    <xdr:clientData/>
  </xdr:twoCellAnchor>
  <xdr:twoCellAnchor editAs="oneCell">
    <xdr:from>
      <xdr:col>6</xdr:col>
      <xdr:colOff>3328148</xdr:colOff>
      <xdr:row>151</xdr:row>
      <xdr:rowOff>56029</xdr:rowOff>
    </xdr:from>
    <xdr:to>
      <xdr:col>6</xdr:col>
      <xdr:colOff>4109100</xdr:colOff>
      <xdr:row>151</xdr:row>
      <xdr:rowOff>374792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C4F775C-C462-43D8-8762-DE0F4EF63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786848" y="30021679"/>
          <a:ext cx="780952" cy="318763"/>
        </a:xfrm>
        <a:prstGeom prst="rect">
          <a:avLst/>
        </a:prstGeom>
      </xdr:spPr>
    </xdr:pic>
    <xdr:clientData/>
  </xdr:twoCellAnchor>
  <xdr:twoCellAnchor editAs="oneCell">
    <xdr:from>
      <xdr:col>7</xdr:col>
      <xdr:colOff>1176619</xdr:colOff>
      <xdr:row>157</xdr:row>
      <xdr:rowOff>22411</xdr:rowOff>
    </xdr:from>
    <xdr:to>
      <xdr:col>8</xdr:col>
      <xdr:colOff>348995</xdr:colOff>
      <xdr:row>158</xdr:row>
      <xdr:rowOff>155721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9D9E57F-C390-417E-9943-1637C7B4C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150169" y="31340611"/>
          <a:ext cx="563026" cy="3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357466</xdr:colOff>
      <xdr:row>157</xdr:row>
      <xdr:rowOff>29135</xdr:rowOff>
    </xdr:from>
    <xdr:to>
      <xdr:col>9</xdr:col>
      <xdr:colOff>336638</xdr:colOff>
      <xdr:row>158</xdr:row>
      <xdr:rowOff>157398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F8412F9-35F1-420D-BD4E-033812822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721666" y="31347335"/>
          <a:ext cx="655447" cy="3187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1075765</xdr:colOff>
      <xdr:row>179</xdr:row>
      <xdr:rowOff>56028</xdr:rowOff>
    </xdr:from>
    <xdr:to>
      <xdr:col>10</xdr:col>
      <xdr:colOff>2341776</xdr:colOff>
      <xdr:row>182</xdr:row>
      <xdr:rowOff>2673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358CBAA-9A68-47E8-86DA-7BA1090BB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592615" y="35650953"/>
          <a:ext cx="1266011" cy="632445"/>
        </a:xfrm>
        <a:prstGeom prst="rect">
          <a:avLst/>
        </a:prstGeom>
      </xdr:spPr>
    </xdr:pic>
    <xdr:clientData/>
  </xdr:twoCellAnchor>
  <xdr:twoCellAnchor editAs="oneCell">
    <xdr:from>
      <xdr:col>8</xdr:col>
      <xdr:colOff>22411</xdr:colOff>
      <xdr:row>182</xdr:row>
      <xdr:rowOff>112059</xdr:rowOff>
    </xdr:from>
    <xdr:to>
      <xdr:col>9</xdr:col>
      <xdr:colOff>3264</xdr:colOff>
      <xdr:row>183</xdr:row>
      <xdr:rowOff>4439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07D8F38-71FC-4E0B-BF87-67AB00F7F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86611" y="36392784"/>
          <a:ext cx="657128" cy="32100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185</xdr:row>
      <xdr:rowOff>33618</xdr:rowOff>
    </xdr:from>
    <xdr:to>
      <xdr:col>7</xdr:col>
      <xdr:colOff>752405</xdr:colOff>
      <xdr:row>186</xdr:row>
      <xdr:rowOff>166928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F505CC8-820B-4FC5-A3DB-E3084489E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164050" y="37123968"/>
          <a:ext cx="561905" cy="3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739586</xdr:colOff>
      <xdr:row>185</xdr:row>
      <xdr:rowOff>29136</xdr:rowOff>
    </xdr:from>
    <xdr:to>
      <xdr:col>8</xdr:col>
      <xdr:colOff>3263</xdr:colOff>
      <xdr:row>186</xdr:row>
      <xdr:rowOff>157399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7FF44663-2E1D-4C6E-A53D-A42663961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713136" y="37119486"/>
          <a:ext cx="654327" cy="318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06F48-9E05-4A3C-9731-6DD530DC5D92}">
  <dimension ref="A1:X199"/>
  <sheetViews>
    <sheetView topLeftCell="A157" zoomScale="115" zoomScaleNormal="115" workbookViewId="0">
      <selection activeCell="A165" sqref="A165:M165"/>
    </sheetView>
  </sheetViews>
  <sheetFormatPr baseColWidth="10" defaultRowHeight="15" x14ac:dyDescent="0.25"/>
  <cols>
    <col min="1" max="2" width="13.85546875" customWidth="1"/>
    <col min="3" max="3" width="27.7109375" customWidth="1"/>
    <col min="4" max="4" width="18.7109375" customWidth="1"/>
    <col min="5" max="5" width="16.28515625" customWidth="1"/>
    <col min="6" max="6" width="39.85546875" customWidth="1"/>
    <col min="7" max="7" width="25.28515625" customWidth="1"/>
  </cols>
  <sheetData>
    <row r="1" spans="1:13" x14ac:dyDescent="0.25">
      <c r="A1" s="469" t="s">
        <v>459</v>
      </c>
      <c r="B1" s="469"/>
      <c r="C1" s="469"/>
      <c r="D1" s="469"/>
      <c r="E1" s="469"/>
      <c r="F1" s="559"/>
      <c r="G1" s="2"/>
      <c r="H1" s="2"/>
      <c r="I1" s="2"/>
      <c r="J1" s="2"/>
      <c r="K1" s="2"/>
      <c r="L1" s="2"/>
      <c r="M1" s="2"/>
    </row>
    <row r="2" spans="1:13" x14ac:dyDescent="0.25">
      <c r="A2" s="509" t="s">
        <v>540</v>
      </c>
      <c r="B2" s="509"/>
      <c r="C2" s="509"/>
      <c r="D2" s="509"/>
      <c r="E2" s="509"/>
      <c r="F2" s="509"/>
      <c r="G2" s="251"/>
      <c r="H2" s="251"/>
      <c r="I2" s="251"/>
      <c r="J2" s="251"/>
      <c r="K2" s="251"/>
      <c r="L2" s="251"/>
      <c r="M2" s="251"/>
    </row>
    <row r="3" spans="1:13" ht="15" customHeight="1" x14ac:dyDescent="0.25">
      <c r="A3" s="510"/>
      <c r="B3" s="510"/>
      <c r="C3" s="510"/>
      <c r="D3" s="510"/>
      <c r="E3" s="510"/>
      <c r="F3" s="559"/>
      <c r="G3" s="251"/>
      <c r="H3" s="251"/>
      <c r="I3" s="251"/>
      <c r="J3" s="251"/>
      <c r="K3" s="251"/>
      <c r="L3" s="251"/>
      <c r="M3" s="251"/>
    </row>
    <row r="4" spans="1:13" x14ac:dyDescent="0.25">
      <c r="A4" s="369"/>
      <c r="B4" s="369"/>
      <c r="C4" s="369"/>
      <c r="D4" s="369"/>
      <c r="E4" s="369"/>
      <c r="F4" s="369"/>
      <c r="G4" s="251"/>
      <c r="H4" s="251"/>
      <c r="I4" s="251"/>
      <c r="J4" s="251"/>
      <c r="K4" s="251"/>
      <c r="L4" s="251"/>
      <c r="M4" s="251"/>
    </row>
    <row r="5" spans="1:13" x14ac:dyDescent="0.25">
      <c r="A5" s="558"/>
      <c r="B5" s="558"/>
      <c r="C5" s="558"/>
      <c r="D5" s="558"/>
      <c r="E5" s="558"/>
      <c r="F5" s="558"/>
      <c r="G5" s="251"/>
      <c r="H5" s="251"/>
      <c r="I5" s="251"/>
      <c r="J5" s="251"/>
      <c r="K5" s="251"/>
      <c r="L5" s="251"/>
      <c r="M5" s="251"/>
    </row>
    <row r="6" spans="1:13" x14ac:dyDescent="0.25">
      <c r="A6" s="558"/>
      <c r="B6" s="558"/>
      <c r="C6" s="558"/>
      <c r="D6" s="558"/>
      <c r="E6" s="558"/>
      <c r="F6" s="558"/>
      <c r="G6" s="251"/>
      <c r="H6" s="251"/>
      <c r="I6" s="251"/>
      <c r="J6" s="251"/>
      <c r="K6" s="251"/>
      <c r="L6" s="251"/>
      <c r="M6" s="251"/>
    </row>
    <row r="7" spans="1:13" x14ac:dyDescent="0.25">
      <c r="A7" s="558"/>
      <c r="B7" s="558"/>
      <c r="C7" s="558"/>
      <c r="D7" s="558"/>
      <c r="E7" s="558"/>
      <c r="F7" s="558"/>
      <c r="G7" s="251"/>
      <c r="H7" s="251"/>
      <c r="I7" s="251"/>
      <c r="J7" s="251"/>
      <c r="K7" s="251"/>
      <c r="L7" s="251"/>
      <c r="M7" s="251"/>
    </row>
    <row r="8" spans="1:13" x14ac:dyDescent="0.25">
      <c r="A8" s="558"/>
      <c r="B8" s="558"/>
      <c r="C8" s="558"/>
      <c r="D8" s="558"/>
      <c r="E8" s="558"/>
      <c r="F8" s="558"/>
      <c r="G8" s="251"/>
      <c r="H8" s="251"/>
      <c r="I8" s="251"/>
      <c r="J8" s="251"/>
      <c r="K8" s="251"/>
      <c r="L8" s="251"/>
      <c r="M8" s="251"/>
    </row>
    <row r="9" spans="1:13" x14ac:dyDescent="0.25">
      <c r="A9" s="558"/>
      <c r="B9" s="558"/>
      <c r="C9" s="558"/>
      <c r="D9" s="558"/>
      <c r="E9" s="558"/>
      <c r="F9" s="558"/>
      <c r="G9" s="251"/>
      <c r="H9" s="251"/>
      <c r="I9" s="251"/>
      <c r="J9" s="251"/>
      <c r="K9" s="251"/>
      <c r="L9" s="251"/>
      <c r="M9" s="251"/>
    </row>
    <row r="10" spans="1:13" x14ac:dyDescent="0.25">
      <c r="A10" s="558"/>
      <c r="B10" s="558"/>
      <c r="C10" s="558"/>
      <c r="D10" s="558"/>
      <c r="E10" s="558"/>
      <c r="F10" s="558"/>
      <c r="G10" s="251"/>
      <c r="H10" s="251"/>
      <c r="I10" s="251"/>
      <c r="J10" s="251"/>
      <c r="K10" s="251"/>
      <c r="L10" s="251"/>
      <c r="M10" s="251"/>
    </row>
    <row r="11" spans="1:13" x14ac:dyDescent="0.25">
      <c r="A11" s="558"/>
      <c r="B11" s="558"/>
      <c r="C11" s="558"/>
      <c r="D11" s="558"/>
      <c r="E11" s="558"/>
      <c r="F11" s="558"/>
      <c r="G11" s="251"/>
      <c r="H11" s="251"/>
      <c r="I11" s="251"/>
      <c r="J11" s="251"/>
      <c r="K11" s="251"/>
      <c r="L11" s="251"/>
      <c r="M11" s="251"/>
    </row>
    <row r="12" spans="1:13" x14ac:dyDescent="0.25">
      <c r="A12" s="558"/>
      <c r="B12" s="558"/>
      <c r="C12" s="558"/>
      <c r="D12" s="558"/>
      <c r="E12" s="558"/>
      <c r="F12" s="558"/>
      <c r="G12" s="251"/>
      <c r="H12" s="251"/>
      <c r="I12" s="251"/>
      <c r="J12" s="251"/>
      <c r="K12" s="251"/>
      <c r="L12" s="251"/>
      <c r="M12" s="251"/>
    </row>
    <row r="13" spans="1:13" x14ac:dyDescent="0.25">
      <c r="A13" s="558"/>
      <c r="B13" s="558"/>
      <c r="C13" s="558"/>
      <c r="D13" s="558"/>
      <c r="E13" s="558"/>
      <c r="F13" s="558"/>
      <c r="G13" s="251"/>
      <c r="H13" s="251"/>
      <c r="I13" s="251"/>
      <c r="J13" s="251"/>
      <c r="K13" s="251"/>
      <c r="L13" s="251"/>
      <c r="M13" s="251"/>
    </row>
    <row r="14" spans="1:13" x14ac:dyDescent="0.25">
      <c r="A14" s="558"/>
      <c r="B14" s="558"/>
      <c r="C14" s="558"/>
      <c r="D14" s="558"/>
      <c r="E14" s="558"/>
      <c r="F14" s="558"/>
      <c r="G14" s="251"/>
      <c r="H14" s="251"/>
      <c r="I14" s="251"/>
      <c r="J14" s="251"/>
      <c r="K14" s="251"/>
      <c r="L14" s="251"/>
      <c r="M14" s="251"/>
    </row>
    <row r="15" spans="1:13" x14ac:dyDescent="0.25">
      <c r="A15" s="558"/>
      <c r="B15" s="558"/>
      <c r="C15" s="558"/>
      <c r="D15" s="558"/>
      <c r="E15" s="558"/>
      <c r="F15" s="558"/>
      <c r="G15" s="251"/>
      <c r="H15" s="251"/>
      <c r="I15" s="251"/>
      <c r="J15" s="251"/>
      <c r="K15" s="251"/>
      <c r="L15" s="251"/>
      <c r="M15" s="251"/>
    </row>
    <row r="16" spans="1:13" x14ac:dyDescent="0.25">
      <c r="A16" s="558"/>
      <c r="B16" s="558"/>
      <c r="C16" s="558"/>
      <c r="D16" s="558"/>
      <c r="E16" s="558"/>
      <c r="F16" s="558"/>
      <c r="G16" s="251"/>
      <c r="H16" s="251"/>
      <c r="I16" s="251"/>
      <c r="J16" s="251"/>
      <c r="K16" s="251"/>
      <c r="L16" s="251"/>
      <c r="M16" s="251"/>
    </row>
    <row r="17" spans="1:13" x14ac:dyDescent="0.25">
      <c r="A17" s="558"/>
      <c r="B17" s="558"/>
      <c r="C17" s="558"/>
      <c r="D17" s="558"/>
      <c r="E17" s="558"/>
      <c r="F17" s="558"/>
      <c r="G17" s="251"/>
      <c r="H17" s="251"/>
      <c r="I17" s="251"/>
      <c r="J17" s="251"/>
      <c r="K17" s="251"/>
      <c r="L17" s="251"/>
      <c r="M17" s="251"/>
    </row>
    <row r="18" spans="1:13" x14ac:dyDescent="0.25">
      <c r="A18" s="558"/>
      <c r="B18" s="558"/>
      <c r="C18" s="558"/>
      <c r="D18" s="558"/>
      <c r="E18" s="558"/>
      <c r="F18" s="558"/>
      <c r="G18" s="251"/>
      <c r="H18" s="251"/>
      <c r="I18" s="251"/>
      <c r="J18" s="251"/>
      <c r="K18" s="251"/>
      <c r="L18" s="251"/>
      <c r="M18" s="251"/>
    </row>
    <row r="19" spans="1:13" x14ac:dyDescent="0.25">
      <c r="A19" s="558"/>
      <c r="B19" s="558"/>
      <c r="C19" s="558"/>
      <c r="D19" s="558"/>
      <c r="E19" s="558"/>
      <c r="F19" s="558"/>
      <c r="G19" s="251"/>
      <c r="H19" s="369" t="s">
        <v>460</v>
      </c>
      <c r="I19" s="369"/>
      <c r="J19" s="369"/>
      <c r="K19" s="369"/>
      <c r="L19" s="2"/>
      <c r="M19" s="2"/>
    </row>
    <row r="20" spans="1:13" x14ac:dyDescent="0.25">
      <c r="A20" s="558"/>
      <c r="B20" s="558"/>
      <c r="C20" s="558"/>
      <c r="D20" s="558"/>
      <c r="E20" s="558"/>
      <c r="F20" s="558"/>
      <c r="G20" s="251"/>
      <c r="H20" s="251"/>
      <c r="I20" s="251"/>
      <c r="J20" s="251"/>
      <c r="K20" s="251"/>
      <c r="L20" s="251"/>
      <c r="M20" s="251"/>
    </row>
    <row r="21" spans="1:13" x14ac:dyDescent="0.25">
      <c r="A21" s="558"/>
      <c r="B21" s="558"/>
      <c r="C21" s="558"/>
      <c r="D21" s="558"/>
      <c r="E21" s="558"/>
      <c r="F21" s="558"/>
      <c r="G21" s="251"/>
      <c r="H21" s="251"/>
      <c r="I21" s="251"/>
      <c r="J21" s="251"/>
      <c r="K21" s="251"/>
      <c r="L21" s="251"/>
      <c r="M21" s="251"/>
    </row>
    <row r="22" spans="1:13" x14ac:dyDescent="0.25">
      <c r="A22" s="558"/>
      <c r="B22" s="558"/>
      <c r="C22" s="558"/>
      <c r="D22" s="558"/>
      <c r="E22" s="558"/>
      <c r="F22" s="558"/>
      <c r="G22" s="251"/>
      <c r="H22" s="251"/>
      <c r="I22" s="251"/>
      <c r="J22" s="251"/>
      <c r="K22" s="251"/>
      <c r="L22" s="251"/>
      <c r="M22" s="251"/>
    </row>
    <row r="23" spans="1:13" x14ac:dyDescent="0.25">
      <c r="A23" s="558"/>
      <c r="B23" s="558"/>
      <c r="C23" s="558"/>
      <c r="D23" s="558"/>
      <c r="E23" s="558"/>
      <c r="F23" s="558"/>
      <c r="G23" s="251"/>
      <c r="H23" s="251"/>
      <c r="I23" s="251"/>
      <c r="J23" s="251"/>
      <c r="K23" s="251"/>
      <c r="L23" s="251"/>
      <c r="M23" s="251"/>
    </row>
    <row r="24" spans="1:13" x14ac:dyDescent="0.25">
      <c r="A24" s="558"/>
      <c r="B24" s="558"/>
      <c r="C24" s="558"/>
      <c r="D24" s="558"/>
      <c r="E24" s="558"/>
      <c r="F24" s="558"/>
      <c r="G24" s="251"/>
      <c r="H24" s="251"/>
      <c r="I24" s="251"/>
      <c r="J24" s="251"/>
      <c r="K24" s="251"/>
      <c r="L24" s="251"/>
      <c r="M24" s="251"/>
    </row>
    <row r="25" spans="1:13" x14ac:dyDescent="0.25">
      <c r="A25" s="558"/>
      <c r="B25" s="558"/>
      <c r="C25" s="558"/>
      <c r="D25" s="558"/>
      <c r="E25" s="558"/>
      <c r="F25" s="558"/>
      <c r="G25" s="251"/>
      <c r="H25" s="251"/>
      <c r="I25" s="251"/>
      <c r="J25" s="251"/>
      <c r="K25" s="251"/>
      <c r="L25" s="251"/>
      <c r="M25" s="251"/>
    </row>
    <row r="26" spans="1:13" x14ac:dyDescent="0.25">
      <c r="A26" s="558"/>
      <c r="B26" s="558"/>
      <c r="C26" s="558"/>
      <c r="D26" s="558"/>
      <c r="E26" s="558"/>
      <c r="F26" s="558"/>
      <c r="G26" s="251"/>
      <c r="H26" s="251"/>
      <c r="I26" s="251"/>
      <c r="J26" s="251"/>
      <c r="K26" s="251"/>
      <c r="L26" s="251"/>
      <c r="M26" s="251"/>
    </row>
    <row r="27" spans="1:13" x14ac:dyDescent="0.25">
      <c r="A27" s="558"/>
      <c r="B27" s="558"/>
      <c r="C27" s="558"/>
      <c r="D27" s="558"/>
      <c r="E27" s="558"/>
      <c r="F27" s="558"/>
      <c r="G27" s="251"/>
      <c r="H27" s="251"/>
      <c r="I27" s="251"/>
      <c r="J27" s="251"/>
      <c r="K27" s="251"/>
      <c r="L27" s="251"/>
      <c r="M27" s="251"/>
    </row>
    <row r="28" spans="1:13" x14ac:dyDescent="0.25">
      <c r="A28" s="558"/>
      <c r="B28" s="558"/>
      <c r="C28" s="558"/>
      <c r="D28" s="558"/>
      <c r="E28" s="558"/>
      <c r="F28" s="558"/>
      <c r="G28" s="251"/>
      <c r="H28" s="251"/>
      <c r="I28" s="251"/>
      <c r="J28" s="251"/>
      <c r="K28" s="251"/>
      <c r="L28" s="251"/>
      <c r="M28" s="251"/>
    </row>
    <row r="29" spans="1:13" x14ac:dyDescent="0.25">
      <c r="A29" s="2"/>
      <c r="B29" s="2"/>
      <c r="C29" s="2"/>
      <c r="D29" s="2"/>
      <c r="E29" s="2"/>
      <c r="F29" s="2"/>
      <c r="G29" s="251"/>
      <c r="H29" s="251"/>
      <c r="I29" s="251"/>
      <c r="J29" s="251"/>
      <c r="K29" s="251"/>
      <c r="L29" s="251"/>
      <c r="M29" s="251"/>
    </row>
    <row r="30" spans="1:13" x14ac:dyDescent="0.25">
      <c r="A30" s="2"/>
      <c r="B30" s="2"/>
      <c r="C30" s="2"/>
      <c r="D30" s="2"/>
      <c r="E30" s="2"/>
      <c r="F30" s="2"/>
      <c r="G30" s="251"/>
      <c r="H30" s="251"/>
      <c r="I30" s="251"/>
      <c r="J30" s="251"/>
      <c r="K30" s="251"/>
      <c r="L30" s="251"/>
      <c r="M30" s="251"/>
    </row>
    <row r="31" spans="1:13" x14ac:dyDescent="0.25">
      <c r="A31" s="2"/>
      <c r="B31" s="2"/>
      <c r="C31" s="2"/>
      <c r="D31" s="2"/>
      <c r="E31" s="2"/>
      <c r="F31" s="2"/>
      <c r="G31" s="251"/>
      <c r="H31" s="251"/>
      <c r="I31" s="251"/>
      <c r="J31" s="251"/>
      <c r="K31" s="251"/>
      <c r="L31" s="251"/>
      <c r="M31" s="251"/>
    </row>
    <row r="32" spans="1:13" x14ac:dyDescent="0.25">
      <c r="A32" s="2"/>
      <c r="B32" s="2"/>
      <c r="C32" s="2"/>
      <c r="D32" s="2"/>
      <c r="E32" s="2"/>
      <c r="F32" s="2"/>
      <c r="G32" s="251"/>
      <c r="H32" s="251"/>
      <c r="I32" s="251"/>
      <c r="J32" s="251"/>
      <c r="K32" s="251"/>
      <c r="L32" s="251"/>
      <c r="M32" s="251"/>
    </row>
    <row r="33" spans="1:24" x14ac:dyDescent="0.25">
      <c r="A33" s="289"/>
      <c r="B33" s="289"/>
      <c r="C33" s="289"/>
      <c r="D33" s="289"/>
      <c r="E33" s="289"/>
      <c r="F33" s="289"/>
      <c r="G33" s="289"/>
      <c r="H33" s="289"/>
      <c r="I33" s="289"/>
      <c r="J33" s="289"/>
      <c r="K33" s="289"/>
      <c r="L33" s="289"/>
      <c r="M33" s="289"/>
      <c r="N33" s="251"/>
    </row>
    <row r="34" spans="1:24" x14ac:dyDescent="0.25">
      <c r="A34" s="289"/>
      <c r="B34" s="289"/>
      <c r="C34" s="289"/>
      <c r="D34" s="289"/>
      <c r="E34" s="289"/>
      <c r="F34" s="289"/>
      <c r="G34" s="289"/>
      <c r="H34" s="289"/>
      <c r="I34" s="289"/>
      <c r="J34" s="289"/>
      <c r="K34" s="289"/>
      <c r="L34" s="289"/>
      <c r="M34" s="289"/>
      <c r="N34" s="251"/>
    </row>
    <row r="35" spans="1:24" x14ac:dyDescent="0.25">
      <c r="A35" s="289"/>
      <c r="B35" s="289"/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89"/>
      <c r="N35" s="251"/>
    </row>
    <row r="36" spans="1:24" x14ac:dyDescent="0.25">
      <c r="A36" s="289" t="s">
        <v>461</v>
      </c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</row>
    <row r="37" spans="1:24" x14ac:dyDescent="0.25">
      <c r="A37" s="289"/>
      <c r="B37" s="28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51"/>
    </row>
    <row r="38" spans="1:24" x14ac:dyDescent="0.25">
      <c r="A38" s="289"/>
      <c r="B38" s="289"/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89"/>
      <c r="N38" s="251"/>
    </row>
    <row r="39" spans="1:24" x14ac:dyDescent="0.25">
      <c r="A39" s="289"/>
      <c r="B39" s="289"/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89"/>
      <c r="N39" s="251"/>
    </row>
    <row r="40" spans="1:24" x14ac:dyDescent="0.25">
      <c r="A40" s="289"/>
      <c r="B40" s="289"/>
      <c r="C40" s="289"/>
      <c r="D40" s="289"/>
      <c r="E40" s="289"/>
      <c r="F40" s="289"/>
      <c r="G40" s="289"/>
      <c r="H40" s="289"/>
      <c r="I40" s="289"/>
      <c r="J40" s="289"/>
      <c r="K40" s="289"/>
      <c r="L40" s="289"/>
      <c r="M40" s="289"/>
      <c r="N40" s="251"/>
    </row>
    <row r="41" spans="1:24" x14ac:dyDescent="0.25">
      <c r="A41" s="289"/>
      <c r="B41" s="289"/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89"/>
      <c r="N41" s="251"/>
    </row>
    <row r="42" spans="1:24" x14ac:dyDescent="0.25">
      <c r="A42" s="289"/>
      <c r="B42" s="289"/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51"/>
    </row>
    <row r="43" spans="1:24" x14ac:dyDescent="0.25">
      <c r="A43" s="289"/>
      <c r="B43" s="289"/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89"/>
      <c r="N43" s="251"/>
    </row>
    <row r="44" spans="1:24" x14ac:dyDescent="0.25">
      <c r="A44" s="289"/>
      <c r="B44" s="289"/>
      <c r="C44" s="289"/>
      <c r="D44" s="289"/>
      <c r="E44" s="289"/>
      <c r="F44" s="289"/>
      <c r="G44" s="289"/>
      <c r="H44" s="289"/>
      <c r="I44" s="289"/>
      <c r="J44" s="289"/>
      <c r="K44" s="289"/>
      <c r="L44" s="289"/>
      <c r="M44" s="289"/>
      <c r="N44" s="251"/>
    </row>
    <row r="45" spans="1:24" x14ac:dyDescent="0.25">
      <c r="A45" s="289"/>
      <c r="B45" s="28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51"/>
    </row>
    <row r="46" spans="1:24" x14ac:dyDescent="0.25">
      <c r="A46" s="289"/>
      <c r="B46" s="28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89"/>
      <c r="N46" s="251"/>
    </row>
    <row r="47" spans="1:24" x14ac:dyDescent="0.25">
      <c r="A47" s="289"/>
      <c r="B47" s="289"/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89"/>
      <c r="N47" s="251"/>
    </row>
    <row r="48" spans="1:24" x14ac:dyDescent="0.25">
      <c r="A48" s="289"/>
      <c r="B48" s="289"/>
      <c r="C48" s="289"/>
      <c r="D48" s="289"/>
      <c r="E48" s="289"/>
      <c r="F48" s="289"/>
      <c r="G48" s="289"/>
      <c r="H48" s="289"/>
      <c r="I48" s="289"/>
      <c r="J48" s="289"/>
      <c r="K48" s="289"/>
      <c r="L48" s="289"/>
      <c r="M48" s="289"/>
      <c r="N48" s="251"/>
    </row>
    <row r="49" spans="1:14" x14ac:dyDescent="0.25">
      <c r="A49" s="289"/>
      <c r="B49" s="289"/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89"/>
      <c r="N49" s="251"/>
    </row>
    <row r="50" spans="1:14" x14ac:dyDescent="0.25">
      <c r="A50" s="289"/>
      <c r="B50" s="289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289"/>
      <c r="N50" s="251"/>
    </row>
    <row r="51" spans="1:14" x14ac:dyDescent="0.25">
      <c r="A51" s="289"/>
      <c r="B51" s="28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51"/>
    </row>
    <row r="52" spans="1:14" x14ac:dyDescent="0.25">
      <c r="A52" s="289"/>
      <c r="B52" s="289"/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89"/>
      <c r="N52" s="251"/>
    </row>
    <row r="53" spans="1:14" x14ac:dyDescent="0.25">
      <c r="A53" s="289"/>
      <c r="B53" s="289"/>
      <c r="C53" s="289"/>
      <c r="D53" s="289"/>
      <c r="E53" s="289"/>
      <c r="F53" s="289"/>
      <c r="G53" s="289"/>
      <c r="H53" s="289"/>
      <c r="I53" s="289"/>
      <c r="J53" s="289"/>
      <c r="K53" s="289"/>
      <c r="L53" s="289"/>
      <c r="M53" s="289"/>
      <c r="N53" s="251"/>
    </row>
    <row r="54" spans="1:14" x14ac:dyDescent="0.25">
      <c r="A54" s="289"/>
      <c r="B54" s="289"/>
      <c r="C54" s="289"/>
      <c r="D54" s="289"/>
      <c r="E54" s="289"/>
      <c r="F54" s="289"/>
      <c r="G54" s="289"/>
      <c r="H54" s="289"/>
      <c r="I54" s="289"/>
      <c r="J54" s="289"/>
      <c r="K54" s="289"/>
      <c r="L54" s="289"/>
      <c r="M54" s="289"/>
      <c r="N54" s="251"/>
    </row>
    <row r="55" spans="1:14" x14ac:dyDescent="0.25">
      <c r="A55" s="289"/>
      <c r="B55" s="289"/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89"/>
      <c r="N55" s="251"/>
    </row>
    <row r="56" spans="1:14" x14ac:dyDescent="0.25">
      <c r="A56" s="289"/>
      <c r="B56" s="289"/>
      <c r="C56" s="289"/>
      <c r="D56" s="289"/>
      <c r="E56" s="289"/>
      <c r="F56" s="289"/>
      <c r="G56" s="289"/>
      <c r="H56" s="289"/>
      <c r="I56" s="289"/>
      <c r="J56" s="289"/>
      <c r="K56" s="289"/>
      <c r="L56" s="289"/>
      <c r="M56" s="289"/>
      <c r="N56" s="251"/>
    </row>
    <row r="57" spans="1:14" x14ac:dyDescent="0.25">
      <c r="A57" s="289"/>
      <c r="B57" s="289"/>
      <c r="C57" s="289"/>
      <c r="D57" s="289"/>
      <c r="E57" s="289"/>
      <c r="F57" s="289"/>
      <c r="G57" s="289"/>
      <c r="H57" s="289"/>
      <c r="I57" s="289"/>
      <c r="J57" s="289"/>
      <c r="K57" s="289"/>
      <c r="L57" s="289"/>
      <c r="M57" s="289"/>
      <c r="N57" s="251"/>
    </row>
    <row r="58" spans="1:14" x14ac:dyDescent="0.25">
      <c r="A58" s="289"/>
      <c r="B58" s="289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89"/>
      <c r="N58" s="251"/>
    </row>
    <row r="59" spans="1:14" x14ac:dyDescent="0.25">
      <c r="A59" s="289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51"/>
    </row>
    <row r="60" spans="1:14" x14ac:dyDescent="0.25">
      <c r="A60" s="289"/>
      <c r="B60" s="289"/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89"/>
      <c r="N60" s="251"/>
    </row>
    <row r="61" spans="1:14" x14ac:dyDescent="0.25">
      <c r="A61" s="289"/>
      <c r="B61" s="289"/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89"/>
      <c r="N61" s="251"/>
    </row>
    <row r="62" spans="1:14" x14ac:dyDescent="0.25">
      <c r="A62" s="289"/>
      <c r="B62" s="289"/>
      <c r="C62" s="289"/>
      <c r="D62" s="289"/>
      <c r="E62" s="289"/>
      <c r="F62" s="289"/>
      <c r="G62" s="289"/>
      <c r="H62" s="289"/>
      <c r="I62" s="289"/>
      <c r="J62" s="289"/>
      <c r="K62" s="289"/>
      <c r="L62" s="289"/>
      <c r="M62" s="289"/>
      <c r="N62" s="251"/>
    </row>
    <row r="63" spans="1:14" x14ac:dyDescent="0.25">
      <c r="A63" s="289"/>
      <c r="B63" s="289"/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89"/>
      <c r="N63" s="251"/>
    </row>
    <row r="64" spans="1:14" x14ac:dyDescent="0.25">
      <c r="A64" s="289"/>
      <c r="B64" s="289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89"/>
      <c r="N64" s="251"/>
    </row>
    <row r="65" spans="1:14" x14ac:dyDescent="0.25">
      <c r="A65" s="289"/>
      <c r="B65" s="289"/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89"/>
      <c r="N65" s="251"/>
    </row>
    <row r="66" spans="1:14" x14ac:dyDescent="0.25">
      <c r="A66" s="289"/>
      <c r="B66" s="289"/>
      <c r="C66" s="289"/>
      <c r="D66" s="289"/>
      <c r="E66" s="289"/>
      <c r="F66" s="289"/>
      <c r="G66" s="289"/>
      <c r="H66" s="289"/>
      <c r="I66" s="289"/>
      <c r="J66" s="289"/>
      <c r="K66" s="289"/>
      <c r="L66" s="289"/>
      <c r="M66" s="289"/>
      <c r="N66" s="251"/>
    </row>
    <row r="67" spans="1:14" x14ac:dyDescent="0.25">
      <c r="A67" s="289"/>
      <c r="B67" s="289"/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89"/>
      <c r="N67" s="251"/>
    </row>
    <row r="68" spans="1:14" x14ac:dyDescent="0.25">
      <c r="A68" s="289"/>
      <c r="B68" s="289"/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89"/>
      <c r="N68" s="251"/>
    </row>
    <row r="69" spans="1:14" x14ac:dyDescent="0.25">
      <c r="A69" s="289"/>
      <c r="B69" s="289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89"/>
      <c r="N69" s="251"/>
    </row>
    <row r="70" spans="1:14" x14ac:dyDescent="0.25">
      <c r="A70" s="289"/>
      <c r="B70" s="289"/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89"/>
      <c r="N70" s="251"/>
    </row>
    <row r="71" spans="1:14" x14ac:dyDescent="0.25">
      <c r="A71" s="289"/>
      <c r="B71" s="289"/>
      <c r="C71" s="289"/>
      <c r="D71" s="289"/>
      <c r="E71" s="289"/>
      <c r="F71" s="289"/>
      <c r="G71" s="289"/>
      <c r="H71" s="289"/>
      <c r="I71" s="289"/>
      <c r="J71" s="289"/>
      <c r="K71" s="289"/>
      <c r="L71" s="289"/>
      <c r="M71" s="289"/>
      <c r="N71" s="251"/>
    </row>
    <row r="72" spans="1:14" x14ac:dyDescent="0.25">
      <c r="A72" s="289"/>
      <c r="B72" s="289"/>
      <c r="C72" s="289"/>
      <c r="D72" s="289"/>
      <c r="E72" s="289"/>
      <c r="F72" s="289"/>
      <c r="G72" s="289"/>
      <c r="H72" s="289"/>
      <c r="I72" s="289"/>
      <c r="J72" s="289"/>
      <c r="K72" s="289"/>
      <c r="L72" s="289"/>
      <c r="M72" s="289"/>
      <c r="N72" s="251"/>
    </row>
    <row r="73" spans="1:14" x14ac:dyDescent="0.25">
      <c r="A73" s="289"/>
      <c r="B73" s="289"/>
      <c r="C73" s="289"/>
      <c r="D73" s="289"/>
      <c r="E73" s="289"/>
      <c r="F73" s="289"/>
      <c r="G73" s="289"/>
      <c r="H73" s="289"/>
      <c r="I73" s="289"/>
      <c r="J73" s="289"/>
      <c r="K73" s="289"/>
      <c r="L73" s="289"/>
      <c r="M73" s="289"/>
      <c r="N73" s="251"/>
    </row>
    <row r="74" spans="1:14" x14ac:dyDescent="0.25">
      <c r="A74" s="289"/>
      <c r="B74" s="289"/>
      <c r="C74" s="289"/>
      <c r="D74" s="289"/>
      <c r="E74" s="289"/>
      <c r="F74" s="289"/>
      <c r="G74" s="289"/>
      <c r="H74" s="289"/>
      <c r="I74" s="289"/>
      <c r="J74" s="289"/>
      <c r="K74" s="289"/>
      <c r="L74" s="289"/>
      <c r="M74" s="289"/>
      <c r="N74" s="251"/>
    </row>
    <row r="75" spans="1:14" x14ac:dyDescent="0.25">
      <c r="A75" s="289"/>
      <c r="B75" s="289"/>
      <c r="C75" s="289"/>
      <c r="D75" s="289"/>
      <c r="E75" s="289"/>
      <c r="F75" s="289"/>
      <c r="G75" s="289"/>
      <c r="H75" s="289"/>
      <c r="I75" s="289"/>
      <c r="J75" s="289"/>
      <c r="K75" s="289"/>
      <c r="L75" s="289"/>
      <c r="M75" s="289"/>
      <c r="N75" s="251"/>
    </row>
    <row r="76" spans="1:14" x14ac:dyDescent="0.25">
      <c r="A76" s="289"/>
      <c r="B76" s="289"/>
      <c r="C76" s="289"/>
      <c r="D76" s="289"/>
      <c r="E76" s="289"/>
      <c r="F76" s="289"/>
      <c r="G76" s="289"/>
      <c r="H76" s="289"/>
      <c r="I76" s="289"/>
      <c r="J76" s="289"/>
      <c r="K76" s="289"/>
      <c r="L76" s="289"/>
      <c r="M76" s="289"/>
      <c r="N76" s="251"/>
    </row>
    <row r="77" spans="1:14" x14ac:dyDescent="0.25">
      <c r="A77" s="289" t="s">
        <v>462</v>
      </c>
      <c r="B77" s="289"/>
      <c r="C77" s="289"/>
      <c r="D77" s="289"/>
      <c r="E77" s="289"/>
      <c r="F77" s="289"/>
      <c r="G77" s="289"/>
      <c r="H77" s="289"/>
      <c r="I77" s="289"/>
      <c r="J77" s="289"/>
      <c r="K77" s="289"/>
      <c r="L77" s="289"/>
      <c r="M77" s="289"/>
      <c r="N77" s="251"/>
    </row>
    <row r="78" spans="1:14" x14ac:dyDescent="0.25">
      <c r="A78" s="289" t="s">
        <v>539</v>
      </c>
      <c r="B78" s="289"/>
      <c r="C78" s="289"/>
      <c r="D78" s="289"/>
      <c r="E78" s="289"/>
      <c r="F78" s="289"/>
      <c r="G78" s="289"/>
      <c r="H78" s="289"/>
      <c r="I78" s="289"/>
      <c r="J78" s="289"/>
      <c r="K78" s="289"/>
      <c r="L78" s="289"/>
      <c r="M78" s="289"/>
      <c r="N78" s="251"/>
    </row>
    <row r="79" spans="1:14" x14ac:dyDescent="0.25">
      <c r="A79" s="289"/>
      <c r="B79" s="289"/>
      <c r="C79" s="289"/>
      <c r="D79" s="289"/>
      <c r="E79" s="289"/>
      <c r="F79" s="289"/>
      <c r="G79" s="289"/>
      <c r="H79" s="289"/>
      <c r="I79" s="289"/>
      <c r="J79" s="289"/>
      <c r="K79" s="289"/>
      <c r="L79" s="289"/>
      <c r="M79" s="289"/>
      <c r="N79" s="251"/>
    </row>
    <row r="80" spans="1:14" x14ac:dyDescent="0.25">
      <c r="A80" s="289"/>
      <c r="B80" s="289"/>
      <c r="C80" s="289"/>
      <c r="D80" s="289"/>
      <c r="E80" s="289"/>
      <c r="F80" s="289"/>
      <c r="G80" s="289"/>
      <c r="H80" s="289"/>
      <c r="I80" s="289"/>
      <c r="J80" s="289"/>
      <c r="K80" s="289"/>
      <c r="L80" s="289"/>
      <c r="M80" s="289"/>
      <c r="N80" s="251"/>
    </row>
    <row r="81" spans="1:14" x14ac:dyDescent="0.25">
      <c r="A81" s="289"/>
      <c r="B81" s="289"/>
      <c r="C81" s="289"/>
      <c r="D81" s="289"/>
      <c r="E81" s="289"/>
      <c r="F81" s="289"/>
      <c r="G81" s="289"/>
      <c r="H81" s="289"/>
      <c r="I81" s="289"/>
      <c r="J81" s="289"/>
      <c r="K81" s="289"/>
      <c r="L81" s="289"/>
      <c r="M81" s="289"/>
      <c r="N81" s="251"/>
    </row>
    <row r="82" spans="1:14" x14ac:dyDescent="0.25">
      <c r="A82" s="289"/>
      <c r="B82" s="289"/>
      <c r="C82" s="289"/>
      <c r="D82" s="289"/>
      <c r="E82" s="289"/>
      <c r="F82" s="289"/>
      <c r="G82" s="289"/>
      <c r="H82" s="289"/>
      <c r="I82" s="289"/>
      <c r="J82" s="289"/>
      <c r="K82" s="289"/>
      <c r="L82" s="289"/>
      <c r="M82" s="289"/>
      <c r="N82" s="251"/>
    </row>
    <row r="83" spans="1:14" x14ac:dyDescent="0.25">
      <c r="A83" s="289"/>
      <c r="B83" s="289"/>
      <c r="C83" s="289"/>
      <c r="D83" s="289"/>
      <c r="E83" s="289"/>
      <c r="F83" s="289"/>
      <c r="G83" s="289"/>
      <c r="H83" s="289"/>
      <c r="I83" s="289"/>
      <c r="J83" s="289"/>
      <c r="K83" s="289"/>
      <c r="L83" s="289"/>
      <c r="M83" s="289"/>
      <c r="N83" s="251"/>
    </row>
    <row r="84" spans="1:14" x14ac:dyDescent="0.25">
      <c r="A84" s="289"/>
      <c r="B84" s="289"/>
      <c r="C84" s="289"/>
      <c r="D84" s="289"/>
      <c r="E84" s="289"/>
      <c r="F84" s="289"/>
      <c r="G84" s="289"/>
      <c r="H84" s="289"/>
      <c r="I84" s="289"/>
      <c r="J84" s="289"/>
      <c r="K84" s="289"/>
      <c r="L84" s="289"/>
      <c r="M84" s="289"/>
      <c r="N84" s="251"/>
    </row>
    <row r="85" spans="1:14" x14ac:dyDescent="0.25">
      <c r="A85" s="289"/>
      <c r="B85" s="289"/>
      <c r="C85" s="289"/>
      <c r="D85" s="289"/>
      <c r="E85" s="289"/>
      <c r="F85" s="289"/>
      <c r="G85" s="289"/>
      <c r="H85" s="289"/>
      <c r="I85" s="289"/>
      <c r="J85" s="289"/>
      <c r="K85" s="289"/>
      <c r="L85" s="289"/>
      <c r="M85" s="289"/>
      <c r="N85" s="251"/>
    </row>
    <row r="86" spans="1:14" x14ac:dyDescent="0.25">
      <c r="A86" s="289"/>
      <c r="B86" s="289"/>
      <c r="C86" s="289"/>
      <c r="D86" s="289"/>
      <c r="E86" s="289"/>
      <c r="F86" s="289"/>
      <c r="G86" s="289"/>
      <c r="H86" s="289"/>
      <c r="I86" s="289"/>
      <c r="J86" s="289"/>
      <c r="K86" s="289"/>
      <c r="L86" s="289"/>
      <c r="M86" s="289"/>
      <c r="N86" s="251"/>
    </row>
    <row r="87" spans="1:14" x14ac:dyDescent="0.25">
      <c r="A87" s="289"/>
      <c r="B87" s="289"/>
      <c r="C87" s="289"/>
      <c r="D87" s="289"/>
      <c r="E87" s="289"/>
      <c r="F87" s="289"/>
      <c r="G87" s="289"/>
      <c r="H87" s="289"/>
      <c r="I87" s="289"/>
      <c r="J87" s="289"/>
      <c r="K87" s="289"/>
      <c r="L87" s="289"/>
      <c r="M87" s="289"/>
      <c r="N87" s="251"/>
    </row>
    <row r="88" spans="1:14" x14ac:dyDescent="0.25">
      <c r="A88" s="289"/>
      <c r="B88" s="289"/>
      <c r="C88" s="289"/>
      <c r="D88" s="289"/>
      <c r="E88" s="289"/>
      <c r="F88" s="289"/>
      <c r="G88" s="289"/>
      <c r="H88" s="289"/>
      <c r="I88" s="289"/>
      <c r="J88" s="289"/>
      <c r="K88" s="289"/>
      <c r="L88" s="289"/>
      <c r="M88" s="289"/>
      <c r="N88" s="251"/>
    </row>
    <row r="89" spans="1:14" x14ac:dyDescent="0.25">
      <c r="A89" s="289"/>
      <c r="B89" s="289"/>
      <c r="C89" s="289"/>
      <c r="D89" s="289"/>
      <c r="E89" s="289"/>
      <c r="F89" s="289"/>
      <c r="G89" s="289"/>
      <c r="H89" s="289"/>
      <c r="I89" s="289"/>
      <c r="J89" s="289"/>
      <c r="K89" s="289"/>
      <c r="L89" s="289"/>
      <c r="M89" s="289"/>
      <c r="N89" s="251"/>
    </row>
    <row r="90" spans="1:14" x14ac:dyDescent="0.25">
      <c r="A90" s="289"/>
      <c r="B90" s="289"/>
      <c r="C90" s="289"/>
      <c r="D90" s="289"/>
      <c r="E90" s="289"/>
      <c r="F90" s="289"/>
      <c r="G90" s="289"/>
      <c r="H90" s="289"/>
      <c r="I90" s="289"/>
      <c r="J90" s="289"/>
      <c r="K90" s="289"/>
      <c r="L90" s="289"/>
      <c r="M90" s="289"/>
      <c r="N90" s="251"/>
    </row>
    <row r="91" spans="1:14" x14ac:dyDescent="0.25">
      <c r="A91" s="289"/>
      <c r="B91" s="289"/>
      <c r="C91" s="289"/>
      <c r="D91" s="289"/>
      <c r="E91" s="289"/>
      <c r="F91" s="289"/>
      <c r="G91" s="289"/>
      <c r="H91" s="289"/>
      <c r="I91" s="289"/>
      <c r="J91" s="289"/>
      <c r="K91" s="289"/>
      <c r="L91" s="289"/>
      <c r="M91" s="289"/>
      <c r="N91" s="251"/>
    </row>
    <row r="92" spans="1:14" x14ac:dyDescent="0.25">
      <c r="A92" s="289"/>
      <c r="B92" s="289"/>
      <c r="C92" s="289"/>
      <c r="D92" s="289"/>
      <c r="E92" s="289"/>
      <c r="F92" s="289"/>
      <c r="G92" s="289"/>
      <c r="H92" s="289"/>
      <c r="I92" s="289"/>
      <c r="J92" s="289"/>
      <c r="K92" s="289"/>
      <c r="L92" s="289"/>
      <c r="M92" s="289"/>
      <c r="N92" s="251"/>
    </row>
    <row r="93" spans="1:14" x14ac:dyDescent="0.25">
      <c r="A93" s="289"/>
      <c r="B93" s="289"/>
      <c r="C93" s="289"/>
      <c r="D93" s="289"/>
      <c r="E93" s="289"/>
      <c r="F93" s="289"/>
      <c r="G93" s="289"/>
      <c r="H93" s="289"/>
      <c r="I93" s="289"/>
      <c r="J93" s="289"/>
      <c r="K93" s="289"/>
      <c r="L93" s="289"/>
      <c r="M93" s="289"/>
      <c r="N93" s="251"/>
    </row>
    <row r="94" spans="1:14" x14ac:dyDescent="0.25">
      <c r="A94" s="289"/>
      <c r="B94" s="289"/>
      <c r="C94" s="289"/>
      <c r="D94" s="289"/>
      <c r="E94" s="289"/>
      <c r="F94" s="289"/>
      <c r="G94" s="289"/>
      <c r="H94" s="289"/>
      <c r="I94" s="289"/>
      <c r="J94" s="289"/>
      <c r="K94" s="289"/>
      <c r="L94" s="289"/>
      <c r="M94" s="289"/>
      <c r="N94" s="251"/>
    </row>
    <row r="95" spans="1:14" x14ac:dyDescent="0.25">
      <c r="A95" s="289"/>
      <c r="B95" s="289"/>
      <c r="C95" s="289"/>
      <c r="D95" s="289"/>
      <c r="E95" s="289"/>
      <c r="F95" s="289"/>
      <c r="G95" s="289"/>
      <c r="H95" s="289"/>
      <c r="I95" s="289"/>
      <c r="J95" s="289"/>
      <c r="K95" s="289"/>
      <c r="L95" s="289"/>
      <c r="M95" s="289"/>
      <c r="N95" s="251"/>
    </row>
    <row r="96" spans="1:14" x14ac:dyDescent="0.25">
      <c r="A96" s="289"/>
      <c r="B96" s="289"/>
      <c r="C96" s="289"/>
      <c r="D96" s="289"/>
      <c r="E96" s="289"/>
      <c r="F96" s="289"/>
      <c r="G96" s="289"/>
      <c r="H96" s="289"/>
      <c r="I96" s="289"/>
      <c r="J96" s="289"/>
      <c r="K96" s="289"/>
      <c r="L96" s="289"/>
      <c r="M96" s="289"/>
      <c r="N96" s="251"/>
    </row>
    <row r="97" spans="1:14" x14ac:dyDescent="0.25">
      <c r="A97" s="289"/>
      <c r="B97" s="289"/>
      <c r="C97" s="289"/>
      <c r="D97" s="289"/>
      <c r="E97" s="289"/>
      <c r="F97" s="289"/>
      <c r="G97" s="289"/>
      <c r="H97" s="289"/>
      <c r="I97" s="289"/>
      <c r="J97" s="289"/>
      <c r="K97" s="289"/>
      <c r="L97" s="289"/>
      <c r="M97" s="289"/>
      <c r="N97" s="251"/>
    </row>
    <row r="98" spans="1:14" x14ac:dyDescent="0.25">
      <c r="A98" s="289"/>
      <c r="B98" s="289"/>
      <c r="C98" s="289"/>
      <c r="D98" s="289"/>
      <c r="E98" s="289"/>
      <c r="F98" s="289"/>
      <c r="G98" s="289"/>
      <c r="H98" s="289"/>
      <c r="I98" s="289"/>
      <c r="J98" s="289"/>
      <c r="K98" s="289"/>
      <c r="L98" s="289"/>
      <c r="M98" s="289"/>
      <c r="N98" s="251"/>
    </row>
    <row r="99" spans="1:14" x14ac:dyDescent="0.25">
      <c r="A99" s="289"/>
      <c r="B99" s="289"/>
      <c r="C99" s="289"/>
      <c r="D99" s="289"/>
      <c r="E99" s="289"/>
      <c r="F99" s="289"/>
      <c r="G99" s="289"/>
      <c r="H99" s="289"/>
      <c r="I99" s="289"/>
      <c r="J99" s="289"/>
      <c r="K99" s="289"/>
      <c r="L99" s="289"/>
      <c r="M99" s="289"/>
      <c r="N99" s="251"/>
    </row>
    <row r="100" spans="1:14" x14ac:dyDescent="0.25">
      <c r="A100" s="289"/>
      <c r="B100" s="289"/>
      <c r="C100" s="289"/>
      <c r="D100" s="289"/>
      <c r="E100" s="289"/>
      <c r="F100" s="289"/>
      <c r="G100" s="289"/>
      <c r="H100" s="289"/>
      <c r="I100" s="289"/>
      <c r="J100" s="289"/>
      <c r="K100" s="289"/>
      <c r="L100" s="289"/>
      <c r="M100" s="289"/>
      <c r="N100" s="251"/>
    </row>
    <row r="101" spans="1:14" x14ac:dyDescent="0.25">
      <c r="A101" s="289"/>
      <c r="B101" s="289"/>
      <c r="C101" s="289"/>
      <c r="D101" s="289"/>
      <c r="E101" s="289"/>
      <c r="F101" s="289"/>
      <c r="G101" s="289"/>
      <c r="H101" s="289"/>
      <c r="I101" s="289"/>
      <c r="J101" s="289"/>
      <c r="K101" s="289"/>
      <c r="L101" s="289"/>
      <c r="M101" s="289"/>
      <c r="N101" s="251"/>
    </row>
    <row r="102" spans="1:14" x14ac:dyDescent="0.25">
      <c r="A102" s="289"/>
      <c r="B102" s="289"/>
      <c r="C102" s="289"/>
      <c r="D102" s="289"/>
      <c r="E102" s="289"/>
      <c r="F102" s="289"/>
      <c r="G102" s="289"/>
      <c r="H102" s="289"/>
      <c r="I102" s="289"/>
      <c r="J102" s="289"/>
      <c r="K102" s="289"/>
      <c r="L102" s="289"/>
      <c r="M102" s="289"/>
      <c r="N102" s="251"/>
    </row>
    <row r="103" spans="1:14" x14ac:dyDescent="0.25">
      <c r="A103" s="289"/>
      <c r="B103" s="289"/>
      <c r="C103" s="289"/>
      <c r="D103" s="289"/>
      <c r="E103" s="289"/>
      <c r="F103" s="289"/>
      <c r="G103" s="289"/>
      <c r="H103" s="289"/>
      <c r="I103" s="289"/>
      <c r="J103" s="289"/>
      <c r="K103" s="289"/>
      <c r="L103" s="289"/>
      <c r="M103" s="289"/>
      <c r="N103" s="251"/>
    </row>
    <row r="104" spans="1:14" x14ac:dyDescent="0.25">
      <c r="A104" s="289"/>
      <c r="B104" s="289"/>
      <c r="C104" s="289"/>
      <c r="D104" s="289"/>
      <c r="E104" s="289"/>
      <c r="F104" s="289"/>
      <c r="G104" s="289"/>
      <c r="H104" s="289"/>
      <c r="I104" s="289"/>
      <c r="J104" s="289"/>
      <c r="K104" s="289"/>
      <c r="L104" s="289"/>
      <c r="M104" s="289"/>
      <c r="N104" s="251"/>
    </row>
    <row r="105" spans="1:14" x14ac:dyDescent="0.25">
      <c r="A105" s="289"/>
      <c r="B105" s="289"/>
      <c r="C105" s="289"/>
      <c r="D105" s="289"/>
      <c r="E105" s="289"/>
      <c r="F105" s="289"/>
      <c r="G105" s="289"/>
      <c r="H105" s="289"/>
      <c r="I105" s="289"/>
      <c r="J105" s="289"/>
      <c r="K105" s="289"/>
      <c r="L105" s="289"/>
      <c r="M105" s="289"/>
      <c r="N105" s="251"/>
    </row>
    <row r="106" spans="1:14" x14ac:dyDescent="0.25">
      <c r="A106" s="289"/>
      <c r="B106" s="289"/>
      <c r="C106" s="289"/>
      <c r="D106" s="289"/>
      <c r="E106" s="289"/>
      <c r="F106" s="289"/>
      <c r="G106" s="289"/>
      <c r="H106" s="289"/>
      <c r="I106" s="289"/>
      <c r="J106" s="289"/>
      <c r="K106" s="289"/>
      <c r="L106" s="289"/>
      <c r="M106" s="289"/>
      <c r="N106" s="251"/>
    </row>
    <row r="107" spans="1:14" x14ac:dyDescent="0.25">
      <c r="A107" s="289"/>
      <c r="B107" s="289"/>
      <c r="C107" s="289"/>
      <c r="D107" s="289"/>
      <c r="E107" s="289"/>
      <c r="F107" s="289"/>
      <c r="G107" s="289"/>
      <c r="H107" s="289"/>
      <c r="I107" s="289"/>
      <c r="J107" s="289"/>
      <c r="K107" s="289"/>
      <c r="L107" s="289"/>
      <c r="M107" s="289"/>
      <c r="N107" s="251"/>
    </row>
    <row r="108" spans="1:14" x14ac:dyDescent="0.25">
      <c r="A108" s="289"/>
      <c r="B108" s="289"/>
      <c r="C108" s="289"/>
      <c r="D108" s="289"/>
      <c r="E108" s="289"/>
      <c r="F108" s="289"/>
      <c r="G108" s="289"/>
      <c r="H108" s="289"/>
      <c r="I108" s="289"/>
      <c r="J108" s="289"/>
      <c r="K108" s="289"/>
      <c r="L108" s="289"/>
      <c r="M108" s="289"/>
      <c r="N108" s="251"/>
    </row>
    <row r="109" spans="1:14" x14ac:dyDescent="0.25">
      <c r="A109" s="289"/>
      <c r="B109" s="289"/>
      <c r="C109" s="289"/>
      <c r="D109" s="289"/>
      <c r="E109" s="289"/>
      <c r="F109" s="289"/>
      <c r="G109" s="289"/>
      <c r="H109" s="289"/>
      <c r="I109" s="289"/>
      <c r="J109" s="289"/>
      <c r="K109" s="289"/>
      <c r="L109" s="289"/>
      <c r="M109" s="289"/>
      <c r="N109" s="251"/>
    </row>
    <row r="110" spans="1:14" x14ac:dyDescent="0.25">
      <c r="A110" s="289"/>
      <c r="B110" s="289"/>
      <c r="C110" s="289"/>
      <c r="D110" s="289"/>
      <c r="E110" s="289"/>
      <c r="F110" s="289"/>
      <c r="G110" s="289"/>
      <c r="H110" s="289"/>
      <c r="I110" s="289"/>
      <c r="J110" s="289"/>
      <c r="K110" s="289"/>
      <c r="L110" s="289"/>
      <c r="M110" s="289"/>
      <c r="N110" s="251"/>
    </row>
    <row r="111" spans="1:14" x14ac:dyDescent="0.25">
      <c r="A111" s="289"/>
      <c r="B111" s="289"/>
      <c r="C111" s="289"/>
      <c r="D111" s="289"/>
      <c r="E111" s="289"/>
      <c r="F111" s="289"/>
      <c r="G111" s="289"/>
      <c r="H111" s="289"/>
      <c r="I111" s="289"/>
      <c r="J111" s="289"/>
      <c r="K111" s="289"/>
      <c r="L111" s="289"/>
      <c r="M111" s="289"/>
      <c r="N111" s="251"/>
    </row>
    <row r="112" spans="1:14" x14ac:dyDescent="0.25">
      <c r="A112" s="289"/>
      <c r="B112" s="289"/>
      <c r="C112" s="289"/>
      <c r="D112" s="289"/>
      <c r="E112" s="289"/>
      <c r="F112" s="289"/>
      <c r="G112" s="289"/>
      <c r="H112" s="289"/>
      <c r="I112" s="289"/>
      <c r="J112" s="289"/>
      <c r="K112" s="289"/>
      <c r="L112" s="289"/>
      <c r="M112" s="289"/>
      <c r="N112" s="251"/>
    </row>
    <row r="113" spans="1:14" x14ac:dyDescent="0.25">
      <c r="A113" s="289"/>
      <c r="B113" s="289"/>
      <c r="C113" s="289"/>
      <c r="D113" s="289"/>
      <c r="E113" s="289"/>
      <c r="F113" s="289"/>
      <c r="G113" s="289"/>
      <c r="H113" s="289"/>
      <c r="I113" s="289"/>
      <c r="J113" s="289"/>
      <c r="K113" s="289"/>
      <c r="L113" s="289"/>
      <c r="M113" s="289"/>
      <c r="N113" s="251"/>
    </row>
    <row r="114" spans="1:14" x14ac:dyDescent="0.25">
      <c r="A114" s="289"/>
      <c r="B114" s="289"/>
      <c r="C114" s="289"/>
      <c r="D114" s="289"/>
      <c r="E114" s="289"/>
      <c r="F114" s="289"/>
      <c r="G114" s="289"/>
      <c r="H114" s="289"/>
      <c r="I114" s="289"/>
      <c r="J114" s="289"/>
      <c r="K114" s="289"/>
      <c r="L114" s="289"/>
      <c r="M114" s="289"/>
      <c r="N114" s="251"/>
    </row>
    <row r="115" spans="1:14" x14ac:dyDescent="0.25">
      <c r="A115" s="289"/>
      <c r="B115" s="289"/>
      <c r="C115" s="289"/>
      <c r="D115" s="289"/>
      <c r="E115" s="289"/>
      <c r="F115" s="289"/>
      <c r="G115" s="289"/>
      <c r="H115" s="289"/>
      <c r="I115" s="289"/>
      <c r="J115" s="289"/>
      <c r="K115" s="289"/>
      <c r="L115" s="289"/>
      <c r="M115" s="289"/>
      <c r="N115" s="251"/>
    </row>
    <row r="116" spans="1:14" x14ac:dyDescent="0.25">
      <c r="A116" s="289"/>
      <c r="B116" s="289"/>
      <c r="C116" s="289"/>
      <c r="D116" s="289"/>
      <c r="E116" s="289"/>
      <c r="F116" s="289"/>
      <c r="G116" s="289"/>
      <c r="H116" s="289"/>
      <c r="I116" s="289"/>
      <c r="J116" s="289"/>
      <c r="K116" s="289"/>
      <c r="L116" s="289"/>
      <c r="M116" s="289"/>
      <c r="N116" s="251"/>
    </row>
    <row r="117" spans="1:14" x14ac:dyDescent="0.25">
      <c r="A117" s="289"/>
      <c r="B117" s="289"/>
      <c r="C117" s="289"/>
      <c r="D117" s="289"/>
      <c r="E117" s="289"/>
      <c r="F117" s="289"/>
      <c r="G117" s="289"/>
      <c r="H117" s="289"/>
      <c r="I117" s="289"/>
      <c r="J117" s="289"/>
      <c r="K117" s="289"/>
      <c r="L117" s="289"/>
      <c r="M117" s="289"/>
      <c r="N117" s="251"/>
    </row>
    <row r="118" spans="1:14" x14ac:dyDescent="0.25">
      <c r="A118" s="289"/>
      <c r="B118" s="289"/>
      <c r="C118" s="289"/>
      <c r="D118" s="289"/>
      <c r="E118" s="289"/>
      <c r="F118" s="289"/>
      <c r="G118" s="289"/>
      <c r="H118" s="289"/>
      <c r="I118" s="289"/>
      <c r="J118" s="289"/>
      <c r="K118" s="289"/>
      <c r="L118" s="289"/>
      <c r="M118" s="289"/>
      <c r="N118" s="251"/>
    </row>
    <row r="119" spans="1:14" x14ac:dyDescent="0.25">
      <c r="A119" s="532" t="s">
        <v>463</v>
      </c>
      <c r="B119" s="532"/>
      <c r="C119" s="532"/>
      <c r="D119" s="532"/>
      <c r="E119" s="532"/>
      <c r="F119" s="532"/>
      <c r="G119" s="2"/>
      <c r="H119" s="2"/>
      <c r="I119" s="2"/>
      <c r="J119" s="2"/>
      <c r="K119" s="2"/>
      <c r="L119" s="2"/>
      <c r="M119" s="2"/>
      <c r="N119" s="251"/>
    </row>
    <row r="120" spans="1:14" x14ac:dyDescent="0.25">
      <c r="A120" s="517" t="s">
        <v>464</v>
      </c>
      <c r="B120" s="517"/>
      <c r="C120" s="517"/>
      <c r="D120" s="517" t="s">
        <v>465</v>
      </c>
      <c r="E120" s="517"/>
      <c r="F120" s="517"/>
      <c r="G120" s="2"/>
      <c r="H120" s="2"/>
      <c r="I120" s="2"/>
      <c r="J120" s="2"/>
      <c r="K120" s="2"/>
      <c r="L120" s="2"/>
      <c r="M120" s="2"/>
      <c r="N120" s="251"/>
    </row>
    <row r="121" spans="1:14" x14ac:dyDescent="0.25">
      <c r="A121" s="511" t="s">
        <v>474</v>
      </c>
      <c r="B121" s="511"/>
      <c r="C121" s="511"/>
      <c r="D121" s="518" t="s">
        <v>466</v>
      </c>
      <c r="E121" s="518"/>
      <c r="F121" s="518"/>
      <c r="G121" s="2"/>
      <c r="H121" s="2"/>
      <c r="I121" s="2"/>
      <c r="J121" s="2"/>
      <c r="K121" s="2"/>
      <c r="L121" s="2"/>
      <c r="M121" s="2"/>
      <c r="N121" s="251"/>
    </row>
    <row r="122" spans="1:14" x14ac:dyDescent="0.25">
      <c r="A122" s="511" t="s">
        <v>473</v>
      </c>
      <c r="B122" s="511"/>
      <c r="C122" s="511"/>
      <c r="D122" s="511" t="s">
        <v>467</v>
      </c>
      <c r="E122" s="511"/>
      <c r="F122" s="511"/>
      <c r="G122" s="2"/>
      <c r="H122" s="2"/>
      <c r="I122" s="2"/>
      <c r="J122" s="2"/>
      <c r="K122" s="2"/>
      <c r="L122" s="2"/>
      <c r="M122" s="2"/>
      <c r="N122" s="251"/>
    </row>
    <row r="123" spans="1:14" x14ac:dyDescent="0.25">
      <c r="A123" s="519" t="s">
        <v>471</v>
      </c>
      <c r="B123" s="519"/>
      <c r="C123" s="519"/>
      <c r="D123" s="511" t="s">
        <v>468</v>
      </c>
      <c r="E123" s="511"/>
      <c r="F123" s="511"/>
      <c r="G123" s="2"/>
      <c r="H123" s="2"/>
      <c r="I123" s="2"/>
      <c r="J123" s="2"/>
      <c r="K123" s="2"/>
      <c r="L123" s="2"/>
      <c r="M123" s="2"/>
      <c r="N123" s="251"/>
    </row>
    <row r="124" spans="1:14" ht="15.75" thickBot="1" x14ac:dyDescent="0.3">
      <c r="A124" s="520" t="s">
        <v>472</v>
      </c>
      <c r="B124" s="520"/>
      <c r="C124" s="520"/>
      <c r="D124" s="513" t="s">
        <v>469</v>
      </c>
      <c r="E124" s="513"/>
      <c r="F124" s="513"/>
      <c r="G124" s="2"/>
      <c r="H124" s="2"/>
      <c r="I124" s="2"/>
      <c r="J124" s="2"/>
      <c r="K124" s="2"/>
      <c r="L124" s="2"/>
      <c r="M124" s="2"/>
      <c r="N124" s="251"/>
    </row>
    <row r="125" spans="1:14" ht="15.75" thickBot="1" x14ac:dyDescent="0.3">
      <c r="A125" s="514" t="s">
        <v>470</v>
      </c>
      <c r="B125" s="515"/>
      <c r="C125" s="515"/>
      <c r="D125" s="515"/>
      <c r="E125" s="515"/>
      <c r="F125" s="516"/>
      <c r="G125" s="2"/>
      <c r="H125" s="2"/>
      <c r="I125" s="2"/>
      <c r="J125" s="2"/>
      <c r="K125" s="2"/>
      <c r="L125" s="2"/>
      <c r="M125" s="2"/>
      <c r="N125" s="251"/>
    </row>
    <row r="126" spans="1:14" x14ac:dyDescent="0.25">
      <c r="A126" s="521" t="s">
        <v>480</v>
      </c>
      <c r="B126" s="521"/>
      <c r="C126" s="521"/>
      <c r="D126" s="521"/>
      <c r="E126" s="521"/>
      <c r="F126" s="521"/>
      <c r="G126" s="2"/>
      <c r="H126" s="2"/>
      <c r="I126" s="2"/>
      <c r="J126" s="2"/>
      <c r="K126" s="2"/>
      <c r="L126" s="2"/>
      <c r="M126" s="2"/>
      <c r="N126" s="251"/>
    </row>
    <row r="127" spans="1:14" x14ac:dyDescent="0.25">
      <c r="A127" s="369" t="s">
        <v>511</v>
      </c>
      <c r="B127" s="369"/>
      <c r="C127" s="369"/>
      <c r="D127" s="369"/>
      <c r="E127" s="369"/>
      <c r="F127" s="369"/>
      <c r="G127" s="2"/>
      <c r="H127" s="2"/>
      <c r="I127" s="2"/>
      <c r="J127" s="2"/>
      <c r="K127" s="2"/>
      <c r="L127" s="2"/>
      <c r="M127" s="2"/>
      <c r="N127" s="251"/>
    </row>
    <row r="128" spans="1:14" x14ac:dyDescent="0.25">
      <c r="A128" s="369" t="s">
        <v>512</v>
      </c>
      <c r="B128" s="369"/>
      <c r="C128" s="369"/>
      <c r="D128" s="369"/>
      <c r="E128" s="369"/>
      <c r="F128" s="369"/>
      <c r="G128" s="2"/>
      <c r="H128" s="2"/>
      <c r="I128" s="2"/>
      <c r="J128" s="2"/>
      <c r="K128" s="2"/>
      <c r="L128" s="2"/>
      <c r="M128" s="2"/>
      <c r="N128" s="251"/>
    </row>
    <row r="129" spans="1:14" x14ac:dyDescent="0.25">
      <c r="A129" s="289"/>
      <c r="B129" s="289"/>
      <c r="C129" s="28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51"/>
    </row>
    <row r="130" spans="1:14" ht="15.75" customHeight="1" x14ac:dyDescent="0.25">
      <c r="A130" s="532" t="s">
        <v>475</v>
      </c>
      <c r="B130" s="532"/>
      <c r="C130" s="53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51"/>
    </row>
    <row r="131" spans="1:14" ht="15" customHeight="1" x14ac:dyDescent="0.25">
      <c r="A131" s="523"/>
      <c r="B131" s="523"/>
      <c r="C131" s="523"/>
      <c r="D131" s="260"/>
      <c r="E131" s="508"/>
      <c r="F131" s="508"/>
      <c r="G131" s="508"/>
      <c r="H131" s="508"/>
      <c r="I131" s="508"/>
      <c r="J131" s="508"/>
      <c r="K131" s="508"/>
      <c r="L131" s="508"/>
      <c r="M131" s="508"/>
      <c r="N131" s="251"/>
    </row>
    <row r="132" spans="1:14" x14ac:dyDescent="0.25">
      <c r="A132" s="512" t="s">
        <v>476</v>
      </c>
      <c r="B132" s="512"/>
      <c r="C132" s="512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251"/>
    </row>
    <row r="133" spans="1:14" x14ac:dyDescent="0.25">
      <c r="A133" s="512" t="s">
        <v>477</v>
      </c>
      <c r="B133" s="512"/>
      <c r="C133" s="512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251"/>
    </row>
    <row r="134" spans="1:14" ht="15.75" customHeight="1" x14ac:dyDescent="0.25">
      <c r="A134" s="523" t="s">
        <v>478</v>
      </c>
      <c r="B134" s="523"/>
      <c r="C134" s="52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51"/>
    </row>
    <row r="135" spans="1:14" x14ac:dyDescent="0.25">
      <c r="A135" s="512" t="s">
        <v>479</v>
      </c>
      <c r="B135" s="512"/>
      <c r="C135" s="51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51"/>
    </row>
    <row r="136" spans="1:14" x14ac:dyDescent="0.25">
      <c r="A136" s="289"/>
      <c r="B136" s="289"/>
      <c r="C136" s="289"/>
      <c r="D136" s="289"/>
      <c r="E136" s="289"/>
      <c r="F136" s="289"/>
      <c r="G136" s="289"/>
      <c r="H136" s="289"/>
      <c r="I136" s="289"/>
      <c r="J136" s="289"/>
      <c r="K136" s="289"/>
      <c r="L136" s="289"/>
      <c r="M136" s="289"/>
      <c r="N136" s="251"/>
    </row>
    <row r="137" spans="1:14" x14ac:dyDescent="0.25">
      <c r="A137" s="530" t="s">
        <v>487</v>
      </c>
      <c r="B137" s="53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51"/>
    </row>
    <row r="138" spans="1:14" x14ac:dyDescent="0.25">
      <c r="A138" s="524"/>
      <c r="B138" s="525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51"/>
    </row>
    <row r="139" spans="1:14" ht="15" customHeight="1" x14ac:dyDescent="0.25">
      <c r="A139" s="533" t="s">
        <v>481</v>
      </c>
      <c r="B139" s="53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51"/>
    </row>
    <row r="140" spans="1:14" ht="15" customHeight="1" x14ac:dyDescent="0.25">
      <c r="A140" s="534" t="s">
        <v>482</v>
      </c>
      <c r="B140" s="534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51"/>
    </row>
    <row r="141" spans="1:14" ht="15" customHeight="1" x14ac:dyDescent="0.25">
      <c r="A141" s="535" t="s">
        <v>483</v>
      </c>
      <c r="B141" s="535"/>
      <c r="C141" s="522"/>
      <c r="D141" s="522"/>
      <c r="E141" s="522"/>
      <c r="F141" s="522"/>
      <c r="G141" s="522"/>
      <c r="H141" s="522"/>
      <c r="I141" s="522"/>
      <c r="J141" s="522"/>
      <c r="K141" s="522"/>
      <c r="L141" s="522"/>
      <c r="M141" s="522"/>
      <c r="N141" s="251"/>
    </row>
    <row r="142" spans="1:14" x14ac:dyDescent="0.25">
      <c r="A142" s="536"/>
      <c r="B142" s="53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51"/>
    </row>
    <row r="143" spans="1:14" ht="15" customHeight="1" x14ac:dyDescent="0.25">
      <c r="A143" s="533" t="s">
        <v>484</v>
      </c>
      <c r="B143" s="53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51"/>
    </row>
    <row r="144" spans="1:14" ht="15" customHeight="1" x14ac:dyDescent="0.25">
      <c r="A144" s="534" t="s">
        <v>485</v>
      </c>
      <c r="B144" s="534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51"/>
    </row>
    <row r="145" spans="1:14" ht="15" customHeight="1" x14ac:dyDescent="0.25">
      <c r="A145" s="534" t="s">
        <v>486</v>
      </c>
      <c r="B145" s="534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51"/>
    </row>
    <row r="146" spans="1:14" x14ac:dyDescent="0.25">
      <c r="A146" s="289"/>
      <c r="B146" s="289"/>
      <c r="C146" s="289"/>
      <c r="D146" s="289"/>
      <c r="E146" s="289"/>
      <c r="F146" s="289"/>
      <c r="G146" s="289"/>
      <c r="H146" s="289"/>
      <c r="I146" s="289"/>
      <c r="J146" s="289"/>
      <c r="K146" s="289"/>
      <c r="L146" s="289"/>
      <c r="M146" s="289"/>
      <c r="N146" s="251"/>
    </row>
    <row r="147" spans="1:14" x14ac:dyDescent="0.25">
      <c r="A147" s="289"/>
      <c r="B147" s="289"/>
      <c r="C147" s="289"/>
      <c r="D147" s="289"/>
      <c r="E147" s="289"/>
      <c r="F147" s="289"/>
      <c r="G147" s="289"/>
      <c r="H147" s="289"/>
      <c r="I147" s="289"/>
      <c r="J147" s="289"/>
      <c r="K147" s="289"/>
      <c r="L147" s="289"/>
      <c r="M147" s="289"/>
      <c r="N147" s="251"/>
    </row>
    <row r="148" spans="1:14" x14ac:dyDescent="0.25">
      <c r="A148" s="529" t="s">
        <v>488</v>
      </c>
      <c r="B148" s="529"/>
      <c r="C148" s="529"/>
      <c r="D148" s="529"/>
      <c r="E148" s="529"/>
      <c r="F148" s="529"/>
      <c r="G148" s="529"/>
      <c r="H148" s="529"/>
      <c r="I148" s="529"/>
      <c r="J148" s="529"/>
      <c r="K148" s="529"/>
      <c r="L148" s="529"/>
      <c r="M148" s="529"/>
      <c r="N148" s="251"/>
    </row>
    <row r="149" spans="1:14" x14ac:dyDescent="0.25">
      <c r="A149" s="527" t="s">
        <v>490</v>
      </c>
      <c r="B149" s="526"/>
      <c r="C149" s="526"/>
      <c r="D149" s="526"/>
      <c r="E149" s="526"/>
      <c r="F149" s="526"/>
      <c r="G149" s="526"/>
      <c r="H149" s="526"/>
      <c r="I149" s="526"/>
      <c r="J149" s="526"/>
      <c r="K149" s="526"/>
      <c r="L149" s="526"/>
      <c r="M149" s="526"/>
      <c r="N149" s="251"/>
    </row>
    <row r="150" spans="1:14" x14ac:dyDescent="0.25">
      <c r="A150" s="526" t="s">
        <v>489</v>
      </c>
      <c r="B150" s="526"/>
      <c r="C150" s="526"/>
      <c r="D150" s="526"/>
      <c r="E150" s="526"/>
      <c r="F150" s="526"/>
      <c r="G150" s="526"/>
      <c r="H150" s="526"/>
      <c r="I150" s="526"/>
      <c r="J150" s="526"/>
      <c r="K150" s="526"/>
      <c r="L150" s="526"/>
      <c r="M150" s="526"/>
      <c r="N150" s="251"/>
    </row>
    <row r="151" spans="1:14" x14ac:dyDescent="0.25">
      <c r="A151" s="528" t="s">
        <v>491</v>
      </c>
      <c r="B151" s="528"/>
      <c r="C151" s="528"/>
      <c r="D151" s="528"/>
      <c r="E151" s="528"/>
      <c r="F151" s="528"/>
      <c r="G151" s="528"/>
      <c r="H151" s="528"/>
      <c r="I151" s="528"/>
      <c r="J151" s="528"/>
      <c r="K151" s="528"/>
      <c r="L151" s="528"/>
      <c r="M151" s="528"/>
      <c r="N151" s="251"/>
    </row>
    <row r="152" spans="1:14" x14ac:dyDescent="0.25">
      <c r="A152" s="527" t="s">
        <v>492</v>
      </c>
      <c r="B152" s="526"/>
      <c r="C152" s="526"/>
      <c r="D152" s="526"/>
      <c r="E152" s="526"/>
      <c r="F152" s="526"/>
      <c r="G152" s="526"/>
      <c r="H152" s="526"/>
      <c r="I152" s="526"/>
      <c r="J152" s="526"/>
      <c r="K152" s="526"/>
      <c r="L152" s="526"/>
      <c r="M152" s="526"/>
      <c r="N152" s="251"/>
    </row>
    <row r="153" spans="1:14" x14ac:dyDescent="0.25">
      <c r="A153" s="528" t="s">
        <v>493</v>
      </c>
      <c r="B153" s="528"/>
      <c r="C153" s="528"/>
      <c r="D153" s="528"/>
      <c r="E153" s="528"/>
      <c r="F153" s="528"/>
      <c r="G153" s="528"/>
      <c r="H153" s="528"/>
      <c r="I153" s="528"/>
      <c r="J153" s="528"/>
      <c r="K153" s="528"/>
      <c r="L153" s="528"/>
      <c r="M153" s="528"/>
      <c r="N153" s="251"/>
    </row>
    <row r="154" spans="1:14" x14ac:dyDescent="0.25">
      <c r="A154" s="528" t="s">
        <v>494</v>
      </c>
      <c r="B154" s="528"/>
      <c r="C154" s="528"/>
      <c r="D154" s="528"/>
      <c r="E154" s="528"/>
      <c r="F154" s="528"/>
      <c r="G154" s="528"/>
      <c r="H154" s="528"/>
      <c r="I154" s="528"/>
      <c r="J154" s="528"/>
      <c r="K154" s="528"/>
      <c r="L154" s="528"/>
      <c r="M154" s="528"/>
      <c r="N154" s="251"/>
    </row>
    <row r="155" spans="1:14" x14ac:dyDescent="0.25">
      <c r="A155" s="289"/>
      <c r="B155" s="289"/>
      <c r="C155" s="289"/>
      <c r="D155" s="289"/>
      <c r="E155" s="289"/>
      <c r="F155" s="289"/>
      <c r="G155" s="289"/>
      <c r="H155" s="289"/>
      <c r="I155" s="289"/>
      <c r="J155" s="289"/>
      <c r="K155" s="289"/>
      <c r="L155" s="289"/>
      <c r="M155" s="289"/>
      <c r="N155" s="251"/>
    </row>
    <row r="156" spans="1:14" x14ac:dyDescent="0.25">
      <c r="A156" s="289"/>
      <c r="B156" s="289"/>
      <c r="C156" s="289"/>
      <c r="D156" s="289"/>
      <c r="E156" s="289"/>
      <c r="F156" s="289"/>
      <c r="G156" s="289"/>
      <c r="H156" s="289"/>
      <c r="I156" s="289"/>
      <c r="J156" s="289"/>
      <c r="K156" s="289"/>
      <c r="L156" s="289"/>
      <c r="M156" s="289"/>
      <c r="N156" s="251"/>
    </row>
    <row r="157" spans="1:14" x14ac:dyDescent="0.25">
      <c r="A157" s="538" t="s">
        <v>495</v>
      </c>
      <c r="B157" s="529"/>
      <c r="C157" s="529"/>
      <c r="D157" s="529"/>
      <c r="E157" s="529"/>
      <c r="F157" s="529"/>
      <c r="G157" s="529"/>
      <c r="H157" s="529"/>
      <c r="I157" s="529"/>
      <c r="J157" s="529"/>
      <c r="K157" s="529"/>
      <c r="L157" s="529"/>
      <c r="M157" s="529"/>
      <c r="N157" s="251"/>
    </row>
    <row r="158" spans="1:14" x14ac:dyDescent="0.25">
      <c r="A158" s="526"/>
      <c r="B158" s="526"/>
      <c r="C158" s="526"/>
      <c r="D158" s="526"/>
      <c r="E158" s="526"/>
      <c r="F158" s="526"/>
      <c r="G158" s="526"/>
      <c r="H158" s="526"/>
      <c r="I158" s="526"/>
      <c r="J158" s="526"/>
      <c r="K158" s="526"/>
      <c r="L158" s="526"/>
      <c r="M158" s="526"/>
      <c r="N158" s="251"/>
    </row>
    <row r="159" spans="1:14" x14ac:dyDescent="0.25">
      <c r="A159" s="526" t="s">
        <v>496</v>
      </c>
      <c r="B159" s="526"/>
      <c r="C159" s="526"/>
      <c r="D159" s="526"/>
      <c r="E159" s="526"/>
      <c r="F159" s="526"/>
      <c r="G159" s="526"/>
      <c r="H159" s="526"/>
      <c r="I159" s="526"/>
      <c r="J159" s="526"/>
      <c r="K159" s="526"/>
      <c r="L159" s="526"/>
      <c r="M159" s="526"/>
      <c r="N159" s="251"/>
    </row>
    <row r="160" spans="1:14" x14ac:dyDescent="0.25">
      <c r="A160" s="526" t="s">
        <v>497</v>
      </c>
      <c r="B160" s="526"/>
      <c r="C160" s="526"/>
      <c r="D160" s="526"/>
      <c r="E160" s="526"/>
      <c r="F160" s="526"/>
      <c r="G160" s="526"/>
      <c r="H160" s="526"/>
      <c r="I160" s="526"/>
      <c r="J160" s="526"/>
      <c r="K160" s="526"/>
      <c r="L160" s="526"/>
      <c r="M160" s="526"/>
      <c r="N160" s="251"/>
    </row>
    <row r="161" spans="1:14" x14ac:dyDescent="0.25">
      <c r="A161" s="528" t="s">
        <v>541</v>
      </c>
      <c r="B161" s="528"/>
      <c r="C161" s="528"/>
      <c r="D161" s="528"/>
      <c r="E161" s="528"/>
      <c r="F161" s="528"/>
      <c r="G161" s="528"/>
      <c r="H161" s="528"/>
      <c r="I161" s="528"/>
      <c r="J161" s="528"/>
      <c r="K161" s="528"/>
      <c r="L161" s="528"/>
      <c r="M161" s="528"/>
      <c r="N161" s="251"/>
    </row>
    <row r="162" spans="1:14" x14ac:dyDescent="0.25">
      <c r="A162" s="289"/>
      <c r="B162" s="289"/>
      <c r="C162" s="289"/>
      <c r="D162" s="289"/>
      <c r="E162" s="289"/>
      <c r="F162" s="289"/>
      <c r="G162" s="289"/>
      <c r="H162" s="289"/>
      <c r="I162" s="289"/>
      <c r="J162" s="289"/>
      <c r="K162" s="289"/>
      <c r="L162" s="289"/>
      <c r="M162" s="289"/>
      <c r="N162" s="251"/>
    </row>
    <row r="163" spans="1:14" x14ac:dyDescent="0.25">
      <c r="A163" s="289"/>
      <c r="B163" s="289"/>
      <c r="C163" s="289"/>
      <c r="D163" s="289"/>
      <c r="E163" s="289"/>
      <c r="F163" s="289"/>
      <c r="G163" s="289"/>
      <c r="H163" s="289"/>
      <c r="I163" s="289"/>
      <c r="J163" s="289"/>
      <c r="K163" s="289"/>
      <c r="L163" s="289"/>
      <c r="M163" s="289"/>
      <c r="N163" s="251"/>
    </row>
    <row r="164" spans="1:14" x14ac:dyDescent="0.25">
      <c r="A164" s="289"/>
      <c r="B164" s="289"/>
      <c r="C164" s="289"/>
      <c r="D164" s="289"/>
      <c r="E164" s="289"/>
      <c r="F164" s="289"/>
      <c r="G164" s="289"/>
      <c r="H164" s="289"/>
      <c r="I164" s="289"/>
      <c r="J164" s="289"/>
      <c r="K164" s="289"/>
      <c r="L164" s="289"/>
      <c r="M164" s="289"/>
      <c r="N164" s="251"/>
    </row>
    <row r="165" spans="1:14" x14ac:dyDescent="0.25">
      <c r="A165" s="289"/>
      <c r="B165" s="289"/>
      <c r="C165" s="289"/>
      <c r="D165" s="289"/>
      <c r="E165" s="289"/>
      <c r="F165" s="289"/>
      <c r="G165" s="289"/>
      <c r="H165" s="289"/>
      <c r="I165" s="289"/>
      <c r="J165" s="289"/>
      <c r="K165" s="289"/>
      <c r="L165" s="289"/>
      <c r="M165" s="289"/>
      <c r="N165" s="251"/>
    </row>
    <row r="166" spans="1:14" x14ac:dyDescent="0.25">
      <c r="A166" s="289"/>
      <c r="B166" s="289"/>
      <c r="C166" s="289"/>
      <c r="D166" s="289"/>
      <c r="E166" s="289"/>
      <c r="F166" s="289"/>
      <c r="G166" s="289"/>
      <c r="H166" s="289"/>
      <c r="I166" s="289"/>
      <c r="J166" s="289"/>
      <c r="K166" s="289"/>
      <c r="L166" s="289"/>
      <c r="M166" s="289"/>
      <c r="N166" s="251"/>
    </row>
    <row r="167" spans="1:14" x14ac:dyDescent="0.25">
      <c r="A167" s="289"/>
      <c r="B167" s="289"/>
      <c r="C167" s="289"/>
      <c r="D167" s="289"/>
      <c r="E167" s="289"/>
      <c r="F167" s="289"/>
      <c r="G167" s="289"/>
      <c r="H167" s="289"/>
      <c r="I167" s="289"/>
      <c r="J167" s="289"/>
      <c r="K167" s="289"/>
      <c r="L167" s="289"/>
      <c r="M167" s="289"/>
      <c r="N167" s="251"/>
    </row>
    <row r="168" spans="1:14" x14ac:dyDescent="0.25">
      <c r="A168" s="289"/>
      <c r="B168" s="289"/>
      <c r="C168" s="289"/>
      <c r="D168" s="289"/>
      <c r="E168" s="289"/>
      <c r="F168" s="289"/>
      <c r="G168" s="289"/>
      <c r="H168" s="289"/>
      <c r="I168" s="289"/>
      <c r="J168" s="289"/>
      <c r="K168" s="289"/>
      <c r="L168" s="289"/>
      <c r="M168" s="289"/>
      <c r="N168" s="251"/>
    </row>
    <row r="169" spans="1:14" x14ac:dyDescent="0.25">
      <c r="A169" s="289"/>
      <c r="B169" s="289"/>
      <c r="C169" s="289"/>
      <c r="D169" s="289"/>
      <c r="E169" s="289"/>
      <c r="F169" s="289"/>
      <c r="G169" s="289"/>
      <c r="H169" s="289"/>
      <c r="I169" s="289"/>
      <c r="J169" s="289"/>
      <c r="K169" s="289"/>
      <c r="L169" s="289"/>
      <c r="M169" s="289"/>
      <c r="N169" s="251"/>
    </row>
    <row r="170" spans="1:14" x14ac:dyDescent="0.25">
      <c r="A170" s="289"/>
      <c r="B170" s="289"/>
      <c r="C170" s="289"/>
      <c r="D170" s="289"/>
      <c r="E170" s="289"/>
      <c r="F170" s="289"/>
      <c r="G170" s="289"/>
      <c r="H170" s="289"/>
      <c r="I170" s="289"/>
      <c r="J170" s="289"/>
      <c r="K170" s="289"/>
      <c r="L170" s="289"/>
      <c r="M170" s="289"/>
      <c r="N170" s="251"/>
    </row>
    <row r="171" spans="1:14" x14ac:dyDescent="0.25">
      <c r="A171" s="289"/>
      <c r="B171" s="289"/>
      <c r="C171" s="289"/>
      <c r="D171" s="289"/>
      <c r="E171" s="289"/>
      <c r="F171" s="289"/>
      <c r="G171" s="289"/>
      <c r="H171" s="289"/>
      <c r="I171" s="289"/>
      <c r="J171" s="289"/>
      <c r="K171" s="289"/>
      <c r="L171" s="289"/>
      <c r="M171" s="289"/>
      <c r="N171" s="251"/>
    </row>
    <row r="172" spans="1:14" x14ac:dyDescent="0.25">
      <c r="A172" s="289"/>
      <c r="B172" s="289"/>
      <c r="C172" s="289"/>
      <c r="D172" s="289"/>
      <c r="E172" s="289"/>
      <c r="F172" s="289"/>
      <c r="G172" s="289"/>
      <c r="H172" s="289"/>
      <c r="I172" s="289"/>
      <c r="J172" s="289"/>
      <c r="K172" s="289"/>
      <c r="L172" s="289"/>
      <c r="M172" s="289"/>
      <c r="N172" s="251"/>
    </row>
    <row r="173" spans="1:14" x14ac:dyDescent="0.25">
      <c r="A173" s="289"/>
      <c r="B173" s="289"/>
      <c r="C173" s="289"/>
      <c r="D173" s="289"/>
      <c r="E173" s="289"/>
      <c r="F173" s="289"/>
      <c r="G173" s="289"/>
      <c r="H173" s="289"/>
      <c r="I173" s="289"/>
      <c r="J173" s="289"/>
      <c r="K173" s="289"/>
      <c r="L173" s="289"/>
      <c r="M173" s="289"/>
      <c r="N173" s="251"/>
    </row>
    <row r="174" spans="1:14" x14ac:dyDescent="0.25">
      <c r="A174" s="289"/>
      <c r="B174" s="289"/>
      <c r="C174" s="289"/>
      <c r="D174" s="289"/>
      <c r="E174" s="289"/>
      <c r="F174" s="289"/>
      <c r="G174" s="289"/>
      <c r="H174" s="289"/>
      <c r="I174" s="289"/>
      <c r="J174" s="289"/>
      <c r="K174" s="289"/>
      <c r="L174" s="289"/>
      <c r="M174" s="289"/>
      <c r="N174" s="251"/>
    </row>
    <row r="175" spans="1:14" x14ac:dyDescent="0.25">
      <c r="A175" s="289"/>
      <c r="B175" s="289"/>
      <c r="C175" s="289"/>
      <c r="D175" s="289"/>
      <c r="E175" s="289"/>
      <c r="F175" s="289"/>
      <c r="G175" s="289"/>
      <c r="H175" s="289"/>
      <c r="I175" s="289"/>
      <c r="J175" s="289"/>
      <c r="K175" s="289"/>
      <c r="L175" s="289"/>
      <c r="M175" s="289"/>
      <c r="N175" s="251"/>
    </row>
    <row r="176" spans="1:14" x14ac:dyDescent="0.25">
      <c r="A176" s="289"/>
      <c r="B176" s="289"/>
      <c r="C176" s="289"/>
      <c r="D176" s="289"/>
      <c r="E176" s="289"/>
      <c r="F176" s="289"/>
      <c r="G176" s="289"/>
      <c r="H176" s="289"/>
      <c r="I176" s="289"/>
      <c r="J176" s="289"/>
      <c r="K176" s="289"/>
      <c r="L176" s="289"/>
      <c r="M176" s="289"/>
      <c r="N176" s="251"/>
    </row>
    <row r="177" spans="1:14" x14ac:dyDescent="0.25">
      <c r="A177" s="289"/>
      <c r="B177" s="289"/>
      <c r="C177" s="289"/>
      <c r="D177" s="289"/>
      <c r="E177" s="289"/>
      <c r="F177" s="289"/>
      <c r="G177" s="289"/>
      <c r="H177" s="289"/>
      <c r="I177" s="289"/>
      <c r="J177" s="289"/>
      <c r="K177" s="289"/>
      <c r="L177" s="289"/>
      <c r="M177" s="289"/>
      <c r="N177" s="251"/>
    </row>
    <row r="178" spans="1:14" x14ac:dyDescent="0.25">
      <c r="A178" s="289"/>
      <c r="B178" s="289"/>
      <c r="C178" s="289"/>
      <c r="D178" s="289"/>
      <c r="E178" s="289"/>
      <c r="F178" s="289"/>
      <c r="G178" s="289"/>
      <c r="H178" s="289"/>
      <c r="I178" s="289"/>
      <c r="J178" s="289"/>
      <c r="K178" s="289"/>
      <c r="L178" s="289"/>
      <c r="M178" s="289"/>
      <c r="N178" s="251"/>
    </row>
    <row r="179" spans="1:14" x14ac:dyDescent="0.25">
      <c r="A179" s="289"/>
      <c r="B179" s="289"/>
      <c r="C179" s="289"/>
      <c r="D179" s="289"/>
      <c r="E179" s="289"/>
      <c r="F179" s="289"/>
      <c r="G179" s="289"/>
      <c r="H179" s="289"/>
      <c r="I179" s="289"/>
      <c r="J179" s="289"/>
      <c r="K179" s="289"/>
      <c r="L179" s="289"/>
      <c r="M179" s="289"/>
      <c r="N179" s="251"/>
    </row>
    <row r="180" spans="1:14" x14ac:dyDescent="0.25">
      <c r="A180" s="289"/>
      <c r="B180" s="289"/>
      <c r="C180" s="289"/>
      <c r="D180" s="289"/>
      <c r="E180" s="289"/>
      <c r="F180" s="289"/>
      <c r="G180" s="289"/>
      <c r="H180" s="289"/>
      <c r="I180" s="289"/>
      <c r="J180" s="289"/>
      <c r="K180" s="289"/>
      <c r="L180" s="289"/>
      <c r="M180" s="289"/>
      <c r="N180" s="251"/>
    </row>
    <row r="181" spans="1:14" x14ac:dyDescent="0.25">
      <c r="A181" s="289"/>
      <c r="B181" s="289"/>
      <c r="C181" s="289"/>
      <c r="D181" s="289"/>
      <c r="E181" s="289"/>
      <c r="F181" s="289"/>
      <c r="G181" s="289"/>
      <c r="H181" s="289"/>
      <c r="I181" s="289"/>
      <c r="J181" s="289"/>
      <c r="K181" s="289"/>
      <c r="L181" s="289"/>
      <c r="M181" s="289"/>
      <c r="N181" s="251"/>
    </row>
    <row r="182" spans="1:14" x14ac:dyDescent="0.25">
      <c r="A182" s="289"/>
      <c r="B182" s="289"/>
      <c r="C182" s="289"/>
      <c r="D182" s="289"/>
      <c r="E182" s="289"/>
      <c r="F182" s="289"/>
      <c r="G182" s="289"/>
      <c r="H182" s="289"/>
      <c r="I182" s="289"/>
      <c r="J182" s="289"/>
      <c r="K182" s="289"/>
      <c r="L182" s="289"/>
      <c r="M182" s="289"/>
      <c r="N182" s="251"/>
    </row>
    <row r="183" spans="1:14" x14ac:dyDescent="0.25">
      <c r="A183" s="289"/>
      <c r="B183" s="289"/>
      <c r="C183" s="289"/>
      <c r="D183" s="289"/>
      <c r="E183" s="289"/>
      <c r="F183" s="289"/>
      <c r="G183" s="289"/>
      <c r="H183" s="289"/>
      <c r="I183" s="289"/>
      <c r="J183" s="289"/>
      <c r="K183" s="289"/>
      <c r="L183" s="289"/>
      <c r="M183" s="289"/>
      <c r="N183" s="251"/>
    </row>
    <row r="184" spans="1:14" x14ac:dyDescent="0.25">
      <c r="A184" s="289"/>
      <c r="B184" s="289"/>
      <c r="C184" s="289"/>
      <c r="D184" s="289"/>
      <c r="E184" s="289"/>
      <c r="F184" s="289"/>
      <c r="G184" s="289"/>
      <c r="H184" s="289"/>
      <c r="I184" s="289"/>
      <c r="J184" s="289"/>
      <c r="K184" s="289"/>
      <c r="L184" s="289"/>
      <c r="M184" s="289"/>
      <c r="N184" s="251"/>
    </row>
    <row r="185" spans="1:14" x14ac:dyDescent="0.25">
      <c r="A185" s="289"/>
      <c r="B185" s="289"/>
      <c r="C185" s="289"/>
      <c r="D185" s="289"/>
      <c r="E185" s="289"/>
      <c r="F185" s="289"/>
      <c r="G185" s="289"/>
      <c r="H185" s="289"/>
      <c r="I185" s="289"/>
      <c r="J185" s="289"/>
      <c r="K185" s="289"/>
      <c r="L185" s="289"/>
      <c r="M185" s="289"/>
      <c r="N185" s="251"/>
    </row>
    <row r="186" spans="1:14" x14ac:dyDescent="0.25">
      <c r="A186" s="289"/>
      <c r="B186" s="289"/>
      <c r="C186" s="289"/>
      <c r="D186" s="289"/>
      <c r="E186" s="289"/>
      <c r="F186" s="289"/>
      <c r="G186" s="289"/>
      <c r="H186" s="289"/>
      <c r="I186" s="289"/>
      <c r="J186" s="289"/>
      <c r="K186" s="289"/>
      <c r="L186" s="289"/>
      <c r="M186" s="289"/>
      <c r="N186" s="251"/>
    </row>
    <row r="187" spans="1:14" x14ac:dyDescent="0.25">
      <c r="A187" s="289"/>
      <c r="B187" s="289"/>
      <c r="C187" s="289"/>
      <c r="D187" s="289"/>
      <c r="E187" s="289"/>
      <c r="F187" s="289"/>
      <c r="G187" s="289"/>
      <c r="H187" s="289"/>
      <c r="I187" s="289"/>
      <c r="J187" s="289"/>
      <c r="K187" s="289"/>
      <c r="L187" s="289"/>
      <c r="M187" s="289"/>
      <c r="N187" s="251"/>
    </row>
    <row r="188" spans="1:14" x14ac:dyDescent="0.25">
      <c r="A188" s="289"/>
      <c r="B188" s="289"/>
      <c r="C188" s="289"/>
      <c r="D188" s="289"/>
      <c r="E188" s="289"/>
      <c r="F188" s="289"/>
      <c r="G188" s="289"/>
      <c r="H188" s="289"/>
      <c r="I188" s="289"/>
      <c r="J188" s="289"/>
      <c r="K188" s="289"/>
      <c r="L188" s="289"/>
      <c r="M188" s="289"/>
      <c r="N188" s="251"/>
    </row>
    <row r="189" spans="1:14" x14ac:dyDescent="0.25">
      <c r="A189" s="289"/>
      <c r="B189" s="289"/>
      <c r="C189" s="289"/>
      <c r="D189" s="289"/>
      <c r="E189" s="289"/>
      <c r="F189" s="289"/>
      <c r="G189" s="289"/>
      <c r="H189" s="289"/>
      <c r="I189" s="289"/>
      <c r="J189" s="289"/>
      <c r="K189" s="289"/>
      <c r="L189" s="289"/>
      <c r="M189" s="289"/>
      <c r="N189" s="251"/>
    </row>
    <row r="190" spans="1:14" x14ac:dyDescent="0.25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</row>
    <row r="191" spans="1:14" x14ac:dyDescent="0.25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</row>
    <row r="192" spans="1:14" x14ac:dyDescent="0.25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</row>
    <row r="193" spans="1:14" x14ac:dyDescent="0.25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</row>
    <row r="194" spans="1:14" x14ac:dyDescent="0.25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</row>
    <row r="195" spans="1:14" x14ac:dyDescent="0.25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</row>
    <row r="196" spans="1:14" x14ac:dyDescent="0.25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</row>
    <row r="197" spans="1:14" x14ac:dyDescent="0.25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</row>
    <row r="198" spans="1:14" x14ac:dyDescent="0.25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</row>
    <row r="199" spans="1:14" x14ac:dyDescent="0.25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</row>
  </sheetData>
  <mergeCells count="167">
    <mergeCell ref="A138:B138"/>
    <mergeCell ref="A142:B142"/>
    <mergeCell ref="A127:F127"/>
    <mergeCell ref="A128:F128"/>
    <mergeCell ref="A135:C135"/>
    <mergeCell ref="A1:E1"/>
    <mergeCell ref="A3:E3"/>
    <mergeCell ref="D124:F124"/>
    <mergeCell ref="A125:F125"/>
    <mergeCell ref="A129:C129"/>
    <mergeCell ref="A130:C130"/>
    <mergeCell ref="A126:F126"/>
    <mergeCell ref="A186:M186"/>
    <mergeCell ref="A187:M187"/>
    <mergeCell ref="A188:M188"/>
    <mergeCell ref="A189:M189"/>
    <mergeCell ref="A119:F119"/>
    <mergeCell ref="A120:C120"/>
    <mergeCell ref="D120:F120"/>
    <mergeCell ref="A121:C121"/>
    <mergeCell ref="A122:C122"/>
    <mergeCell ref="A180:M180"/>
    <mergeCell ref="A181:M181"/>
    <mergeCell ref="A182:M182"/>
    <mergeCell ref="A183:M183"/>
    <mergeCell ref="A184:M184"/>
    <mergeCell ref="A185:M185"/>
    <mergeCell ref="A174:M174"/>
    <mergeCell ref="A175:M175"/>
    <mergeCell ref="A176:M176"/>
    <mergeCell ref="A177:M177"/>
    <mergeCell ref="A178:M178"/>
    <mergeCell ref="A179:M179"/>
    <mergeCell ref="A168:M168"/>
    <mergeCell ref="A169:M169"/>
    <mergeCell ref="A170:M170"/>
    <mergeCell ref="A171:M171"/>
    <mergeCell ref="A172:M172"/>
    <mergeCell ref="A173:M173"/>
    <mergeCell ref="A162:M162"/>
    <mergeCell ref="A163:M163"/>
    <mergeCell ref="A164:M164"/>
    <mergeCell ref="A165:M165"/>
    <mergeCell ref="A166:M166"/>
    <mergeCell ref="A167:M167"/>
    <mergeCell ref="A156:M156"/>
    <mergeCell ref="A157:M157"/>
    <mergeCell ref="A158:M158"/>
    <mergeCell ref="A159:M159"/>
    <mergeCell ref="A160:M160"/>
    <mergeCell ref="A161:M161"/>
    <mergeCell ref="A150:M150"/>
    <mergeCell ref="A151:M151"/>
    <mergeCell ref="A152:M152"/>
    <mergeCell ref="A153:M153"/>
    <mergeCell ref="A154:M154"/>
    <mergeCell ref="A155:M155"/>
    <mergeCell ref="A146:M146"/>
    <mergeCell ref="A147:M147"/>
    <mergeCell ref="A148:M148"/>
    <mergeCell ref="A149:M149"/>
    <mergeCell ref="A144:B144"/>
    <mergeCell ref="A145:B145"/>
    <mergeCell ref="A140:B140"/>
    <mergeCell ref="A141:B141"/>
    <mergeCell ref="A139:B139"/>
    <mergeCell ref="A143:B143"/>
    <mergeCell ref="A136:M136"/>
    <mergeCell ref="A132:C132"/>
    <mergeCell ref="A133:C133"/>
    <mergeCell ref="A134:C134"/>
    <mergeCell ref="A137:B137"/>
    <mergeCell ref="A131:C131"/>
    <mergeCell ref="A124:C124"/>
    <mergeCell ref="D121:F121"/>
    <mergeCell ref="D122:F122"/>
    <mergeCell ref="D123:F123"/>
    <mergeCell ref="A114:M114"/>
    <mergeCell ref="A115:M115"/>
    <mergeCell ref="A116:M116"/>
    <mergeCell ref="A117:M117"/>
    <mergeCell ref="A118:M118"/>
    <mergeCell ref="A108:M108"/>
    <mergeCell ref="A109:M109"/>
    <mergeCell ref="A110:M110"/>
    <mergeCell ref="A111:M111"/>
    <mergeCell ref="A112:M112"/>
    <mergeCell ref="A113:M113"/>
    <mergeCell ref="H19:K19"/>
    <mergeCell ref="A5:F28"/>
    <mergeCell ref="A4:F4"/>
    <mergeCell ref="A102:M102"/>
    <mergeCell ref="A103:M103"/>
    <mergeCell ref="A104:M104"/>
    <mergeCell ref="A105:M105"/>
    <mergeCell ref="A106:M106"/>
    <mergeCell ref="A107:M107"/>
    <mergeCell ref="A96:M96"/>
    <mergeCell ref="A97:M97"/>
    <mergeCell ref="A98:M98"/>
    <mergeCell ref="A99:M99"/>
    <mergeCell ref="A100:M100"/>
    <mergeCell ref="A101:M101"/>
    <mergeCell ref="A90:M90"/>
    <mergeCell ref="A91:M91"/>
    <mergeCell ref="A92:M92"/>
    <mergeCell ref="A93:M93"/>
    <mergeCell ref="A94:M94"/>
    <mergeCell ref="A95:M95"/>
    <mergeCell ref="A84:M84"/>
    <mergeCell ref="A85:M85"/>
    <mergeCell ref="A86:M86"/>
    <mergeCell ref="A87:M87"/>
    <mergeCell ref="A88:M88"/>
    <mergeCell ref="A89:M89"/>
    <mergeCell ref="A78:M78"/>
    <mergeCell ref="A79:M79"/>
    <mergeCell ref="A80:M80"/>
    <mergeCell ref="A81:M81"/>
    <mergeCell ref="A82:M82"/>
    <mergeCell ref="A83:M83"/>
    <mergeCell ref="A72:M72"/>
    <mergeCell ref="A73:M73"/>
    <mergeCell ref="A74:M74"/>
    <mergeCell ref="A75:M75"/>
    <mergeCell ref="A76:M76"/>
    <mergeCell ref="A77:M77"/>
    <mergeCell ref="A66:M66"/>
    <mergeCell ref="A67:M67"/>
    <mergeCell ref="A68:M68"/>
    <mergeCell ref="A69:M69"/>
    <mergeCell ref="A70:M70"/>
    <mergeCell ref="A71:M71"/>
    <mergeCell ref="A60:M60"/>
    <mergeCell ref="A61:M61"/>
    <mergeCell ref="A62:M62"/>
    <mergeCell ref="A63:M63"/>
    <mergeCell ref="A64:M64"/>
    <mergeCell ref="A65:M65"/>
    <mergeCell ref="A54:M54"/>
    <mergeCell ref="A55:M55"/>
    <mergeCell ref="A56:M56"/>
    <mergeCell ref="A57:M57"/>
    <mergeCell ref="A58:M58"/>
    <mergeCell ref="A59:M59"/>
    <mergeCell ref="A48:M48"/>
    <mergeCell ref="A49:M49"/>
    <mergeCell ref="A50:M50"/>
    <mergeCell ref="A51:M51"/>
    <mergeCell ref="A52:M52"/>
    <mergeCell ref="A53:M53"/>
    <mergeCell ref="A42:M42"/>
    <mergeCell ref="A43:M43"/>
    <mergeCell ref="A44:M44"/>
    <mergeCell ref="A45:M45"/>
    <mergeCell ref="A46:M46"/>
    <mergeCell ref="A47:M47"/>
    <mergeCell ref="A36:M36"/>
    <mergeCell ref="A37:M37"/>
    <mergeCell ref="A38:M38"/>
    <mergeCell ref="A39:M39"/>
    <mergeCell ref="A40:M40"/>
    <mergeCell ref="A41:M41"/>
    <mergeCell ref="A33:M33"/>
    <mergeCell ref="A34:M34"/>
    <mergeCell ref="A35:M35"/>
    <mergeCell ref="A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B5C5-1CE3-4845-BB25-6AFBD688ADB3}">
  <dimension ref="A1:Y362"/>
  <sheetViews>
    <sheetView topLeftCell="A10" zoomScale="85" zoomScaleNormal="85" workbookViewId="0">
      <selection activeCell="B46" sqref="B46:C46"/>
    </sheetView>
  </sheetViews>
  <sheetFormatPr baseColWidth="10" defaultRowHeight="15" x14ac:dyDescent="0.25"/>
  <cols>
    <col min="1" max="1" width="63.28515625" customWidth="1"/>
    <col min="2" max="2" width="112.42578125" customWidth="1"/>
    <col min="3" max="3" width="70.140625" customWidth="1"/>
    <col min="4" max="4" width="18" customWidth="1"/>
    <col min="5" max="5" width="33.28515625" customWidth="1"/>
    <col min="6" max="6" width="17.42578125" customWidth="1"/>
    <col min="7" max="7" width="25.140625" customWidth="1"/>
    <col min="8" max="8" width="31.7109375" customWidth="1"/>
    <col min="9" max="9" width="30.5703125" customWidth="1"/>
    <col min="10" max="10" width="27.140625" customWidth="1"/>
    <col min="11" max="11" width="19" customWidth="1"/>
    <col min="12" max="12" width="14.85546875" customWidth="1"/>
    <col min="13" max="13" width="48" customWidth="1"/>
    <col min="14" max="14" width="45.140625" customWidth="1"/>
    <col min="15" max="15" width="44.7109375" customWidth="1"/>
    <col min="17" max="17" width="28.140625" customWidth="1"/>
    <col min="18" max="18" width="20.42578125" customWidth="1"/>
  </cols>
  <sheetData>
    <row r="1" spans="1:3" ht="18" thickBot="1" x14ac:dyDescent="0.35">
      <c r="A1" s="354" t="s">
        <v>0</v>
      </c>
      <c r="B1" s="354"/>
      <c r="C1" s="354"/>
    </row>
    <row r="2" spans="1:3" ht="15.75" thickTop="1" x14ac:dyDescent="0.25">
      <c r="A2" s="7" t="s">
        <v>8</v>
      </c>
      <c r="C2" s="1"/>
    </row>
    <row r="3" spans="1:3" x14ac:dyDescent="0.25">
      <c r="A3" s="10" t="s">
        <v>9</v>
      </c>
      <c r="B3" s="10"/>
      <c r="C3" s="10"/>
    </row>
    <row r="4" spans="1:3" x14ac:dyDescent="0.25">
      <c r="A4" s="539" t="s">
        <v>502</v>
      </c>
      <c r="B4" s="356" t="s">
        <v>1</v>
      </c>
      <c r="C4" s="356"/>
    </row>
    <row r="5" spans="1:3" x14ac:dyDescent="0.25">
      <c r="A5" s="248" t="s">
        <v>501</v>
      </c>
      <c r="B5" s="355" t="s">
        <v>2</v>
      </c>
      <c r="C5" s="355"/>
    </row>
    <row r="6" spans="1:3" x14ac:dyDescent="0.25">
      <c r="A6" s="3"/>
      <c r="B6" s="8" t="s">
        <v>3</v>
      </c>
      <c r="C6" s="6" t="s">
        <v>4</v>
      </c>
    </row>
    <row r="7" spans="1:3" x14ac:dyDescent="0.25">
      <c r="A7" s="5" t="s">
        <v>7</v>
      </c>
      <c r="B7" s="3" t="s">
        <v>545</v>
      </c>
      <c r="C7" s="4" t="s">
        <v>5</v>
      </c>
    </row>
    <row r="8" spans="1:3" x14ac:dyDescent="0.25">
      <c r="A8" s="5" t="s">
        <v>6</v>
      </c>
      <c r="B8" s="3" t="s">
        <v>546</v>
      </c>
      <c r="C8" s="4" t="s">
        <v>419</v>
      </c>
    </row>
    <row r="26" spans="1:4" x14ac:dyDescent="0.25">
      <c r="A26" s="338" t="s">
        <v>543</v>
      </c>
      <c r="B26" s="338"/>
      <c r="C26" s="338"/>
      <c r="D26" s="338"/>
    </row>
    <row r="27" spans="1:4" x14ac:dyDescent="0.25">
      <c r="A27" s="338" t="s">
        <v>10</v>
      </c>
      <c r="B27" s="338"/>
      <c r="C27" s="338"/>
      <c r="D27" s="338"/>
    </row>
    <row r="29" spans="1:4" x14ac:dyDescent="0.25">
      <c r="A29" s="369"/>
      <c r="B29" s="369"/>
      <c r="C29" s="369"/>
      <c r="D29" s="369"/>
    </row>
    <row r="30" spans="1:4" x14ac:dyDescent="0.25">
      <c r="A30" s="338" t="s">
        <v>18</v>
      </c>
      <c r="B30" s="338"/>
      <c r="C30" s="338"/>
      <c r="D30" s="338"/>
    </row>
    <row r="31" spans="1:4" x14ac:dyDescent="0.25">
      <c r="A31" s="338" t="s">
        <v>11</v>
      </c>
      <c r="B31" s="338"/>
      <c r="C31" s="338"/>
      <c r="D31" s="338"/>
    </row>
    <row r="32" spans="1:4" x14ac:dyDescent="0.25">
      <c r="A32" s="9"/>
      <c r="B32" s="338" t="s">
        <v>19</v>
      </c>
      <c r="C32" s="338"/>
      <c r="D32" s="338"/>
    </row>
    <row r="33" spans="1:25" x14ac:dyDescent="0.25">
      <c r="A33" s="9"/>
      <c r="B33" s="338" t="s">
        <v>12</v>
      </c>
      <c r="C33" s="338"/>
      <c r="D33" s="338"/>
    </row>
    <row r="35" spans="1:25" x14ac:dyDescent="0.25">
      <c r="A35" s="339" t="s">
        <v>154</v>
      </c>
      <c r="B35" s="339"/>
      <c r="C35" s="339"/>
      <c r="D35" s="339"/>
    </row>
    <row r="36" spans="1:25" x14ac:dyDescent="0.25">
      <c r="A36" s="339" t="s">
        <v>165</v>
      </c>
      <c r="B36" s="339"/>
      <c r="C36" s="339"/>
      <c r="D36" s="339"/>
    </row>
    <row r="37" spans="1:25" s="13" customFormat="1" x14ac:dyDescent="0.25">
      <c r="A37" s="340" t="s">
        <v>164</v>
      </c>
      <c r="B37" s="340"/>
      <c r="C37" s="340"/>
      <c r="D37" s="340"/>
    </row>
    <row r="38" spans="1:25" s="13" customFormat="1" x14ac:dyDescent="0.25">
      <c r="A38" s="128"/>
      <c r="B38" s="128"/>
      <c r="C38" s="134" t="s">
        <v>155</v>
      </c>
      <c r="D38" s="134"/>
    </row>
    <row r="39" spans="1:25" s="13" customFormat="1" x14ac:dyDescent="0.25">
      <c r="A39" s="128"/>
      <c r="B39" s="128"/>
      <c r="C39" s="134" t="s">
        <v>156</v>
      </c>
      <c r="D39" s="136"/>
    </row>
    <row r="41" spans="1:25" x14ac:dyDescent="0.25">
      <c r="A41" s="338" t="s">
        <v>13</v>
      </c>
      <c r="B41" s="338"/>
      <c r="C41" s="338"/>
    </row>
    <row r="43" spans="1:25" ht="15.75" thickBot="1" x14ac:dyDescent="0.3"/>
    <row r="44" spans="1:25" ht="15.75" thickBot="1" x14ac:dyDescent="0.3">
      <c r="A44" s="160" t="s">
        <v>14</v>
      </c>
      <c r="B44" s="246" t="s">
        <v>544</v>
      </c>
      <c r="C44" s="129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255"/>
    </row>
    <row r="45" spans="1:25" ht="15.75" thickBot="1" x14ac:dyDescent="0.3">
      <c r="A45" s="131"/>
      <c r="B45" s="343"/>
      <c r="C45" s="344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53"/>
    </row>
    <row r="46" spans="1:25" x14ac:dyDescent="0.25">
      <c r="A46" s="161" t="s">
        <v>15</v>
      </c>
      <c r="B46" s="341" t="s">
        <v>547</v>
      </c>
      <c r="C46" s="324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53"/>
    </row>
    <row r="47" spans="1:25" x14ac:dyDescent="0.25">
      <c r="A47" s="131"/>
      <c r="B47" s="249" t="s">
        <v>500</v>
      </c>
      <c r="C47" s="250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53"/>
    </row>
    <row r="48" spans="1:25" ht="15.75" thickBot="1" x14ac:dyDescent="0.3">
      <c r="A48" s="132"/>
      <c r="B48" s="363" t="s">
        <v>548</v>
      </c>
      <c r="C48" s="364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53"/>
    </row>
    <row r="49" spans="1:25" ht="15.75" thickBot="1" x14ac:dyDescent="0.3">
      <c r="A49" s="162"/>
      <c r="B49" s="352"/>
      <c r="C49" s="353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53"/>
    </row>
    <row r="50" spans="1:25" x14ac:dyDescent="0.25">
      <c r="A50" s="163" t="s">
        <v>16</v>
      </c>
      <c r="B50" s="365" t="s">
        <v>549</v>
      </c>
      <c r="C50" s="366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53"/>
    </row>
    <row r="51" spans="1:25" x14ac:dyDescent="0.25">
      <c r="A51" s="162"/>
      <c r="B51" s="367" t="s">
        <v>550</v>
      </c>
      <c r="C51" s="368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53"/>
    </row>
    <row r="52" spans="1:25" x14ac:dyDescent="0.25">
      <c r="A52" s="162"/>
      <c r="B52" s="367" t="s">
        <v>519</v>
      </c>
      <c r="C52" s="368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53"/>
    </row>
    <row r="53" spans="1:25" x14ac:dyDescent="0.25">
      <c r="A53" s="162"/>
      <c r="B53" s="345"/>
      <c r="C53" s="346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1"/>
      <c r="Y53" s="253"/>
    </row>
    <row r="54" spans="1:25" x14ac:dyDescent="0.25">
      <c r="A54" s="162"/>
      <c r="B54" s="252" t="s">
        <v>499</v>
      </c>
      <c r="C54" s="133" t="s">
        <v>158</v>
      </c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53"/>
    </row>
    <row r="55" spans="1:25" x14ac:dyDescent="0.25">
      <c r="A55" s="162"/>
      <c r="B55" s="252" t="s">
        <v>520</v>
      </c>
      <c r="C55" s="133" t="s">
        <v>159</v>
      </c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53"/>
    </row>
    <row r="56" spans="1:25" x14ac:dyDescent="0.25">
      <c r="A56" s="162"/>
      <c r="B56" s="252" t="s">
        <v>551</v>
      </c>
      <c r="C56" s="133" t="s">
        <v>157</v>
      </c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53"/>
    </row>
    <row r="57" spans="1:25" x14ac:dyDescent="0.25">
      <c r="A57" s="162"/>
      <c r="B57" s="252" t="s">
        <v>193</v>
      </c>
      <c r="C57" s="133" t="s">
        <v>160</v>
      </c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241"/>
      <c r="U57" s="241"/>
      <c r="V57" s="241"/>
      <c r="W57" s="241"/>
      <c r="X57" s="241"/>
      <c r="Y57" s="253"/>
    </row>
    <row r="58" spans="1:25" x14ac:dyDescent="0.25">
      <c r="A58" s="162"/>
      <c r="B58" s="252"/>
      <c r="C58" s="253"/>
      <c r="D58" s="241"/>
      <c r="E58" s="241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53"/>
    </row>
    <row r="59" spans="1:25" x14ac:dyDescent="0.25">
      <c r="A59" s="162"/>
      <c r="B59" s="252"/>
      <c r="C59" s="253"/>
      <c r="D59" s="241"/>
      <c r="E59" s="241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53"/>
    </row>
    <row r="60" spans="1:25" x14ac:dyDescent="0.25">
      <c r="A60" s="162"/>
      <c r="B60" s="252"/>
      <c r="C60" s="253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241"/>
      <c r="Y60" s="253"/>
    </row>
    <row r="61" spans="1:25" x14ac:dyDescent="0.25">
      <c r="A61" s="162"/>
      <c r="B61" s="252"/>
      <c r="C61" s="253"/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53"/>
    </row>
    <row r="62" spans="1:25" x14ac:dyDescent="0.25">
      <c r="A62" s="162"/>
      <c r="B62" s="252"/>
      <c r="C62" s="253"/>
      <c r="D62" s="241"/>
      <c r="E62" s="241"/>
      <c r="F62" s="241"/>
      <c r="G62" s="241"/>
      <c r="H62" s="241"/>
      <c r="I62" s="241"/>
      <c r="J62" s="241"/>
      <c r="K62" s="241"/>
      <c r="L62" s="241"/>
      <c r="M62" s="241"/>
      <c r="N62" s="241"/>
      <c r="O62" s="241"/>
      <c r="P62" s="241"/>
      <c r="Q62" s="241"/>
      <c r="R62" s="241"/>
      <c r="S62" s="241"/>
      <c r="T62" s="241"/>
      <c r="U62" s="241"/>
      <c r="V62" s="241"/>
      <c r="W62" s="241"/>
      <c r="X62" s="241"/>
      <c r="Y62" s="253"/>
    </row>
    <row r="63" spans="1:25" x14ac:dyDescent="0.25">
      <c r="A63" s="162"/>
      <c r="B63" s="252"/>
      <c r="C63" s="253"/>
      <c r="D63" s="241"/>
      <c r="E63" s="241"/>
      <c r="F63" s="241"/>
      <c r="G63" s="241"/>
      <c r="H63" s="241"/>
      <c r="I63" s="241"/>
      <c r="J63" s="241"/>
      <c r="K63" s="241"/>
      <c r="L63" s="241"/>
      <c r="M63" s="241"/>
      <c r="N63" s="241"/>
      <c r="O63" s="241"/>
      <c r="P63" s="241"/>
      <c r="Q63" s="241"/>
      <c r="R63" s="241"/>
      <c r="S63" s="241"/>
      <c r="T63" s="241"/>
      <c r="U63" s="241"/>
      <c r="V63" s="241"/>
      <c r="W63" s="241"/>
      <c r="X63" s="241"/>
      <c r="Y63" s="253"/>
    </row>
    <row r="64" spans="1:25" x14ac:dyDescent="0.25">
      <c r="A64" s="162"/>
      <c r="B64" s="252"/>
      <c r="C64" s="253"/>
      <c r="D64" s="241"/>
      <c r="E64" s="241"/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53"/>
    </row>
    <row r="65" spans="1:25" x14ac:dyDescent="0.25">
      <c r="A65" s="162"/>
      <c r="B65" s="252"/>
      <c r="C65" s="253"/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  <c r="U65" s="241"/>
      <c r="V65" s="241"/>
      <c r="W65" s="241"/>
      <c r="X65" s="241"/>
      <c r="Y65" s="253"/>
    </row>
    <row r="66" spans="1:25" x14ac:dyDescent="0.25">
      <c r="A66" s="162"/>
      <c r="B66" s="252"/>
      <c r="C66" s="253"/>
      <c r="D66" s="241"/>
      <c r="E66" s="241"/>
      <c r="F66" s="241"/>
      <c r="G66" s="241"/>
      <c r="H66" s="241"/>
      <c r="I66" s="241"/>
      <c r="J66" s="241"/>
      <c r="K66" s="241"/>
      <c r="L66" s="241"/>
      <c r="M66" s="241"/>
      <c r="N66" s="241"/>
      <c r="O66" s="241"/>
      <c r="P66" s="241"/>
      <c r="Q66" s="241"/>
      <c r="R66" s="241"/>
      <c r="S66" s="241"/>
      <c r="T66" s="241"/>
      <c r="U66" s="241"/>
      <c r="V66" s="241"/>
      <c r="W66" s="241"/>
      <c r="X66" s="241"/>
      <c r="Y66" s="253"/>
    </row>
    <row r="67" spans="1:25" x14ac:dyDescent="0.25">
      <c r="A67" s="162"/>
      <c r="B67" s="252"/>
      <c r="C67" s="253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53"/>
    </row>
    <row r="68" spans="1:25" x14ac:dyDescent="0.25">
      <c r="A68" s="162"/>
      <c r="B68" s="252"/>
      <c r="C68" s="253"/>
      <c r="D68" s="241"/>
      <c r="E68" s="241"/>
      <c r="F68" s="241"/>
      <c r="G68" s="241"/>
      <c r="H68" s="241"/>
      <c r="I68" s="241"/>
      <c r="J68" s="241"/>
      <c r="K68" s="553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53"/>
    </row>
    <row r="69" spans="1:25" x14ac:dyDescent="0.25">
      <c r="A69" s="162"/>
      <c r="B69" s="252"/>
      <c r="C69" s="253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53"/>
    </row>
    <row r="70" spans="1:25" x14ac:dyDescent="0.25">
      <c r="A70" s="162"/>
      <c r="B70" s="252"/>
      <c r="C70" s="253"/>
      <c r="D70" s="241"/>
      <c r="E70" s="241"/>
      <c r="F70" s="241"/>
      <c r="G70" s="241"/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53"/>
    </row>
    <row r="71" spans="1:25" x14ac:dyDescent="0.25">
      <c r="A71" s="162"/>
      <c r="B71" s="252"/>
      <c r="C71" s="253"/>
      <c r="D71" s="241"/>
      <c r="E71" s="241"/>
      <c r="F71" s="241"/>
      <c r="G71" s="241"/>
      <c r="H71" s="241"/>
      <c r="I71" s="241"/>
      <c r="J71" s="241"/>
      <c r="K71" s="241"/>
      <c r="L71" s="241"/>
      <c r="M71" s="241"/>
      <c r="N71" s="241"/>
      <c r="O71" s="241"/>
      <c r="P71" s="241"/>
      <c r="Q71" s="241"/>
      <c r="R71" s="241"/>
      <c r="S71" s="241"/>
      <c r="T71" s="241"/>
      <c r="U71" s="241"/>
      <c r="V71" s="241"/>
      <c r="W71" s="241"/>
      <c r="X71" s="241"/>
      <c r="Y71" s="253"/>
    </row>
    <row r="72" spans="1:25" x14ac:dyDescent="0.25">
      <c r="A72" s="162"/>
      <c r="B72" s="252"/>
      <c r="C72" s="253"/>
      <c r="D72" s="241"/>
      <c r="E72" s="241"/>
      <c r="F72" s="241"/>
      <c r="G72" s="241"/>
      <c r="H72" s="241"/>
      <c r="I72" s="241"/>
      <c r="J72" s="241"/>
      <c r="K72" s="241"/>
      <c r="L72" s="241"/>
      <c r="M72" s="241"/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53"/>
    </row>
    <row r="73" spans="1:25" x14ac:dyDescent="0.25">
      <c r="A73" s="162"/>
      <c r="B73" s="252"/>
      <c r="C73" s="253"/>
      <c r="D73" s="241"/>
      <c r="E73" s="241"/>
      <c r="F73" s="241"/>
      <c r="G73" s="241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53"/>
    </row>
    <row r="74" spans="1:25" x14ac:dyDescent="0.25">
      <c r="A74" s="162"/>
      <c r="B74" s="347" t="s">
        <v>542</v>
      </c>
      <c r="C74" s="348"/>
      <c r="D74" s="241"/>
      <c r="E74" s="241"/>
      <c r="F74" s="241"/>
      <c r="G74" s="241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53"/>
    </row>
    <row r="75" spans="1:25" x14ac:dyDescent="0.25">
      <c r="A75" s="162"/>
      <c r="B75" s="347" t="s">
        <v>498</v>
      </c>
      <c r="C75" s="348"/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53"/>
    </row>
    <row r="76" spans="1:25" ht="15.75" thickBot="1" x14ac:dyDescent="0.3">
      <c r="A76" s="164"/>
      <c r="B76" s="349" t="s">
        <v>521</v>
      </c>
      <c r="C76" s="350"/>
      <c r="D76" s="241"/>
      <c r="E76" s="241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53"/>
    </row>
    <row r="77" spans="1:25" ht="15.75" thickBot="1" x14ac:dyDescent="0.3">
      <c r="A77" s="131"/>
      <c r="B77" s="351"/>
      <c r="C77" s="545"/>
      <c r="D77" s="241"/>
      <c r="E77" s="241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53"/>
    </row>
    <row r="78" spans="1:25" ht="15.75" thickBot="1" x14ac:dyDescent="0.3">
      <c r="A78" s="161" t="s">
        <v>17</v>
      </c>
      <c r="B78" s="358" t="s">
        <v>188</v>
      </c>
      <c r="C78" s="359"/>
      <c r="D78" s="359"/>
      <c r="E78" s="360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241"/>
      <c r="W78" s="65"/>
      <c r="X78" s="65"/>
      <c r="Y78" s="255"/>
    </row>
    <row r="79" spans="1:25" ht="15.75" thickBot="1" x14ac:dyDescent="0.3">
      <c r="A79" s="131"/>
      <c r="B79" s="361" t="s">
        <v>552</v>
      </c>
      <c r="C79" s="331"/>
      <c r="D79" s="331"/>
      <c r="E79" s="362"/>
      <c r="F79" s="241"/>
      <c r="G79" s="241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53"/>
    </row>
    <row r="80" spans="1:25" x14ac:dyDescent="0.25">
      <c r="A80" s="131"/>
      <c r="B80" s="138"/>
      <c r="C80" s="139" t="s">
        <v>166</v>
      </c>
      <c r="D80" s="139" t="s">
        <v>167</v>
      </c>
      <c r="E80" s="140" t="s">
        <v>162</v>
      </c>
      <c r="F80" s="241"/>
      <c r="G80" s="241"/>
      <c r="H80" s="241"/>
      <c r="I80" s="241"/>
      <c r="J80" s="241"/>
      <c r="K80" s="241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241"/>
      <c r="W80" s="241"/>
      <c r="X80" s="241"/>
      <c r="Y80" s="253"/>
    </row>
    <row r="81" spans="1:25" x14ac:dyDescent="0.25">
      <c r="A81" s="131"/>
      <c r="B81" s="141"/>
      <c r="C81" s="184"/>
      <c r="D81" s="184"/>
      <c r="E81" s="142"/>
      <c r="F81" s="241"/>
      <c r="G81" s="241"/>
      <c r="H81" s="241"/>
      <c r="I81" s="241"/>
      <c r="J81" s="241"/>
      <c r="K81" s="241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241"/>
      <c r="Y81" s="253"/>
    </row>
    <row r="82" spans="1:25" x14ac:dyDescent="0.25">
      <c r="A82" s="131"/>
      <c r="B82" s="143" t="s">
        <v>168</v>
      </c>
      <c r="C82" s="143" t="s">
        <v>169</v>
      </c>
      <c r="D82" s="143" t="s">
        <v>170</v>
      </c>
      <c r="E82" s="77"/>
      <c r="F82" s="241"/>
      <c r="G82" s="241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53"/>
    </row>
    <row r="83" spans="1:25" x14ac:dyDescent="0.25">
      <c r="A83" s="131"/>
      <c r="B83" s="17" t="s">
        <v>171</v>
      </c>
      <c r="C83" s="17">
        <v>2</v>
      </c>
      <c r="D83" s="17">
        <v>1</v>
      </c>
      <c r="E83" s="144" t="s">
        <v>522</v>
      </c>
      <c r="F83" s="241"/>
      <c r="G83" s="241"/>
      <c r="H83" s="241"/>
      <c r="I83" s="241"/>
      <c r="J83" s="241"/>
      <c r="K83" s="241"/>
      <c r="L83" s="241"/>
      <c r="M83" s="241"/>
      <c r="N83" s="241"/>
      <c r="O83" s="241"/>
      <c r="P83" s="241"/>
      <c r="Q83" s="241"/>
      <c r="R83" s="241"/>
      <c r="S83" s="241"/>
      <c r="T83" s="241"/>
      <c r="U83" s="241"/>
      <c r="V83" s="241"/>
      <c r="W83" s="241"/>
      <c r="X83" s="241"/>
      <c r="Y83" s="253"/>
    </row>
    <row r="84" spans="1:25" x14ac:dyDescent="0.25">
      <c r="A84" s="131"/>
      <c r="B84" s="17" t="s">
        <v>172</v>
      </c>
      <c r="C84" s="17">
        <v>2</v>
      </c>
      <c r="D84" s="17">
        <v>3</v>
      </c>
      <c r="E84" s="144" t="s">
        <v>536</v>
      </c>
      <c r="F84" s="241"/>
      <c r="G84" s="241"/>
      <c r="H84" s="241"/>
      <c r="I84" s="241"/>
      <c r="J84" s="241"/>
      <c r="K84" s="241"/>
      <c r="L84" s="241"/>
      <c r="M84" s="241"/>
      <c r="N84" s="241"/>
      <c r="O84" s="241"/>
      <c r="P84" s="241"/>
      <c r="Q84" s="241"/>
      <c r="R84" s="241"/>
      <c r="S84" s="241"/>
      <c r="T84" s="241"/>
      <c r="U84" s="241"/>
      <c r="V84" s="241"/>
      <c r="W84" s="241"/>
      <c r="X84" s="241"/>
      <c r="Y84" s="253"/>
    </row>
    <row r="85" spans="1:25" x14ac:dyDescent="0.25">
      <c r="A85" s="131"/>
      <c r="B85" s="17" t="s">
        <v>173</v>
      </c>
      <c r="C85" s="17">
        <v>4</v>
      </c>
      <c r="D85" s="17">
        <v>5</v>
      </c>
      <c r="E85" s="144" t="s">
        <v>523</v>
      </c>
      <c r="F85" s="241"/>
      <c r="G85" s="241"/>
      <c r="H85" s="241"/>
      <c r="I85" s="241"/>
      <c r="J85" s="241"/>
      <c r="K85" s="241"/>
      <c r="L85" s="241"/>
      <c r="M85" s="241"/>
      <c r="N85" s="241"/>
      <c r="O85" s="241"/>
      <c r="P85" s="241"/>
      <c r="Q85" s="241"/>
      <c r="R85" s="241"/>
      <c r="S85" s="241"/>
      <c r="T85" s="241"/>
      <c r="U85" s="241"/>
      <c r="V85" s="241"/>
      <c r="W85" s="241"/>
      <c r="X85" s="241"/>
      <c r="Y85" s="253"/>
    </row>
    <row r="86" spans="1:25" x14ac:dyDescent="0.25">
      <c r="A86" s="131"/>
      <c r="B86" s="17" t="s">
        <v>174</v>
      </c>
      <c r="C86" s="17">
        <v>6</v>
      </c>
      <c r="D86" s="17">
        <v>5</v>
      </c>
      <c r="E86" s="144" t="s">
        <v>524</v>
      </c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53"/>
    </row>
    <row r="87" spans="1:25" x14ac:dyDescent="0.25">
      <c r="A87" s="131"/>
      <c r="B87" s="17" t="s">
        <v>175</v>
      </c>
      <c r="C87" s="17">
        <v>2</v>
      </c>
      <c r="D87" s="17">
        <v>1</v>
      </c>
      <c r="E87" s="144" t="s">
        <v>525</v>
      </c>
      <c r="F87" s="241"/>
      <c r="G87" s="241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  <c r="X87" s="241"/>
      <c r="Y87" s="253"/>
    </row>
    <row r="88" spans="1:25" x14ac:dyDescent="0.25">
      <c r="A88" s="131"/>
      <c r="B88" s="17" t="s">
        <v>176</v>
      </c>
      <c r="C88" s="17">
        <v>2</v>
      </c>
      <c r="D88" s="17">
        <v>3</v>
      </c>
      <c r="E88" s="144" t="s">
        <v>526</v>
      </c>
      <c r="F88" s="241"/>
      <c r="G88" s="241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53"/>
    </row>
    <row r="89" spans="1:25" x14ac:dyDescent="0.25">
      <c r="A89" s="131"/>
      <c r="B89" s="17" t="s">
        <v>177</v>
      </c>
      <c r="C89" s="17">
        <v>4</v>
      </c>
      <c r="D89" s="17">
        <v>5</v>
      </c>
      <c r="E89" s="144" t="s">
        <v>527</v>
      </c>
      <c r="F89" s="241"/>
      <c r="G89" s="241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241"/>
      <c r="S89" s="241"/>
      <c r="T89" s="241"/>
      <c r="U89" s="241"/>
      <c r="V89" s="241"/>
      <c r="W89" s="241"/>
      <c r="X89" s="241"/>
      <c r="Y89" s="253"/>
    </row>
    <row r="90" spans="1:25" x14ac:dyDescent="0.25">
      <c r="A90" s="131"/>
      <c r="B90" s="17" t="s">
        <v>178</v>
      </c>
      <c r="C90" s="17">
        <v>6</v>
      </c>
      <c r="D90" s="17">
        <v>5</v>
      </c>
      <c r="E90" s="144" t="s">
        <v>528</v>
      </c>
      <c r="F90" s="241"/>
      <c r="G90" s="241"/>
      <c r="H90" s="241"/>
      <c r="I90" s="241"/>
      <c r="J90" s="241"/>
      <c r="K90" s="241"/>
      <c r="L90" s="241"/>
      <c r="M90" s="241"/>
      <c r="N90" s="241"/>
      <c r="O90" s="241"/>
      <c r="P90" s="241"/>
      <c r="Q90" s="241"/>
      <c r="R90" s="241"/>
      <c r="S90" s="241"/>
      <c r="T90" s="241"/>
      <c r="U90" s="241"/>
      <c r="V90" s="241"/>
      <c r="W90" s="241"/>
      <c r="X90" s="241"/>
      <c r="Y90" s="253"/>
    </row>
    <row r="91" spans="1:25" x14ac:dyDescent="0.25">
      <c r="A91" s="131"/>
      <c r="B91" s="17" t="s">
        <v>179</v>
      </c>
      <c r="C91" s="17">
        <v>5</v>
      </c>
      <c r="D91" s="17">
        <v>6</v>
      </c>
      <c r="E91" s="144" t="s">
        <v>529</v>
      </c>
      <c r="F91" s="241"/>
      <c r="G91" s="241"/>
      <c r="H91" s="241"/>
      <c r="I91" s="241"/>
      <c r="J91" s="241"/>
      <c r="K91" s="241"/>
      <c r="L91" s="241"/>
      <c r="M91" s="241"/>
      <c r="N91" s="241"/>
      <c r="O91" s="241"/>
      <c r="P91" s="241"/>
      <c r="Q91" s="241"/>
      <c r="R91" s="241"/>
      <c r="S91" s="241"/>
      <c r="T91" s="241"/>
      <c r="U91" s="241"/>
      <c r="V91" s="241"/>
      <c r="W91" s="241"/>
      <c r="X91" s="241"/>
      <c r="Y91" s="253"/>
    </row>
    <row r="92" spans="1:25" x14ac:dyDescent="0.25">
      <c r="A92" s="131"/>
      <c r="B92" s="17" t="s">
        <v>180</v>
      </c>
      <c r="C92" s="17">
        <v>4</v>
      </c>
      <c r="D92" s="17">
        <v>7</v>
      </c>
      <c r="E92" s="144" t="s">
        <v>530</v>
      </c>
      <c r="F92" s="241"/>
      <c r="G92" s="241"/>
      <c r="H92" s="241"/>
      <c r="I92" s="241"/>
      <c r="J92" s="241"/>
      <c r="K92" s="241"/>
      <c r="L92" s="241"/>
      <c r="M92" s="241"/>
      <c r="N92" s="241"/>
      <c r="O92" s="241"/>
      <c r="P92" s="241"/>
      <c r="Q92" s="241"/>
      <c r="R92" s="241"/>
      <c r="S92" s="241"/>
      <c r="T92" s="241"/>
      <c r="U92" s="241"/>
      <c r="V92" s="241"/>
      <c r="W92" s="241"/>
      <c r="X92" s="241"/>
      <c r="Y92" s="253"/>
    </row>
    <row r="93" spans="1:25" x14ac:dyDescent="0.25">
      <c r="A93" s="131"/>
      <c r="B93" s="17" t="s">
        <v>181</v>
      </c>
      <c r="C93" s="17">
        <v>3</v>
      </c>
      <c r="D93" s="17">
        <v>5</v>
      </c>
      <c r="E93" s="144" t="s">
        <v>531</v>
      </c>
      <c r="F93" s="241"/>
      <c r="G93" s="241"/>
      <c r="H93" s="241"/>
      <c r="I93" s="241"/>
      <c r="J93" s="241"/>
      <c r="K93" s="241"/>
      <c r="L93" s="241"/>
      <c r="M93" s="241"/>
      <c r="N93" s="241"/>
      <c r="O93" s="241"/>
      <c r="P93" s="241"/>
      <c r="Q93" s="241"/>
      <c r="R93" s="241"/>
      <c r="S93" s="241"/>
      <c r="T93" s="241"/>
      <c r="U93" s="241"/>
      <c r="V93" s="241"/>
      <c r="W93" s="241"/>
      <c r="X93" s="241"/>
      <c r="Y93" s="253"/>
    </row>
    <row r="94" spans="1:25" x14ac:dyDescent="0.25">
      <c r="A94" s="131"/>
      <c r="B94" s="17" t="s">
        <v>182</v>
      </c>
      <c r="C94" s="17">
        <v>6</v>
      </c>
      <c r="D94" s="17">
        <v>3</v>
      </c>
      <c r="E94" s="144" t="s">
        <v>532</v>
      </c>
      <c r="F94" s="241"/>
      <c r="G94" s="241"/>
      <c r="H94" s="241"/>
      <c r="I94" s="241"/>
      <c r="J94" s="241"/>
      <c r="K94" s="241"/>
      <c r="L94" s="241"/>
      <c r="M94" s="241"/>
      <c r="N94" s="241"/>
      <c r="O94" s="241"/>
      <c r="P94" s="241"/>
      <c r="Q94" s="241"/>
      <c r="R94" s="241"/>
      <c r="S94" s="241"/>
      <c r="T94" s="241"/>
      <c r="U94" s="241"/>
      <c r="V94" s="241"/>
      <c r="W94" s="241"/>
      <c r="X94" s="241"/>
      <c r="Y94" s="253"/>
    </row>
    <row r="95" spans="1:25" x14ac:dyDescent="0.25">
      <c r="A95" s="131"/>
      <c r="B95" s="17" t="s">
        <v>183</v>
      </c>
      <c r="C95" s="17">
        <v>4</v>
      </c>
      <c r="D95" s="17">
        <v>2</v>
      </c>
      <c r="E95" s="144" t="s">
        <v>533</v>
      </c>
      <c r="F95" s="241"/>
      <c r="G95" s="241"/>
      <c r="H95" s="241"/>
      <c r="I95" s="241"/>
      <c r="J95" s="241"/>
      <c r="K95" s="241"/>
      <c r="L95" s="241"/>
      <c r="M95" s="241"/>
      <c r="N95" s="241"/>
      <c r="O95" s="241"/>
      <c r="P95" s="241"/>
      <c r="Q95" s="241"/>
      <c r="R95" s="241"/>
      <c r="S95" s="241"/>
      <c r="T95" s="241"/>
      <c r="U95" s="241"/>
      <c r="V95" s="241"/>
      <c r="W95" s="241"/>
      <c r="X95" s="241"/>
      <c r="Y95" s="253"/>
    </row>
    <row r="96" spans="1:25" x14ac:dyDescent="0.25">
      <c r="A96" s="131"/>
      <c r="B96" s="17" t="s">
        <v>184</v>
      </c>
      <c r="C96" s="17">
        <v>4</v>
      </c>
      <c r="D96" s="17">
        <v>3</v>
      </c>
      <c r="E96" s="144" t="s">
        <v>534</v>
      </c>
      <c r="F96" s="241"/>
      <c r="G96" s="241"/>
      <c r="H96" s="241"/>
      <c r="I96" s="241"/>
      <c r="J96" s="241"/>
      <c r="K96" s="241"/>
      <c r="L96" s="241"/>
      <c r="M96" s="241"/>
      <c r="N96" s="241"/>
      <c r="O96" s="241"/>
      <c r="P96" s="241"/>
      <c r="Q96" s="241"/>
      <c r="R96" s="241"/>
      <c r="S96" s="241"/>
      <c r="T96" s="241"/>
      <c r="U96" s="241"/>
      <c r="V96" s="241"/>
      <c r="W96" s="241"/>
      <c r="X96" s="241"/>
      <c r="Y96" s="253"/>
    </row>
    <row r="97" spans="1:25" x14ac:dyDescent="0.25">
      <c r="A97" s="131"/>
      <c r="B97" s="17" t="s">
        <v>185</v>
      </c>
      <c r="C97" s="17">
        <v>2</v>
      </c>
      <c r="D97" s="17">
        <v>3</v>
      </c>
      <c r="E97" s="144" t="s">
        <v>535</v>
      </c>
      <c r="F97" s="241"/>
      <c r="G97" s="241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53"/>
    </row>
    <row r="98" spans="1:25" x14ac:dyDescent="0.25">
      <c r="A98" s="131"/>
      <c r="B98" s="241"/>
      <c r="C98" s="241"/>
      <c r="D98" s="241"/>
      <c r="E98" s="241"/>
      <c r="F98" s="241"/>
      <c r="G98" s="241"/>
      <c r="H98" s="241"/>
      <c r="I98" s="241"/>
      <c r="J98" s="241"/>
      <c r="K98" s="241"/>
      <c r="L98" s="241"/>
      <c r="M98" s="241"/>
      <c r="N98" s="241"/>
      <c r="O98" s="241"/>
      <c r="P98" s="241"/>
      <c r="Q98" s="241"/>
      <c r="R98" s="241"/>
      <c r="S98" s="241"/>
      <c r="T98" s="241"/>
      <c r="U98" s="241"/>
      <c r="V98" s="241"/>
      <c r="W98" s="241"/>
      <c r="X98" s="241"/>
      <c r="Y98" s="253"/>
    </row>
    <row r="99" spans="1:25" x14ac:dyDescent="0.25">
      <c r="A99" s="131"/>
      <c r="B99" s="326" t="s">
        <v>553</v>
      </c>
      <c r="C99" s="326"/>
      <c r="D99" s="326"/>
      <c r="E99" s="326"/>
      <c r="F99" s="326"/>
      <c r="G99" s="326"/>
      <c r="H99" s="241"/>
      <c r="I99" s="241"/>
      <c r="J99" s="241"/>
      <c r="K99" s="241"/>
      <c r="L99" s="241"/>
      <c r="M99" s="241"/>
      <c r="N99" s="241"/>
      <c r="O99" s="241"/>
      <c r="P99" s="241"/>
      <c r="Q99" s="241"/>
      <c r="R99" s="241"/>
      <c r="S99" s="241"/>
      <c r="T99" s="241"/>
      <c r="U99" s="241"/>
      <c r="V99" s="241"/>
      <c r="W99" s="241"/>
      <c r="X99" s="241"/>
      <c r="Y99" s="253"/>
    </row>
    <row r="100" spans="1:25" x14ac:dyDescent="0.25">
      <c r="A100" s="131"/>
      <c r="B100" s="326"/>
      <c r="C100" s="326"/>
      <c r="D100" s="326"/>
      <c r="E100" s="326"/>
      <c r="F100" s="326"/>
      <c r="G100" s="326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53"/>
    </row>
    <row r="101" spans="1:25" x14ac:dyDescent="0.25">
      <c r="A101" s="131"/>
      <c r="B101" s="357" t="s">
        <v>186</v>
      </c>
      <c r="C101" s="357"/>
      <c r="D101" s="357"/>
      <c r="E101" s="357"/>
      <c r="F101" s="357"/>
      <c r="G101" s="357"/>
      <c r="H101" s="241"/>
      <c r="I101" s="241"/>
      <c r="J101" s="241"/>
      <c r="K101" s="241"/>
      <c r="L101" s="241"/>
      <c r="M101" s="241"/>
      <c r="N101" s="241"/>
      <c r="O101" s="241"/>
      <c r="P101" s="241"/>
      <c r="Q101" s="241"/>
      <c r="R101" s="241"/>
      <c r="S101" s="241"/>
      <c r="T101" s="241"/>
      <c r="U101" s="241"/>
      <c r="V101" s="241"/>
      <c r="W101" s="241"/>
      <c r="X101" s="241"/>
      <c r="Y101" s="253"/>
    </row>
    <row r="102" spans="1:25" x14ac:dyDescent="0.25">
      <c r="A102" s="131"/>
      <c r="B102" s="357" t="s">
        <v>257</v>
      </c>
      <c r="C102" s="357"/>
      <c r="D102" s="357"/>
      <c r="E102" s="357"/>
      <c r="F102" s="357"/>
      <c r="G102" s="357"/>
      <c r="H102" s="241"/>
      <c r="I102" s="241"/>
      <c r="J102" s="241"/>
      <c r="K102" s="241"/>
      <c r="L102" s="241"/>
      <c r="M102" s="241"/>
      <c r="N102" s="241"/>
      <c r="O102" s="241"/>
      <c r="P102" s="241"/>
      <c r="Q102" s="241"/>
      <c r="R102" s="241"/>
      <c r="S102" s="241"/>
      <c r="T102" s="241"/>
      <c r="U102" s="241"/>
      <c r="V102" s="241"/>
      <c r="W102" s="241"/>
      <c r="X102" s="241"/>
      <c r="Y102" s="253"/>
    </row>
    <row r="103" spans="1:25" x14ac:dyDescent="0.25">
      <c r="A103" s="131"/>
      <c r="B103" s="357" t="s">
        <v>187</v>
      </c>
      <c r="C103" s="357"/>
      <c r="D103" s="357"/>
      <c r="E103" s="357"/>
      <c r="F103" s="357"/>
      <c r="G103" s="357"/>
      <c r="H103" s="24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1"/>
      <c r="S103" s="241"/>
      <c r="T103" s="241"/>
      <c r="U103" s="241"/>
      <c r="V103" s="241"/>
      <c r="W103" s="241"/>
      <c r="X103" s="241"/>
      <c r="Y103" s="253"/>
    </row>
    <row r="104" spans="1:25" x14ac:dyDescent="0.25">
      <c r="A104" s="131"/>
      <c r="B104" s="326" t="s">
        <v>252</v>
      </c>
      <c r="C104" s="326"/>
      <c r="D104" s="326"/>
      <c r="E104" s="326"/>
      <c r="F104" s="326"/>
      <c r="G104" s="326"/>
      <c r="H104" s="241"/>
      <c r="I104" s="241"/>
      <c r="J104" s="241"/>
      <c r="K104" s="241"/>
      <c r="L104" s="241"/>
      <c r="M104" s="241"/>
      <c r="N104" s="241"/>
      <c r="O104" s="241"/>
      <c r="P104" s="241"/>
      <c r="Q104" s="241"/>
      <c r="R104" s="241"/>
      <c r="S104" s="241"/>
      <c r="T104" s="241"/>
      <c r="U104" s="241"/>
      <c r="V104" s="241"/>
      <c r="W104" s="241"/>
      <c r="X104" s="241"/>
      <c r="Y104" s="253"/>
    </row>
    <row r="105" spans="1:25" x14ac:dyDescent="0.25">
      <c r="A105" s="252"/>
      <c r="B105" s="236" t="s">
        <v>259</v>
      </c>
      <c r="C105" s="145"/>
      <c r="D105" s="241"/>
      <c r="E105" s="241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  <c r="P105" s="241"/>
      <c r="Q105" s="241"/>
      <c r="R105" s="241"/>
      <c r="S105" s="241"/>
      <c r="T105" s="241"/>
      <c r="U105" s="241"/>
      <c r="V105" s="241"/>
      <c r="W105" s="241"/>
      <c r="X105" s="241"/>
      <c r="Y105" s="253"/>
    </row>
    <row r="106" spans="1:25" ht="15.75" thickBot="1" x14ac:dyDescent="0.3">
      <c r="A106" s="252"/>
      <c r="B106" s="110">
        <v>2</v>
      </c>
      <c r="C106" s="372" t="s">
        <v>231</v>
      </c>
      <c r="D106" s="372"/>
      <c r="E106" s="372"/>
      <c r="F106" s="372"/>
      <c r="G106" s="372"/>
      <c r="H106" s="372"/>
      <c r="I106" s="372"/>
      <c r="J106" s="372"/>
      <c r="K106" s="372"/>
      <c r="L106" s="372"/>
      <c r="M106" s="372"/>
      <c r="N106" s="372"/>
      <c r="O106" s="372"/>
      <c r="P106" s="372"/>
      <c r="Q106" s="372"/>
      <c r="R106" s="372"/>
      <c r="S106" s="372"/>
      <c r="T106" s="372"/>
      <c r="U106" s="372"/>
      <c r="V106" s="241"/>
      <c r="W106" s="241"/>
      <c r="X106" s="241"/>
      <c r="Y106" s="253"/>
    </row>
    <row r="107" spans="1:25" x14ac:dyDescent="0.25">
      <c r="A107" s="252"/>
      <c r="B107" s="110">
        <v>2</v>
      </c>
      <c r="C107" s="252"/>
      <c r="D107" s="241"/>
      <c r="E107" s="241"/>
      <c r="F107" s="241"/>
      <c r="G107" s="241"/>
      <c r="H107" s="241"/>
      <c r="I107" s="241"/>
      <c r="J107" s="241"/>
      <c r="K107" s="241"/>
      <c r="L107" s="241"/>
      <c r="M107" s="241"/>
      <c r="N107" s="241"/>
      <c r="O107" s="241"/>
      <c r="P107" s="241"/>
      <c r="Q107" s="241"/>
      <c r="R107" s="241"/>
      <c r="S107" s="241"/>
      <c r="T107" s="241"/>
      <c r="U107" s="241"/>
      <c r="V107" s="241"/>
      <c r="W107" s="241"/>
      <c r="X107" s="241"/>
      <c r="Y107" s="253"/>
    </row>
    <row r="108" spans="1:25" x14ac:dyDescent="0.25">
      <c r="A108" s="252"/>
      <c r="B108" s="110">
        <v>4</v>
      </c>
      <c r="C108" s="370" t="s">
        <v>189</v>
      </c>
      <c r="D108" s="371"/>
      <c r="E108" s="371"/>
      <c r="F108" s="371"/>
      <c r="G108" s="371"/>
      <c r="H108" s="371"/>
      <c r="I108" s="241"/>
      <c r="J108" s="241"/>
      <c r="K108" s="241"/>
      <c r="L108" s="241"/>
      <c r="M108" s="241"/>
      <c r="N108" s="241"/>
      <c r="O108" s="241"/>
      <c r="P108" s="241"/>
      <c r="Q108" s="241"/>
      <c r="R108" s="241"/>
      <c r="S108" s="241"/>
      <c r="T108" s="241"/>
      <c r="U108" s="241"/>
      <c r="V108" s="241"/>
      <c r="W108" s="241"/>
      <c r="X108" s="241"/>
      <c r="Y108" s="253"/>
    </row>
    <row r="109" spans="1:25" x14ac:dyDescent="0.25">
      <c r="A109" s="252"/>
      <c r="B109" s="110">
        <v>6</v>
      </c>
      <c r="C109" s="370" t="s">
        <v>190</v>
      </c>
      <c r="D109" s="371"/>
      <c r="E109" s="371"/>
      <c r="F109" s="371"/>
      <c r="G109" s="371"/>
      <c r="H109" s="371"/>
      <c r="I109" s="241"/>
      <c r="J109" s="241"/>
      <c r="K109" s="241"/>
      <c r="L109" s="241"/>
      <c r="M109" s="241"/>
      <c r="N109" s="241"/>
      <c r="O109" s="241"/>
      <c r="P109" s="241"/>
      <c r="Q109" s="241"/>
      <c r="R109" s="241"/>
      <c r="S109" s="241"/>
      <c r="T109" s="241"/>
      <c r="U109" s="241"/>
      <c r="V109" s="241"/>
      <c r="W109" s="241"/>
      <c r="X109" s="241"/>
      <c r="Y109" s="253"/>
    </row>
    <row r="110" spans="1:25" x14ac:dyDescent="0.25">
      <c r="A110" s="252"/>
      <c r="B110" s="17">
        <v>2</v>
      </c>
      <c r="C110" s="371" t="s">
        <v>191</v>
      </c>
      <c r="D110" s="371"/>
      <c r="E110" s="371"/>
      <c r="F110" s="371"/>
      <c r="G110" s="371"/>
      <c r="H110" s="371"/>
      <c r="I110" s="241"/>
      <c r="J110" s="241"/>
      <c r="K110" s="241"/>
      <c r="L110" s="241"/>
      <c r="M110" s="241"/>
      <c r="N110" s="241"/>
      <c r="O110" s="241"/>
      <c r="P110" s="241"/>
      <c r="Q110" s="241"/>
      <c r="R110" s="241"/>
      <c r="S110" s="241"/>
      <c r="T110" s="241"/>
      <c r="U110" s="241"/>
      <c r="V110" s="241"/>
      <c r="W110" s="241"/>
      <c r="X110" s="241"/>
      <c r="Y110" s="253"/>
    </row>
    <row r="111" spans="1:25" x14ac:dyDescent="0.25">
      <c r="A111" s="252"/>
      <c r="B111" s="110">
        <v>2</v>
      </c>
      <c r="C111" s="252"/>
      <c r="D111" s="294" t="s">
        <v>230</v>
      </c>
      <c r="E111" s="294"/>
      <c r="F111" s="294"/>
      <c r="G111" s="294"/>
      <c r="H111" s="294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1"/>
      <c r="U111" s="241"/>
      <c r="V111" s="241"/>
      <c r="W111" s="241"/>
      <c r="X111" s="241"/>
      <c r="Y111" s="253"/>
    </row>
    <row r="112" spans="1:25" x14ac:dyDescent="0.25">
      <c r="A112" s="252"/>
      <c r="B112" s="110">
        <v>4</v>
      </c>
      <c r="C112" s="252"/>
      <c r="D112" s="294" t="s">
        <v>374</v>
      </c>
      <c r="E112" s="294"/>
      <c r="F112" s="294"/>
      <c r="G112" s="294"/>
      <c r="H112" s="294"/>
      <c r="I112" s="241"/>
      <c r="J112" s="241"/>
      <c r="K112" s="241"/>
      <c r="L112" s="241"/>
      <c r="M112" s="241"/>
      <c r="N112" s="241"/>
      <c r="O112" s="241"/>
      <c r="P112" s="241"/>
      <c r="Q112" s="241"/>
      <c r="R112" s="241"/>
      <c r="S112" s="241"/>
      <c r="T112" s="241"/>
      <c r="U112" s="241"/>
      <c r="V112" s="241"/>
      <c r="W112" s="241"/>
      <c r="X112" s="241"/>
      <c r="Y112" s="253"/>
    </row>
    <row r="113" spans="1:25" x14ac:dyDescent="0.25">
      <c r="A113" s="252"/>
      <c r="B113" s="110">
        <v>6</v>
      </c>
      <c r="C113" s="252"/>
      <c r="D113" s="241"/>
      <c r="E113" s="241"/>
      <c r="F113" s="241"/>
      <c r="G113" s="241"/>
      <c r="H113" s="241"/>
      <c r="I113" s="241"/>
      <c r="J113" s="241"/>
      <c r="K113" s="241"/>
      <c r="L113" s="241"/>
      <c r="M113" s="241"/>
      <c r="N113" s="241"/>
      <c r="O113" s="241"/>
      <c r="P113" s="241"/>
      <c r="Q113" s="241"/>
      <c r="R113" s="241"/>
      <c r="S113" s="241"/>
      <c r="T113" s="241"/>
      <c r="U113" s="241"/>
      <c r="V113" s="241"/>
      <c r="W113" s="241"/>
      <c r="X113" s="241"/>
      <c r="Y113" s="253"/>
    </row>
    <row r="114" spans="1:25" x14ac:dyDescent="0.25">
      <c r="A114" s="252"/>
      <c r="B114" s="110">
        <v>5</v>
      </c>
      <c r="C114" s="252"/>
      <c r="D114" s="241"/>
      <c r="E114" s="241"/>
      <c r="F114" s="241"/>
      <c r="G114" s="241"/>
      <c r="H114" s="241"/>
      <c r="I114" s="241"/>
      <c r="J114" s="241"/>
      <c r="K114" s="241"/>
      <c r="L114" s="241"/>
      <c r="M114" s="241"/>
      <c r="N114" s="241"/>
      <c r="O114" s="241"/>
      <c r="P114" s="241"/>
      <c r="Q114" s="241"/>
      <c r="R114" s="241"/>
      <c r="S114" s="241"/>
      <c r="T114" s="241"/>
      <c r="U114" s="241"/>
      <c r="V114" s="241"/>
      <c r="W114" s="241"/>
      <c r="X114" s="241"/>
      <c r="Y114" s="253"/>
    </row>
    <row r="115" spans="1:25" x14ac:dyDescent="0.25">
      <c r="A115" s="252"/>
      <c r="B115" s="110">
        <v>4</v>
      </c>
      <c r="C115" s="252"/>
      <c r="D115" s="241"/>
      <c r="E115" s="241"/>
      <c r="F115" s="241"/>
      <c r="G115" s="241"/>
      <c r="H115" s="241"/>
      <c r="I115" s="241"/>
      <c r="J115" s="241"/>
      <c r="K115" s="241"/>
      <c r="L115" s="241"/>
      <c r="M115" s="241"/>
      <c r="N115" s="241"/>
      <c r="O115" s="241"/>
      <c r="P115" s="241"/>
      <c r="Q115" s="241"/>
      <c r="R115" s="241"/>
      <c r="S115" s="241"/>
      <c r="T115" s="241"/>
      <c r="U115" s="241"/>
      <c r="V115" s="241"/>
      <c r="W115" s="241"/>
      <c r="X115" s="241"/>
      <c r="Y115" s="253"/>
    </row>
    <row r="116" spans="1:25" x14ac:dyDescent="0.25">
      <c r="A116" s="252"/>
      <c r="B116" s="110">
        <v>3</v>
      </c>
      <c r="C116" s="252"/>
      <c r="D116" s="241"/>
      <c r="E116" s="241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41"/>
      <c r="T116" s="241"/>
      <c r="U116" s="241"/>
      <c r="V116" s="241"/>
      <c r="W116" s="241"/>
      <c r="X116" s="241"/>
      <c r="Y116" s="253"/>
    </row>
    <row r="117" spans="1:25" x14ac:dyDescent="0.25">
      <c r="A117" s="252"/>
      <c r="B117" s="110">
        <v>6</v>
      </c>
      <c r="C117" s="252"/>
      <c r="D117" s="241"/>
      <c r="E117" s="241"/>
      <c r="F117" s="241"/>
      <c r="G117" s="241"/>
      <c r="H117" s="241"/>
      <c r="I117" s="241"/>
      <c r="J117" s="241"/>
      <c r="K117" s="241"/>
      <c r="L117" s="241"/>
      <c r="M117" s="241"/>
      <c r="N117" s="241"/>
      <c r="O117" s="241"/>
      <c r="P117" s="241"/>
      <c r="Q117" s="241"/>
      <c r="R117" s="241"/>
      <c r="S117" s="241"/>
      <c r="T117" s="241"/>
      <c r="U117" s="241"/>
      <c r="V117" s="241"/>
      <c r="W117" s="241"/>
      <c r="X117" s="241"/>
      <c r="Y117" s="253"/>
    </row>
    <row r="118" spans="1:25" x14ac:dyDescent="0.25">
      <c r="A118" s="252"/>
      <c r="B118" s="110">
        <v>4</v>
      </c>
      <c r="C118" s="252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53"/>
    </row>
    <row r="119" spans="1:25" x14ac:dyDescent="0.25">
      <c r="A119" s="252"/>
      <c r="B119" s="110">
        <v>4</v>
      </c>
      <c r="C119" s="252"/>
      <c r="D119" s="241"/>
      <c r="E119" s="241"/>
      <c r="F119" s="241"/>
      <c r="G119" s="241"/>
      <c r="H119" s="241"/>
      <c r="I119" s="241"/>
      <c r="J119" s="241"/>
      <c r="K119" s="241"/>
      <c r="L119" s="241"/>
      <c r="M119" s="241"/>
      <c r="N119" s="241"/>
      <c r="O119" s="241"/>
      <c r="P119" s="241"/>
      <c r="Q119" s="241"/>
      <c r="R119" s="241"/>
      <c r="S119" s="241"/>
      <c r="T119" s="241"/>
      <c r="U119" s="241"/>
      <c r="V119" s="241"/>
      <c r="W119" s="241"/>
      <c r="X119" s="241"/>
      <c r="Y119" s="253"/>
    </row>
    <row r="120" spans="1:25" x14ac:dyDescent="0.25">
      <c r="A120" s="252"/>
      <c r="B120" s="110">
        <v>2</v>
      </c>
      <c r="C120" s="252"/>
      <c r="D120" s="241"/>
      <c r="E120" s="241"/>
      <c r="F120" s="241"/>
      <c r="G120" s="241"/>
      <c r="H120" s="241"/>
      <c r="I120" s="241"/>
      <c r="J120" s="241"/>
      <c r="K120" s="241"/>
      <c r="L120" s="241"/>
      <c r="M120" s="241"/>
      <c r="N120" s="241"/>
      <c r="O120" s="241"/>
      <c r="P120" s="241"/>
      <c r="Q120" s="241"/>
      <c r="R120" s="241"/>
      <c r="S120" s="241"/>
      <c r="T120" s="241"/>
      <c r="U120" s="241"/>
      <c r="V120" s="241"/>
      <c r="W120" s="241"/>
      <c r="X120" s="241"/>
      <c r="Y120" s="253"/>
    </row>
    <row r="121" spans="1:25" x14ac:dyDescent="0.25">
      <c r="A121" s="252"/>
      <c r="B121" s="110">
        <v>1</v>
      </c>
      <c r="C121" s="252"/>
      <c r="D121" s="241"/>
      <c r="E121" s="241"/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  <c r="P121" s="241"/>
      <c r="Q121" s="241"/>
      <c r="R121" s="241"/>
      <c r="S121" s="241"/>
      <c r="T121" s="241"/>
      <c r="U121" s="241"/>
      <c r="V121" s="241"/>
      <c r="W121" s="241"/>
      <c r="X121" s="241"/>
      <c r="Y121" s="253"/>
    </row>
    <row r="122" spans="1:25" x14ac:dyDescent="0.25">
      <c r="A122" s="252"/>
      <c r="B122" s="110">
        <v>3</v>
      </c>
      <c r="C122" s="252"/>
      <c r="D122" s="241"/>
      <c r="E122" s="241"/>
      <c r="F122" s="241"/>
      <c r="G122" s="241"/>
      <c r="H122" s="241"/>
      <c r="I122" s="241"/>
      <c r="J122" s="241"/>
      <c r="K122" s="241"/>
      <c r="L122" s="241"/>
      <c r="M122" s="241"/>
      <c r="N122" s="241"/>
      <c r="O122" s="241"/>
      <c r="P122" s="241"/>
      <c r="Q122" s="241"/>
      <c r="R122" s="241"/>
      <c r="S122" s="241"/>
      <c r="T122" s="241"/>
      <c r="U122" s="241"/>
      <c r="V122" s="241"/>
      <c r="W122" s="241"/>
      <c r="X122" s="241"/>
      <c r="Y122" s="253"/>
    </row>
    <row r="123" spans="1:25" x14ac:dyDescent="0.25">
      <c r="A123" s="252"/>
      <c r="B123" s="110">
        <v>5</v>
      </c>
      <c r="C123" s="252"/>
      <c r="D123" s="241"/>
      <c r="E123" s="241"/>
      <c r="F123" s="241"/>
      <c r="G123" s="241"/>
      <c r="H123" s="241"/>
      <c r="I123" s="241"/>
      <c r="J123" s="241"/>
      <c r="K123" s="241"/>
      <c r="L123" s="241"/>
      <c r="M123" s="241"/>
      <c r="N123" s="241"/>
      <c r="O123" s="241"/>
      <c r="P123" s="241"/>
      <c r="Q123" s="241"/>
      <c r="R123" s="241"/>
      <c r="S123" s="241"/>
      <c r="T123" s="241"/>
      <c r="U123" s="241"/>
      <c r="V123" s="241"/>
      <c r="W123" s="241"/>
      <c r="X123" s="241"/>
      <c r="Y123" s="253"/>
    </row>
    <row r="124" spans="1:25" x14ac:dyDescent="0.25">
      <c r="A124" s="252"/>
      <c r="B124" s="110">
        <v>5</v>
      </c>
      <c r="C124" s="252"/>
      <c r="D124" s="241"/>
      <c r="E124" s="241"/>
      <c r="F124" s="241"/>
      <c r="G124" s="241"/>
      <c r="H124" s="241"/>
      <c r="I124" s="241"/>
      <c r="J124" s="241"/>
      <c r="K124" s="241"/>
      <c r="L124" s="241"/>
      <c r="M124" s="241"/>
      <c r="N124" s="241"/>
      <c r="O124" s="241"/>
      <c r="P124" s="241"/>
      <c r="Q124" s="241"/>
      <c r="R124" s="241"/>
      <c r="S124" s="241"/>
      <c r="T124" s="241"/>
      <c r="U124" s="241"/>
      <c r="V124" s="241"/>
      <c r="W124" s="241"/>
      <c r="X124" s="241"/>
      <c r="Y124" s="253"/>
    </row>
    <row r="125" spans="1:25" x14ac:dyDescent="0.25">
      <c r="A125" s="252"/>
      <c r="B125" s="110">
        <v>1</v>
      </c>
      <c r="C125" s="252"/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1"/>
      <c r="U125" s="241"/>
      <c r="V125" s="241"/>
      <c r="W125" s="241"/>
      <c r="X125" s="241"/>
      <c r="Y125" s="253"/>
    </row>
    <row r="126" spans="1:25" x14ac:dyDescent="0.25">
      <c r="A126" s="252"/>
      <c r="B126" s="110">
        <v>3</v>
      </c>
      <c r="C126" s="252"/>
      <c r="D126" s="241"/>
      <c r="E126" s="241"/>
      <c r="F126" s="241"/>
      <c r="G126" s="241"/>
      <c r="H126" s="241"/>
      <c r="I126" s="241"/>
      <c r="J126" s="241"/>
      <c r="K126" s="241"/>
      <c r="L126" s="241"/>
      <c r="M126" s="241"/>
      <c r="N126" s="241"/>
      <c r="O126" s="241"/>
      <c r="P126" s="241"/>
      <c r="Q126" s="241"/>
      <c r="R126" s="241"/>
      <c r="S126" s="241"/>
      <c r="T126" s="241"/>
      <c r="U126" s="241"/>
      <c r="V126" s="241"/>
      <c r="W126" s="241"/>
      <c r="X126" s="241"/>
      <c r="Y126" s="253"/>
    </row>
    <row r="127" spans="1:25" x14ac:dyDescent="0.25">
      <c r="A127" s="252"/>
      <c r="B127" s="110">
        <v>5</v>
      </c>
      <c r="C127" s="252"/>
      <c r="D127" s="241"/>
      <c r="E127" s="241"/>
      <c r="F127" s="241"/>
      <c r="G127" s="241"/>
      <c r="H127" s="241"/>
      <c r="I127" s="241"/>
      <c r="J127" s="241"/>
      <c r="K127" s="241"/>
      <c r="L127" s="241"/>
      <c r="M127" s="241"/>
      <c r="N127" s="241"/>
      <c r="O127" s="241"/>
      <c r="P127" s="241"/>
      <c r="Q127" s="241"/>
      <c r="R127" s="241"/>
      <c r="S127" s="241"/>
      <c r="T127" s="241"/>
      <c r="U127" s="241"/>
      <c r="V127" s="241"/>
      <c r="W127" s="241"/>
      <c r="X127" s="241"/>
      <c r="Y127" s="253"/>
    </row>
    <row r="128" spans="1:25" x14ac:dyDescent="0.25">
      <c r="A128" s="252"/>
      <c r="B128" s="110">
        <v>5</v>
      </c>
      <c r="C128" s="252"/>
      <c r="D128" s="241"/>
      <c r="E128" s="241"/>
      <c r="F128" s="241"/>
      <c r="G128" s="241"/>
      <c r="H128" s="241"/>
      <c r="I128" s="241"/>
      <c r="J128" s="241"/>
      <c r="K128" s="241"/>
      <c r="L128" s="241"/>
      <c r="M128" s="241"/>
      <c r="N128" s="241"/>
      <c r="O128" s="241"/>
      <c r="P128" s="241"/>
      <c r="Q128" s="241"/>
      <c r="R128" s="241"/>
      <c r="S128" s="241"/>
      <c r="T128" s="241"/>
      <c r="U128" s="241"/>
      <c r="V128" s="241"/>
      <c r="W128" s="241"/>
      <c r="X128" s="241"/>
      <c r="Y128" s="253"/>
    </row>
    <row r="129" spans="1:25" x14ac:dyDescent="0.25">
      <c r="A129" s="252"/>
      <c r="B129" s="110">
        <v>6</v>
      </c>
      <c r="C129" s="252"/>
      <c r="D129" s="241"/>
      <c r="E129" s="241"/>
      <c r="F129" s="241"/>
      <c r="G129" s="241"/>
      <c r="H129" s="241"/>
      <c r="I129" s="241"/>
      <c r="J129" s="241"/>
      <c r="K129" s="241"/>
      <c r="L129" s="241"/>
      <c r="M129" s="241"/>
      <c r="N129" s="241"/>
      <c r="O129" s="241"/>
      <c r="P129" s="241"/>
      <c r="Q129" s="241"/>
      <c r="R129" s="241"/>
      <c r="S129" s="241"/>
      <c r="T129" s="241"/>
      <c r="U129" s="241"/>
      <c r="V129" s="241"/>
      <c r="W129" s="241"/>
      <c r="X129" s="241"/>
      <c r="Y129" s="253"/>
    </row>
    <row r="130" spans="1:25" x14ac:dyDescent="0.25">
      <c r="A130" s="252"/>
      <c r="B130" s="110">
        <v>7</v>
      </c>
      <c r="C130" s="252"/>
      <c r="D130" s="241"/>
      <c r="E130" s="241"/>
      <c r="F130" s="241"/>
      <c r="G130" s="241"/>
      <c r="H130" s="241"/>
      <c r="I130" s="241"/>
      <c r="J130" s="241"/>
      <c r="K130" s="241"/>
      <c r="L130" s="241"/>
      <c r="M130" s="241"/>
      <c r="N130" s="241"/>
      <c r="O130" s="241"/>
      <c r="P130" s="241"/>
      <c r="Q130" s="241"/>
      <c r="R130" s="241"/>
      <c r="S130" s="241"/>
      <c r="T130" s="241"/>
      <c r="U130" s="241"/>
      <c r="V130" s="241"/>
      <c r="W130" s="241"/>
      <c r="X130" s="241"/>
      <c r="Y130" s="253"/>
    </row>
    <row r="131" spans="1:25" x14ac:dyDescent="0.25">
      <c r="A131" s="252"/>
      <c r="B131" s="110">
        <v>5</v>
      </c>
      <c r="C131" s="252"/>
      <c r="D131" s="241"/>
      <c r="E131" s="241"/>
      <c r="F131" s="241"/>
      <c r="G131" s="241"/>
      <c r="H131" s="241"/>
      <c r="I131" s="241"/>
      <c r="J131" s="241"/>
      <c r="K131" s="241"/>
      <c r="L131" s="241"/>
      <c r="M131" s="241"/>
      <c r="N131" s="241"/>
      <c r="O131" s="241"/>
      <c r="P131" s="241"/>
      <c r="Q131" s="241"/>
      <c r="R131" s="241"/>
      <c r="S131" s="241"/>
      <c r="T131" s="241"/>
      <c r="U131" s="241"/>
      <c r="V131" s="241"/>
      <c r="W131" s="241"/>
      <c r="X131" s="241"/>
      <c r="Y131" s="253"/>
    </row>
    <row r="132" spans="1:25" x14ac:dyDescent="0.25">
      <c r="A132" s="252"/>
      <c r="B132" s="110">
        <v>3</v>
      </c>
      <c r="C132" s="252"/>
      <c r="D132" s="241"/>
      <c r="E132" s="241"/>
      <c r="F132" s="241"/>
      <c r="G132" s="241"/>
      <c r="H132" s="241"/>
      <c r="I132" s="241"/>
      <c r="J132" s="241"/>
      <c r="K132" s="241"/>
      <c r="L132" s="241"/>
      <c r="M132" s="241"/>
      <c r="N132" s="241"/>
      <c r="O132" s="241"/>
      <c r="P132" s="241"/>
      <c r="Q132" s="241"/>
      <c r="R132" s="241"/>
      <c r="S132" s="241"/>
      <c r="T132" s="241"/>
      <c r="U132" s="241"/>
      <c r="V132" s="241"/>
      <c r="W132" s="241"/>
      <c r="X132" s="241"/>
      <c r="Y132" s="253"/>
    </row>
    <row r="133" spans="1:25" x14ac:dyDescent="0.25">
      <c r="A133" s="252"/>
      <c r="B133" s="110">
        <v>2</v>
      </c>
      <c r="C133" s="252"/>
      <c r="D133" s="241"/>
      <c r="E133" s="241"/>
      <c r="F133" s="241"/>
      <c r="G133" s="241"/>
      <c r="H133" s="241"/>
      <c r="I133" s="241"/>
      <c r="J133" s="241"/>
      <c r="K133" s="241"/>
      <c r="L133" s="241"/>
      <c r="M133" s="241"/>
      <c r="N133" s="241"/>
      <c r="O133" s="241"/>
      <c r="P133" s="241"/>
      <c r="Q133" s="241"/>
      <c r="R133" s="241"/>
      <c r="S133" s="241"/>
      <c r="T133" s="241"/>
      <c r="U133" s="241"/>
      <c r="V133" s="241"/>
      <c r="W133" s="241"/>
      <c r="X133" s="241"/>
      <c r="Y133" s="253"/>
    </row>
    <row r="134" spans="1:25" x14ac:dyDescent="0.25">
      <c r="A134" s="252"/>
      <c r="B134" s="110">
        <v>3</v>
      </c>
      <c r="C134" s="252"/>
      <c r="D134" s="241"/>
      <c r="E134" s="241"/>
      <c r="F134" s="241"/>
      <c r="G134" s="241"/>
      <c r="H134" s="241"/>
      <c r="I134" s="241"/>
      <c r="J134" s="241"/>
      <c r="K134" s="241"/>
      <c r="L134" s="241"/>
      <c r="M134" s="241"/>
      <c r="N134" s="241"/>
      <c r="O134" s="241"/>
      <c r="P134" s="241"/>
      <c r="Q134" s="241"/>
      <c r="R134" s="241"/>
      <c r="S134" s="241"/>
      <c r="T134" s="241"/>
      <c r="U134" s="241"/>
      <c r="V134" s="241"/>
      <c r="W134" s="241"/>
      <c r="X134" s="241"/>
      <c r="Y134" s="253"/>
    </row>
    <row r="135" spans="1:25" x14ac:dyDescent="0.25">
      <c r="A135" s="252"/>
      <c r="B135" s="110">
        <v>3</v>
      </c>
      <c r="C135" s="252"/>
      <c r="D135" s="241"/>
      <c r="E135" s="241"/>
      <c r="F135" s="241"/>
      <c r="G135" s="241"/>
      <c r="H135" s="241"/>
      <c r="I135" s="241"/>
      <c r="J135" s="241"/>
      <c r="K135" s="241"/>
      <c r="L135" s="241"/>
      <c r="M135" s="241"/>
      <c r="N135" s="241"/>
      <c r="O135" s="241"/>
      <c r="P135" s="241"/>
      <c r="Q135" s="241"/>
      <c r="R135" s="241"/>
      <c r="S135" s="241"/>
      <c r="T135" s="241"/>
      <c r="U135" s="241"/>
      <c r="V135" s="241"/>
      <c r="W135" s="241"/>
      <c r="X135" s="241"/>
      <c r="Y135" s="253"/>
    </row>
    <row r="136" spans="1:25" x14ac:dyDescent="0.25">
      <c r="A136" s="252"/>
      <c r="B136" s="241"/>
      <c r="C136" s="252"/>
      <c r="D136" s="241"/>
      <c r="E136" s="241"/>
      <c r="F136" s="241"/>
      <c r="G136" s="241"/>
      <c r="H136" s="241"/>
      <c r="I136" s="241"/>
      <c r="J136" s="241"/>
      <c r="K136" s="241"/>
      <c r="L136" s="241"/>
      <c r="M136" s="241"/>
      <c r="N136" s="241"/>
      <c r="O136" s="241"/>
      <c r="P136" s="241"/>
      <c r="Q136" s="241"/>
      <c r="R136" s="241"/>
      <c r="S136" s="241"/>
      <c r="T136" s="241"/>
      <c r="U136" s="241"/>
      <c r="V136" s="241"/>
      <c r="W136" s="241"/>
      <c r="X136" s="241"/>
      <c r="Y136" s="253"/>
    </row>
    <row r="137" spans="1:25" x14ac:dyDescent="0.25">
      <c r="A137" s="252"/>
      <c r="B137" s="241"/>
      <c r="C137" s="252"/>
      <c r="D137" s="241"/>
      <c r="E137" s="241"/>
      <c r="F137" s="241"/>
      <c r="G137" s="241"/>
      <c r="H137" s="241"/>
      <c r="I137" s="241"/>
      <c r="J137" s="241"/>
      <c r="K137" s="241"/>
      <c r="L137" s="241"/>
      <c r="M137" s="241"/>
      <c r="N137" s="241"/>
      <c r="O137" s="241"/>
      <c r="P137" s="241"/>
      <c r="Q137" s="241"/>
      <c r="R137" s="241"/>
      <c r="S137" s="241"/>
      <c r="T137" s="241"/>
      <c r="U137" s="241"/>
      <c r="V137" s="241"/>
      <c r="W137" s="241"/>
      <c r="X137" s="241"/>
      <c r="Y137" s="253"/>
    </row>
    <row r="138" spans="1:25" x14ac:dyDescent="0.25">
      <c r="A138" s="252"/>
      <c r="B138" s="241"/>
      <c r="C138" s="252"/>
      <c r="D138" s="241"/>
      <c r="E138" s="241"/>
      <c r="F138" s="241"/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1"/>
      <c r="U138" s="241"/>
      <c r="V138" s="241"/>
      <c r="W138" s="241"/>
      <c r="X138" s="241"/>
      <c r="Y138" s="253"/>
    </row>
    <row r="139" spans="1:25" x14ac:dyDescent="0.25">
      <c r="A139" s="252"/>
      <c r="B139" s="241"/>
      <c r="C139" s="252"/>
      <c r="D139" s="241"/>
      <c r="E139" s="241"/>
      <c r="F139" s="241"/>
      <c r="G139" s="241"/>
      <c r="H139" s="241"/>
      <c r="I139" s="241"/>
      <c r="J139" s="241"/>
      <c r="K139" s="241"/>
      <c r="L139" s="241"/>
      <c r="M139" s="241"/>
      <c r="N139" s="241"/>
      <c r="O139" s="241"/>
      <c r="P139" s="241"/>
      <c r="Q139" s="241"/>
      <c r="R139" s="241"/>
      <c r="S139" s="241"/>
      <c r="T139" s="241"/>
      <c r="U139" s="241"/>
      <c r="V139" s="241"/>
      <c r="W139" s="241"/>
      <c r="X139" s="241"/>
      <c r="Y139" s="253"/>
    </row>
    <row r="140" spans="1:25" x14ac:dyDescent="0.25">
      <c r="A140" s="252"/>
      <c r="B140" s="241"/>
      <c r="C140" s="252"/>
      <c r="D140" s="241"/>
      <c r="E140" s="241"/>
      <c r="F140" s="241"/>
      <c r="G140" s="241"/>
      <c r="H140" s="241"/>
      <c r="I140" s="241"/>
      <c r="J140" s="241"/>
      <c r="K140" s="241"/>
      <c r="L140" s="241"/>
      <c r="M140" s="241"/>
      <c r="N140" s="241"/>
      <c r="O140" s="241"/>
      <c r="P140" s="241"/>
      <c r="Q140" s="241"/>
      <c r="R140" s="241"/>
      <c r="S140" s="241"/>
      <c r="T140" s="241"/>
      <c r="U140" s="241"/>
      <c r="V140" s="241"/>
      <c r="W140" s="241"/>
      <c r="X140" s="241"/>
      <c r="Y140" s="253"/>
    </row>
    <row r="141" spans="1:25" x14ac:dyDescent="0.25">
      <c r="A141" s="252"/>
      <c r="B141" s="241"/>
      <c r="C141" s="252"/>
      <c r="D141" s="241"/>
      <c r="E141" s="241"/>
      <c r="F141" s="241"/>
      <c r="G141" s="241"/>
      <c r="H141" s="241"/>
      <c r="I141" s="241"/>
      <c r="J141" s="241"/>
      <c r="K141" s="241"/>
      <c r="L141" s="241"/>
      <c r="M141" s="241"/>
      <c r="N141" s="241"/>
      <c r="O141" s="241"/>
      <c r="P141" s="241"/>
      <c r="Q141" s="241"/>
      <c r="R141" s="241"/>
      <c r="S141" s="241"/>
      <c r="T141" s="241"/>
      <c r="U141" s="241"/>
      <c r="V141" s="241"/>
      <c r="W141" s="241"/>
      <c r="X141" s="241"/>
      <c r="Y141" s="253"/>
    </row>
    <row r="142" spans="1:25" ht="15.75" thickBot="1" x14ac:dyDescent="0.3">
      <c r="A142" s="252"/>
      <c r="B142" s="241"/>
      <c r="C142" s="130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241"/>
      <c r="W142" s="241"/>
      <c r="X142" s="241"/>
      <c r="Y142" s="253"/>
    </row>
    <row r="143" spans="1:25" x14ac:dyDescent="0.25">
      <c r="A143" s="252"/>
      <c r="B143" s="241"/>
      <c r="C143" s="241"/>
      <c r="D143" s="241"/>
      <c r="E143" s="241"/>
      <c r="F143" s="241"/>
      <c r="G143" s="241"/>
      <c r="H143" s="241"/>
      <c r="I143" s="241"/>
      <c r="J143" s="241"/>
      <c r="K143" s="241"/>
      <c r="L143" s="241"/>
      <c r="M143" s="241"/>
      <c r="N143" s="241"/>
      <c r="O143" s="241"/>
      <c r="P143" s="241"/>
      <c r="Q143" s="241"/>
      <c r="R143" s="241"/>
      <c r="S143" s="241"/>
      <c r="T143" s="241"/>
      <c r="U143" s="241"/>
      <c r="V143" s="241"/>
      <c r="W143" s="241"/>
      <c r="X143" s="241"/>
      <c r="Y143" s="253"/>
    </row>
    <row r="144" spans="1:25" ht="15.75" thickBot="1" x14ac:dyDescent="0.3">
      <c r="A144" s="252"/>
      <c r="B144" s="241"/>
      <c r="C144" s="241"/>
      <c r="D144" s="241"/>
      <c r="E144" s="241"/>
      <c r="F144" s="241"/>
      <c r="G144" s="241"/>
      <c r="H144" s="241"/>
      <c r="I144" s="241"/>
      <c r="J144" s="241"/>
      <c r="K144" s="241"/>
      <c r="L144" s="241"/>
      <c r="M144" s="241"/>
      <c r="N144" s="241"/>
      <c r="O144" s="241"/>
      <c r="P144" s="241"/>
      <c r="Q144" s="241"/>
      <c r="R144" s="241"/>
      <c r="S144" s="241"/>
      <c r="T144" s="241"/>
      <c r="U144" s="241"/>
      <c r="V144" s="241"/>
      <c r="W144" s="241"/>
      <c r="X144" s="241"/>
      <c r="Y144" s="253"/>
    </row>
    <row r="145" spans="1:25" x14ac:dyDescent="0.25">
      <c r="A145" s="252"/>
      <c r="B145" s="241"/>
      <c r="C145" s="332" t="s">
        <v>192</v>
      </c>
      <c r="D145" s="333"/>
      <c r="E145" s="333"/>
      <c r="F145" s="333"/>
      <c r="G145" s="333"/>
      <c r="H145" s="333"/>
      <c r="I145" s="333"/>
      <c r="J145" s="333"/>
      <c r="K145" s="333"/>
      <c r="L145" s="333"/>
      <c r="M145" s="333"/>
      <c r="N145" s="333"/>
      <c r="O145" s="333"/>
      <c r="P145" s="333"/>
      <c r="Q145" s="333"/>
      <c r="R145" s="333"/>
      <c r="S145" s="333"/>
      <c r="T145" s="333"/>
      <c r="U145" s="333"/>
      <c r="V145" s="241"/>
      <c r="W145" s="241"/>
      <c r="X145" s="241"/>
      <c r="Y145" s="253"/>
    </row>
    <row r="146" spans="1:25" ht="15.75" thickBot="1" x14ac:dyDescent="0.3">
      <c r="A146" s="252"/>
      <c r="B146" s="241"/>
      <c r="C146" s="252"/>
      <c r="D146" s="241"/>
      <c r="E146" s="241"/>
      <c r="F146" s="241"/>
      <c r="G146" s="241"/>
      <c r="H146" s="241"/>
      <c r="I146" s="241"/>
      <c r="J146" s="241"/>
      <c r="K146" s="241"/>
      <c r="L146" s="241"/>
      <c r="M146" s="241"/>
      <c r="N146" s="241"/>
      <c r="O146" s="241"/>
      <c r="P146" s="241"/>
      <c r="Q146" s="241"/>
      <c r="R146" s="241"/>
      <c r="S146" s="241"/>
      <c r="T146" s="241"/>
      <c r="U146" s="241"/>
      <c r="V146" s="241"/>
      <c r="W146" s="241"/>
      <c r="X146" s="241"/>
      <c r="Y146" s="253"/>
    </row>
    <row r="147" spans="1:25" ht="15.75" thickBot="1" x14ac:dyDescent="0.3">
      <c r="A147" s="252"/>
      <c r="B147" s="241"/>
      <c r="C147" s="256" t="s">
        <v>259</v>
      </c>
      <c r="D147" s="241"/>
      <c r="E147" s="335" t="s">
        <v>213</v>
      </c>
      <c r="F147" s="336"/>
      <c r="G147" s="147" t="s">
        <v>194</v>
      </c>
      <c r="H147" s="129">
        <v>30</v>
      </c>
      <c r="I147" s="241"/>
      <c r="J147" s="320" t="s">
        <v>504</v>
      </c>
      <c r="K147" s="321"/>
      <c r="L147" s="321"/>
      <c r="M147" s="321"/>
      <c r="N147" s="321"/>
      <c r="O147" s="321"/>
      <c r="P147" s="321"/>
      <c r="Q147" s="321"/>
      <c r="R147" s="321"/>
      <c r="S147" s="321"/>
      <c r="T147" s="321"/>
      <c r="U147" s="321"/>
      <c r="V147" s="241"/>
      <c r="W147" s="241"/>
      <c r="X147" s="241"/>
      <c r="Y147" s="253"/>
    </row>
    <row r="148" spans="1:25" ht="15.75" thickBot="1" x14ac:dyDescent="0.3">
      <c r="A148" s="252"/>
      <c r="B148" s="241"/>
      <c r="C148" s="156">
        <v>2</v>
      </c>
      <c r="D148" s="241"/>
      <c r="E148" s="150"/>
      <c r="F148" s="247"/>
      <c r="G148" s="241"/>
      <c r="H148" s="241"/>
      <c r="I148" s="241"/>
      <c r="J148" s="261"/>
      <c r="K148" s="262"/>
      <c r="L148" s="262"/>
      <c r="M148" s="262"/>
      <c r="N148" s="262"/>
      <c r="O148" s="262"/>
      <c r="P148" s="262"/>
      <c r="Q148" s="262"/>
      <c r="R148" s="262"/>
      <c r="S148" s="262"/>
      <c r="T148" s="262"/>
      <c r="U148" s="262"/>
      <c r="V148" s="241"/>
      <c r="W148" s="241"/>
      <c r="X148" s="241"/>
      <c r="Y148" s="253"/>
    </row>
    <row r="149" spans="1:25" ht="15.75" thickBot="1" x14ac:dyDescent="0.3">
      <c r="A149" s="252"/>
      <c r="B149" s="241"/>
      <c r="C149" s="156">
        <v>2</v>
      </c>
      <c r="D149" s="241"/>
      <c r="E149" s="299"/>
      <c r="F149" s="319"/>
      <c r="G149" s="319"/>
      <c r="H149" s="146"/>
      <c r="I149" s="241"/>
      <c r="J149" s="317" t="s">
        <v>197</v>
      </c>
      <c r="K149" s="318"/>
      <c r="L149" s="318"/>
      <c r="M149" s="318"/>
      <c r="N149" s="318"/>
      <c r="O149" s="318"/>
      <c r="P149" s="262"/>
      <c r="Q149" s="262"/>
      <c r="R149" s="262"/>
      <c r="S149" s="262"/>
      <c r="T149" s="262"/>
      <c r="U149" s="262"/>
      <c r="V149" s="241"/>
      <c r="W149" s="241"/>
      <c r="X149" s="241"/>
      <c r="Y149" s="253"/>
    </row>
    <row r="150" spans="1:25" ht="15.75" thickBot="1" x14ac:dyDescent="0.3">
      <c r="A150" s="252"/>
      <c r="B150" s="241"/>
      <c r="C150" s="156">
        <v>4</v>
      </c>
      <c r="D150" s="241"/>
      <c r="E150" s="341" t="s">
        <v>198</v>
      </c>
      <c r="F150" s="323"/>
      <c r="G150" s="323"/>
      <c r="H150" s="324"/>
      <c r="I150" s="241"/>
      <c r="J150" s="317" t="s">
        <v>198</v>
      </c>
      <c r="K150" s="318"/>
      <c r="L150" s="318"/>
      <c r="M150" s="318"/>
      <c r="N150" s="240"/>
      <c r="O150" s="240"/>
      <c r="P150" s="262"/>
      <c r="Q150" s="262"/>
      <c r="R150" s="262"/>
      <c r="S150" s="262"/>
      <c r="T150" s="262"/>
      <c r="U150" s="262"/>
      <c r="V150" s="241"/>
      <c r="W150" s="241"/>
      <c r="X150" s="241"/>
      <c r="Y150" s="253"/>
    </row>
    <row r="151" spans="1:25" x14ac:dyDescent="0.25">
      <c r="A151" s="252"/>
      <c r="B151" s="241"/>
      <c r="C151" s="156">
        <v>6</v>
      </c>
      <c r="D151" s="241"/>
      <c r="E151" s="254" t="s">
        <v>195</v>
      </c>
      <c r="F151" s="65">
        <f>AVERAGEA(C148:C177)</f>
        <v>3.7666666666666666</v>
      </c>
      <c r="G151" s="65"/>
      <c r="H151" s="255"/>
      <c r="I151" s="241"/>
      <c r="J151" s="317" t="s">
        <v>199</v>
      </c>
      <c r="K151" s="318"/>
      <c r="L151" s="318"/>
      <c r="M151" s="318"/>
      <c r="N151" s="318"/>
      <c r="O151" s="318"/>
      <c r="P151" s="318"/>
      <c r="Q151" s="318"/>
      <c r="R151" s="262"/>
      <c r="S151" s="262"/>
      <c r="T151" s="262"/>
      <c r="U151" s="262"/>
      <c r="V151" s="241"/>
      <c r="W151" s="241"/>
      <c r="X151" s="241"/>
      <c r="Y151" s="253"/>
    </row>
    <row r="152" spans="1:25" ht="15.75" thickBot="1" x14ac:dyDescent="0.3">
      <c r="A152" s="252"/>
      <c r="B152" s="241"/>
      <c r="C152" s="156">
        <v>2</v>
      </c>
      <c r="D152" s="241"/>
      <c r="E152" s="130" t="s">
        <v>196</v>
      </c>
      <c r="F152" s="137">
        <f>_xlfn.VAR.S(C148:C177)</f>
        <v>2.6678160919540232</v>
      </c>
      <c r="G152" s="137"/>
      <c r="H152" s="127"/>
      <c r="I152" s="241"/>
      <c r="J152" s="317" t="s">
        <v>212</v>
      </c>
      <c r="K152" s="318"/>
      <c r="L152" s="318"/>
      <c r="M152" s="318"/>
      <c r="N152" s="318"/>
      <c r="O152" s="318"/>
      <c r="P152" s="318"/>
      <c r="Q152" s="318"/>
      <c r="R152" s="318"/>
      <c r="S152" s="318"/>
      <c r="T152" s="262"/>
      <c r="U152" s="262"/>
      <c r="V152" s="241"/>
      <c r="W152" s="241"/>
      <c r="X152" s="241"/>
      <c r="Y152" s="253"/>
    </row>
    <row r="153" spans="1:25" ht="15.75" thickBot="1" x14ac:dyDescent="0.3">
      <c r="A153" s="252"/>
      <c r="B153" s="241"/>
      <c r="C153" s="156">
        <v>2</v>
      </c>
      <c r="D153" s="241"/>
      <c r="E153" s="241"/>
      <c r="F153" s="241"/>
      <c r="G153" s="241"/>
      <c r="H153" s="241"/>
      <c r="I153" s="241"/>
      <c r="J153" s="317" t="s">
        <v>200</v>
      </c>
      <c r="K153" s="318"/>
      <c r="L153" s="318"/>
      <c r="M153" s="318"/>
      <c r="N153" s="318"/>
      <c r="O153" s="318"/>
      <c r="P153" s="318"/>
      <c r="Q153" s="318"/>
      <c r="R153" s="318"/>
      <c r="S153" s="318"/>
      <c r="T153" s="262"/>
      <c r="U153" s="262"/>
      <c r="V153" s="241"/>
      <c r="W153" s="241"/>
      <c r="X153" s="241"/>
      <c r="Y153" s="253"/>
    </row>
    <row r="154" spans="1:25" ht="15.75" thickBot="1" x14ac:dyDescent="0.3">
      <c r="A154" s="252"/>
      <c r="B154" s="241"/>
      <c r="C154" s="156">
        <v>4</v>
      </c>
      <c r="D154" s="241"/>
      <c r="E154" s="299" t="s">
        <v>202</v>
      </c>
      <c r="F154" s="319"/>
      <c r="G154" s="319"/>
      <c r="H154" s="146">
        <v>0.05</v>
      </c>
      <c r="I154" s="241"/>
      <c r="J154" s="317" t="s">
        <v>201</v>
      </c>
      <c r="K154" s="318"/>
      <c r="L154" s="318"/>
      <c r="M154" s="318"/>
      <c r="N154" s="318"/>
      <c r="O154" s="318"/>
      <c r="P154" s="318"/>
      <c r="Q154" s="318"/>
      <c r="R154" s="262"/>
      <c r="S154" s="262"/>
      <c r="T154" s="262"/>
      <c r="U154" s="262"/>
      <c r="V154" s="241"/>
      <c r="W154" s="241"/>
      <c r="X154" s="241"/>
      <c r="Y154" s="253"/>
    </row>
    <row r="155" spans="1:25" x14ac:dyDescent="0.25">
      <c r="A155" s="252"/>
      <c r="B155" s="241"/>
      <c r="C155" s="156">
        <v>6</v>
      </c>
      <c r="D155" s="241"/>
      <c r="E155" s="241"/>
      <c r="F155" s="241"/>
      <c r="G155" s="241"/>
      <c r="H155" s="241"/>
      <c r="I155" s="241"/>
      <c r="J155" s="261"/>
      <c r="K155" s="262"/>
      <c r="L155" s="262"/>
      <c r="M155" s="262"/>
      <c r="N155" s="262"/>
      <c r="O155" s="262"/>
      <c r="P155" s="262"/>
      <c r="Q155" s="262"/>
      <c r="R155" s="262"/>
      <c r="S155" s="262"/>
      <c r="T155" s="262"/>
      <c r="U155" s="262"/>
      <c r="V155" s="241"/>
      <c r="W155" s="241"/>
      <c r="X155" s="241"/>
      <c r="Y155" s="253"/>
    </row>
    <row r="156" spans="1:25" x14ac:dyDescent="0.25">
      <c r="A156" s="252"/>
      <c r="B156" s="241"/>
      <c r="C156" s="156">
        <v>5</v>
      </c>
      <c r="D156" s="241"/>
      <c r="E156" s="342"/>
      <c r="F156" s="342"/>
      <c r="G156" s="342"/>
      <c r="H156" s="342"/>
      <c r="I156" s="241"/>
      <c r="J156" s="261"/>
      <c r="K156" s="262"/>
      <c r="L156" s="262"/>
      <c r="M156" s="262"/>
      <c r="N156" s="262"/>
      <c r="O156" s="262"/>
      <c r="P156" s="262"/>
      <c r="Q156" s="262"/>
      <c r="R156" s="262"/>
      <c r="S156" s="262"/>
      <c r="T156" s="262"/>
      <c r="U156" s="262"/>
      <c r="V156" s="241"/>
      <c r="W156" s="241"/>
      <c r="X156" s="241"/>
      <c r="Y156" s="253"/>
    </row>
    <row r="157" spans="1:25" x14ac:dyDescent="0.25">
      <c r="A157" s="252"/>
      <c r="B157" s="241"/>
      <c r="C157" s="156">
        <v>4</v>
      </c>
      <c r="D157" s="241"/>
      <c r="E157" s="241"/>
      <c r="F157" s="241"/>
      <c r="G157" s="241"/>
      <c r="H157" s="241"/>
      <c r="I157" s="241"/>
      <c r="J157" s="317" t="s">
        <v>228</v>
      </c>
      <c r="K157" s="318"/>
      <c r="L157" s="318"/>
      <c r="M157" s="318"/>
      <c r="N157" s="318"/>
      <c r="O157" s="318"/>
      <c r="P157" s="318"/>
      <c r="Q157" s="318"/>
      <c r="R157" s="318"/>
      <c r="S157" s="318"/>
      <c r="T157" s="318"/>
      <c r="U157" s="318"/>
      <c r="V157" s="241"/>
      <c r="W157" s="241"/>
      <c r="X157" s="241"/>
      <c r="Y157" s="253"/>
    </row>
    <row r="158" spans="1:25" x14ac:dyDescent="0.25">
      <c r="A158" s="252"/>
      <c r="B158" s="241"/>
      <c r="C158" s="156">
        <v>3</v>
      </c>
      <c r="D158" s="241"/>
      <c r="E158" s="241"/>
      <c r="F158" s="241"/>
      <c r="G158" s="241"/>
      <c r="H158" s="241"/>
      <c r="I158" s="241"/>
      <c r="J158" s="317" t="s">
        <v>203</v>
      </c>
      <c r="K158" s="318"/>
      <c r="L158" s="318"/>
      <c r="M158" s="318"/>
      <c r="N158" s="318"/>
      <c r="O158" s="318"/>
      <c r="P158" s="262"/>
      <c r="Q158" s="262"/>
      <c r="R158" s="262"/>
      <c r="S158" s="262"/>
      <c r="T158" s="262"/>
      <c r="U158" s="262"/>
      <c r="V158" s="241"/>
      <c r="W158" s="241"/>
      <c r="X158" s="241"/>
      <c r="Y158" s="253"/>
    </row>
    <row r="159" spans="1:25" x14ac:dyDescent="0.25">
      <c r="A159" s="252"/>
      <c r="B159" s="241"/>
      <c r="C159" s="156">
        <v>6</v>
      </c>
      <c r="D159" s="241"/>
      <c r="E159" s="286" t="s">
        <v>505</v>
      </c>
      <c r="F159" s="286"/>
      <c r="G159" s="286"/>
      <c r="H159" s="286"/>
      <c r="I159" s="241"/>
      <c r="J159" s="261"/>
      <c r="K159" s="262"/>
      <c r="L159" s="262"/>
      <c r="M159" s="262"/>
      <c r="N159" s="262"/>
      <c r="O159" s="262"/>
      <c r="P159" s="262"/>
      <c r="Q159" s="262"/>
      <c r="R159" s="262"/>
      <c r="S159" s="262"/>
      <c r="T159" s="262"/>
      <c r="U159" s="262"/>
      <c r="V159" s="241"/>
      <c r="W159" s="241"/>
      <c r="X159" s="241"/>
      <c r="Y159" s="253"/>
    </row>
    <row r="160" spans="1:25" ht="15.75" thickBot="1" x14ac:dyDescent="0.3">
      <c r="A160" s="252"/>
      <c r="B160" s="241"/>
      <c r="C160" s="156">
        <v>4</v>
      </c>
      <c r="D160" s="241"/>
      <c r="E160" s="286" t="s">
        <v>506</v>
      </c>
      <c r="F160" s="286"/>
      <c r="G160" s="286"/>
      <c r="H160" s="286"/>
      <c r="I160" s="241"/>
      <c r="J160" s="314" t="s">
        <v>204</v>
      </c>
      <c r="K160" s="315"/>
      <c r="L160" s="315"/>
      <c r="M160" s="315"/>
      <c r="N160" s="315"/>
      <c r="O160" s="315"/>
      <c r="P160" s="315"/>
      <c r="Q160" s="315"/>
      <c r="R160" s="315"/>
      <c r="S160" s="315"/>
      <c r="T160" s="315"/>
      <c r="U160" s="315"/>
      <c r="V160" s="241"/>
      <c r="W160" s="241"/>
      <c r="X160" s="241"/>
      <c r="Y160" s="253"/>
    </row>
    <row r="161" spans="1:25" x14ac:dyDescent="0.25">
      <c r="A161" s="252"/>
      <c r="B161" s="241"/>
      <c r="C161" s="156">
        <v>4</v>
      </c>
      <c r="D161" s="241"/>
      <c r="E161" s="286" t="s">
        <v>453</v>
      </c>
      <c r="F161" s="286"/>
      <c r="G161" s="286"/>
      <c r="H161" s="286"/>
      <c r="I161" s="241"/>
      <c r="J161" s="241"/>
      <c r="K161" s="241"/>
      <c r="L161" s="241"/>
      <c r="M161" s="241"/>
      <c r="N161" s="241"/>
      <c r="O161" s="241"/>
      <c r="P161" s="241"/>
      <c r="Q161" s="241"/>
      <c r="R161" s="241"/>
      <c r="S161" s="241"/>
      <c r="T161" s="241"/>
      <c r="U161" s="241"/>
      <c r="V161" s="241"/>
      <c r="W161" s="241"/>
      <c r="X161" s="241"/>
      <c r="Y161" s="253"/>
    </row>
    <row r="162" spans="1:25" x14ac:dyDescent="0.25">
      <c r="A162" s="252"/>
      <c r="B162" s="241"/>
      <c r="C162" s="156">
        <v>2</v>
      </c>
      <c r="D162" s="241"/>
      <c r="E162" s="286" t="s">
        <v>507</v>
      </c>
      <c r="F162" s="286"/>
      <c r="G162" s="286"/>
      <c r="H162" s="286"/>
      <c r="I162" s="241"/>
      <c r="J162" s="241"/>
      <c r="K162" s="241"/>
      <c r="L162" s="241"/>
      <c r="M162" s="241"/>
      <c r="N162" s="241"/>
      <c r="O162" s="241"/>
      <c r="P162" s="241"/>
      <c r="Q162" s="241"/>
      <c r="R162" s="241"/>
      <c r="S162" s="241"/>
      <c r="T162" s="241"/>
      <c r="U162" s="241"/>
      <c r="V162" s="241"/>
      <c r="W162" s="241"/>
      <c r="X162" s="241"/>
      <c r="Y162" s="253"/>
    </row>
    <row r="163" spans="1:25" x14ac:dyDescent="0.25">
      <c r="A163" s="252"/>
      <c r="B163" s="241"/>
      <c r="C163" s="156">
        <v>1</v>
      </c>
      <c r="D163" s="241"/>
      <c r="E163" s="286" t="s">
        <v>508</v>
      </c>
      <c r="F163" s="286"/>
      <c r="G163" s="286"/>
      <c r="H163" s="286"/>
      <c r="I163" s="241"/>
      <c r="J163" s="241"/>
      <c r="K163" s="241"/>
      <c r="L163" s="241"/>
      <c r="M163" s="241"/>
      <c r="N163" s="241"/>
      <c r="O163" s="241"/>
      <c r="P163" s="241"/>
      <c r="Q163" s="241"/>
      <c r="R163" s="241"/>
      <c r="S163" s="241"/>
      <c r="T163" s="241"/>
      <c r="U163" s="241"/>
      <c r="V163" s="241"/>
      <c r="W163" s="241"/>
      <c r="X163" s="241"/>
      <c r="Y163" s="253"/>
    </row>
    <row r="164" spans="1:25" x14ac:dyDescent="0.25">
      <c r="A164" s="252"/>
      <c r="B164" s="241"/>
      <c r="C164" s="156">
        <v>3</v>
      </c>
      <c r="D164" s="241"/>
      <c r="E164" s="241"/>
      <c r="F164" s="241"/>
      <c r="G164" s="241"/>
      <c r="H164" s="241"/>
      <c r="I164" s="241"/>
      <c r="J164" s="241"/>
      <c r="K164" s="241"/>
      <c r="L164" s="241"/>
      <c r="M164" s="241"/>
      <c r="N164" s="241"/>
      <c r="O164" s="241"/>
      <c r="P164" s="241"/>
      <c r="Q164" s="241"/>
      <c r="R164" s="241"/>
      <c r="S164" s="241"/>
      <c r="T164" s="241"/>
      <c r="U164" s="241"/>
      <c r="V164" s="241"/>
      <c r="W164" s="241"/>
      <c r="X164" s="241"/>
      <c r="Y164" s="253"/>
    </row>
    <row r="165" spans="1:25" x14ac:dyDescent="0.25">
      <c r="A165" s="252"/>
      <c r="B165" s="241"/>
      <c r="C165" s="156">
        <v>5</v>
      </c>
      <c r="D165" s="241"/>
      <c r="E165" s="241"/>
      <c r="F165" s="241"/>
      <c r="G165" s="241"/>
      <c r="H165" s="241"/>
      <c r="I165" s="241"/>
      <c r="J165" s="241"/>
      <c r="K165" s="241"/>
      <c r="L165" s="241"/>
      <c r="M165" s="241"/>
      <c r="N165" s="241"/>
      <c r="O165" s="241"/>
      <c r="P165" s="241"/>
      <c r="Q165" s="241"/>
      <c r="R165" s="241"/>
      <c r="S165" s="241"/>
      <c r="T165" s="241"/>
      <c r="U165" s="241"/>
      <c r="V165" s="241"/>
      <c r="W165" s="241"/>
      <c r="X165" s="241"/>
      <c r="Y165" s="253"/>
    </row>
    <row r="166" spans="1:25" x14ac:dyDescent="0.25">
      <c r="A166" s="252"/>
      <c r="B166" s="241"/>
      <c r="C166" s="156">
        <v>5</v>
      </c>
      <c r="D166" s="241"/>
      <c r="E166" s="241"/>
      <c r="F166" s="306"/>
      <c r="G166" s="306"/>
      <c r="H166" s="306"/>
      <c r="I166" s="241"/>
      <c r="J166" s="288" t="s">
        <v>554</v>
      </c>
      <c r="K166" s="288"/>
      <c r="L166" s="288"/>
      <c r="M166" s="288"/>
      <c r="N166" s="95"/>
      <c r="O166" s="95"/>
      <c r="P166" s="241"/>
      <c r="Q166" s="241"/>
      <c r="R166" s="241"/>
      <c r="S166" s="241"/>
      <c r="T166" s="241"/>
      <c r="U166" s="241"/>
      <c r="V166" s="241"/>
      <c r="W166" s="241"/>
      <c r="X166" s="241"/>
      <c r="Y166" s="253"/>
    </row>
    <row r="167" spans="1:25" x14ac:dyDescent="0.25">
      <c r="A167" s="252"/>
      <c r="B167" s="241"/>
      <c r="C167" s="156">
        <v>1</v>
      </c>
      <c r="D167" s="241"/>
      <c r="E167" s="241"/>
      <c r="F167" s="241"/>
      <c r="G167" s="241"/>
      <c r="H167" s="241"/>
      <c r="I167" s="241"/>
      <c r="J167" s="95"/>
      <c r="K167" s="95"/>
      <c r="L167" s="95"/>
      <c r="M167" s="95"/>
      <c r="N167" s="95"/>
      <c r="O167" s="95"/>
      <c r="P167" s="241"/>
      <c r="Q167" s="241"/>
      <c r="R167" s="241"/>
      <c r="S167" s="241"/>
      <c r="T167" s="241"/>
      <c r="U167" s="241"/>
      <c r="V167" s="241"/>
      <c r="W167" s="241"/>
      <c r="X167" s="241"/>
      <c r="Y167" s="253"/>
    </row>
    <row r="168" spans="1:25" x14ac:dyDescent="0.25">
      <c r="A168" s="252"/>
      <c r="B168" s="241"/>
      <c r="C168" s="156">
        <v>3</v>
      </c>
      <c r="D168" s="241"/>
      <c r="E168" s="241"/>
      <c r="F168" s="306"/>
      <c r="G168" s="306"/>
      <c r="H168" s="306"/>
      <c r="I168" s="241"/>
      <c r="J168" s="313" t="s">
        <v>555</v>
      </c>
      <c r="K168" s="313"/>
      <c r="L168" s="313"/>
      <c r="M168" s="313"/>
      <c r="N168" s="313"/>
      <c r="O168" s="313"/>
      <c r="P168" s="241"/>
      <c r="Q168" s="241"/>
      <c r="R168" s="241"/>
      <c r="S168" s="241"/>
      <c r="T168" s="241"/>
      <c r="U168" s="241"/>
      <c r="V168" s="241"/>
      <c r="W168" s="241"/>
      <c r="X168" s="241"/>
      <c r="Y168" s="253"/>
    </row>
    <row r="169" spans="1:25" x14ac:dyDescent="0.25">
      <c r="A169" s="252"/>
      <c r="B169" s="241"/>
      <c r="C169" s="156">
        <v>5</v>
      </c>
      <c r="D169" s="241"/>
      <c r="E169" s="241"/>
      <c r="F169" s="306"/>
      <c r="G169" s="306"/>
      <c r="H169" s="306"/>
      <c r="I169" s="241"/>
      <c r="J169" s="95" t="s">
        <v>163</v>
      </c>
      <c r="K169" s="95"/>
      <c r="L169" s="95"/>
      <c r="M169" s="95"/>
      <c r="N169" s="95"/>
      <c r="O169" s="95"/>
      <c r="P169" s="241"/>
      <c r="Q169" s="241"/>
      <c r="R169" s="241"/>
      <c r="S169" s="241"/>
      <c r="T169" s="241"/>
      <c r="U169" s="241"/>
      <c r="V169" s="241"/>
      <c r="W169" s="241"/>
      <c r="X169" s="241"/>
      <c r="Y169" s="253"/>
    </row>
    <row r="170" spans="1:25" x14ac:dyDescent="0.25">
      <c r="A170" s="252"/>
      <c r="B170" s="241"/>
      <c r="C170" s="156">
        <v>5</v>
      </c>
      <c r="D170" s="241"/>
      <c r="E170" s="241"/>
      <c r="F170" s="306"/>
      <c r="G170" s="306"/>
      <c r="H170" s="306"/>
      <c r="I170" s="241"/>
      <c r="J170" s="241"/>
      <c r="K170" s="241"/>
      <c r="L170" s="241"/>
      <c r="M170" s="241"/>
      <c r="N170" s="241"/>
      <c r="O170" s="241"/>
      <c r="P170" s="241"/>
      <c r="Q170" s="241"/>
      <c r="R170" s="241"/>
      <c r="S170" s="241"/>
      <c r="T170" s="241"/>
      <c r="U170" s="241"/>
      <c r="V170" s="241"/>
      <c r="W170" s="241"/>
      <c r="X170" s="241"/>
      <c r="Y170" s="253"/>
    </row>
    <row r="171" spans="1:25" x14ac:dyDescent="0.25">
      <c r="A171" s="252"/>
      <c r="B171" s="241"/>
      <c r="C171" s="156">
        <v>6</v>
      </c>
      <c r="D171" s="241"/>
      <c r="E171" s="241"/>
      <c r="F171" s="306"/>
      <c r="G171" s="306"/>
      <c r="H171" s="306"/>
      <c r="I171" s="241"/>
      <c r="J171" s="241"/>
      <c r="K171" s="241"/>
      <c r="L171" s="241"/>
      <c r="M171" s="241"/>
      <c r="N171" s="241"/>
      <c r="O171" s="241"/>
      <c r="P171" s="241"/>
      <c r="Q171" s="241"/>
      <c r="R171" s="241"/>
      <c r="S171" s="241"/>
      <c r="T171" s="241"/>
      <c r="U171" s="241"/>
      <c r="V171" s="241"/>
      <c r="W171" s="241"/>
      <c r="X171" s="241"/>
      <c r="Y171" s="253"/>
    </row>
    <row r="172" spans="1:25" x14ac:dyDescent="0.25">
      <c r="A172" s="252"/>
      <c r="B172" s="241"/>
      <c r="C172" s="156">
        <v>7</v>
      </c>
      <c r="D172" s="241"/>
      <c r="E172" s="241"/>
      <c r="F172" s="306"/>
      <c r="G172" s="306"/>
      <c r="H172" s="306"/>
      <c r="I172" s="241"/>
      <c r="J172" s="241"/>
      <c r="K172" s="241"/>
      <c r="L172" s="241"/>
      <c r="M172" s="241"/>
      <c r="N172" s="241"/>
      <c r="O172" s="241"/>
      <c r="P172" s="241"/>
      <c r="Q172" s="241"/>
      <c r="R172" s="241"/>
      <c r="S172" s="241"/>
      <c r="T172" s="241"/>
      <c r="U172" s="241"/>
      <c r="V172" s="241"/>
      <c r="W172" s="241"/>
      <c r="X172" s="241"/>
      <c r="Y172" s="253"/>
    </row>
    <row r="173" spans="1:25" x14ac:dyDescent="0.25">
      <c r="A173" s="252"/>
      <c r="B173" s="241"/>
      <c r="C173" s="156">
        <v>5</v>
      </c>
      <c r="D173" s="241"/>
      <c r="E173" s="241"/>
      <c r="F173" s="306"/>
      <c r="G173" s="306"/>
      <c r="H173" s="306"/>
      <c r="I173" s="241"/>
      <c r="J173" s="241"/>
      <c r="K173" s="241"/>
      <c r="L173" s="241"/>
      <c r="M173" s="241"/>
      <c r="N173" s="241"/>
      <c r="O173" s="241"/>
      <c r="P173" s="241"/>
      <c r="Q173" s="241"/>
      <c r="R173" s="241"/>
      <c r="S173" s="241"/>
      <c r="T173" s="241"/>
      <c r="U173" s="241"/>
      <c r="V173" s="241"/>
      <c r="W173" s="241"/>
      <c r="X173" s="241"/>
      <c r="Y173" s="253"/>
    </row>
    <row r="174" spans="1:25" x14ac:dyDescent="0.25">
      <c r="A174" s="252"/>
      <c r="B174" s="241"/>
      <c r="C174" s="156">
        <v>3</v>
      </c>
      <c r="D174" s="241"/>
      <c r="E174" s="241"/>
      <c r="F174" s="306"/>
      <c r="G174" s="306"/>
      <c r="H174" s="306"/>
      <c r="I174" s="241"/>
      <c r="J174" s="241"/>
      <c r="K174" s="241"/>
      <c r="L174" s="241"/>
      <c r="M174" s="241"/>
      <c r="N174" s="241"/>
      <c r="O174" s="241"/>
      <c r="P174" s="241"/>
      <c r="Q174" s="241"/>
      <c r="R174" s="241"/>
      <c r="S174" s="241"/>
      <c r="T174" s="241"/>
      <c r="U174" s="241"/>
      <c r="V174" s="241"/>
      <c r="W174" s="241"/>
      <c r="X174" s="241"/>
      <c r="Y174" s="253"/>
    </row>
    <row r="175" spans="1:25" x14ac:dyDescent="0.25">
      <c r="A175" s="252"/>
      <c r="B175" s="241"/>
      <c r="C175" s="156">
        <v>2</v>
      </c>
      <c r="D175" s="241"/>
      <c r="E175" s="241"/>
      <c r="F175" s="306"/>
      <c r="G175" s="306"/>
      <c r="H175" s="306"/>
      <c r="I175" s="241"/>
      <c r="J175" s="241"/>
      <c r="K175" s="241"/>
      <c r="L175" s="241"/>
      <c r="M175" s="241"/>
      <c r="N175" s="241"/>
      <c r="O175" s="241"/>
      <c r="P175" s="241"/>
      <c r="Q175" s="241"/>
      <c r="R175" s="241"/>
      <c r="S175" s="241"/>
      <c r="T175" s="241"/>
      <c r="U175" s="241"/>
      <c r="V175" s="241"/>
      <c r="W175" s="241"/>
      <c r="X175" s="241"/>
      <c r="Y175" s="253"/>
    </row>
    <row r="176" spans="1:25" x14ac:dyDescent="0.25">
      <c r="A176" s="252"/>
      <c r="B176" s="241"/>
      <c r="C176" s="156">
        <v>3</v>
      </c>
      <c r="D176" s="241"/>
      <c r="E176" s="241"/>
      <c r="F176" s="241"/>
      <c r="G176" s="241"/>
      <c r="H176" s="241"/>
      <c r="I176" s="241"/>
      <c r="J176" s="241"/>
      <c r="K176" s="241"/>
      <c r="L176" s="241"/>
      <c r="M176" s="241"/>
      <c r="N176" s="241"/>
      <c r="O176" s="241"/>
      <c r="P176" s="241"/>
      <c r="Q176" s="241"/>
      <c r="R176" s="241"/>
      <c r="S176" s="241"/>
      <c r="T176" s="241"/>
      <c r="U176" s="241"/>
      <c r="V176" s="241"/>
      <c r="W176" s="241"/>
      <c r="X176" s="241"/>
      <c r="Y176" s="253"/>
    </row>
    <row r="177" spans="1:25" x14ac:dyDescent="0.25">
      <c r="A177" s="252"/>
      <c r="B177" s="241"/>
      <c r="C177" s="156">
        <v>3</v>
      </c>
      <c r="D177" s="241"/>
      <c r="E177" s="241"/>
      <c r="F177" s="306"/>
      <c r="G177" s="306"/>
      <c r="H177" s="241"/>
      <c r="I177" s="241"/>
      <c r="J177" s="241"/>
      <c r="K177" s="241"/>
      <c r="L177" s="241"/>
      <c r="M177" s="241"/>
      <c r="N177" s="241"/>
      <c r="O177" s="241"/>
      <c r="P177" s="241"/>
      <c r="Q177" s="241"/>
      <c r="R177" s="241"/>
      <c r="S177" s="241"/>
      <c r="T177" s="241"/>
      <c r="U177" s="241"/>
      <c r="V177" s="241"/>
      <c r="W177" s="241"/>
      <c r="X177" s="241"/>
      <c r="Y177" s="253"/>
    </row>
    <row r="178" spans="1:25" x14ac:dyDescent="0.25">
      <c r="A178" s="252"/>
      <c r="B178" s="241"/>
      <c r="C178" s="252"/>
      <c r="D178" s="241"/>
      <c r="E178" s="241"/>
      <c r="F178" s="306"/>
      <c r="G178" s="306"/>
      <c r="H178" s="241"/>
      <c r="I178" s="241"/>
      <c r="J178" s="241"/>
      <c r="K178" s="241"/>
      <c r="L178" s="241"/>
      <c r="M178" s="241"/>
      <c r="N178" s="241"/>
      <c r="O178" s="241"/>
      <c r="P178" s="241"/>
      <c r="Q178" s="241"/>
      <c r="R178" s="241"/>
      <c r="S178" s="241"/>
      <c r="T178" s="241"/>
      <c r="U178" s="241"/>
      <c r="V178" s="241"/>
      <c r="W178" s="241"/>
      <c r="X178" s="241"/>
      <c r="Y178" s="253"/>
    </row>
    <row r="179" spans="1:25" x14ac:dyDescent="0.25">
      <c r="A179" s="252"/>
      <c r="B179" s="241"/>
      <c r="C179" s="252"/>
      <c r="D179" s="241"/>
      <c r="E179" s="241"/>
      <c r="F179" s="241"/>
      <c r="G179" s="241"/>
      <c r="H179" s="241"/>
      <c r="I179" s="241"/>
      <c r="J179" s="241"/>
      <c r="K179" s="241"/>
      <c r="L179" s="241"/>
      <c r="M179" s="241"/>
      <c r="N179" s="241"/>
      <c r="O179" s="241"/>
      <c r="P179" s="241"/>
      <c r="Q179" s="241"/>
      <c r="R179" s="241"/>
      <c r="S179" s="241"/>
      <c r="T179" s="241"/>
      <c r="U179" s="241"/>
      <c r="V179" s="241"/>
      <c r="W179" s="241"/>
      <c r="X179" s="241"/>
      <c r="Y179" s="253"/>
    </row>
    <row r="180" spans="1:25" x14ac:dyDescent="0.25">
      <c r="A180" s="252"/>
      <c r="B180" s="241"/>
      <c r="C180" s="252"/>
      <c r="D180" s="241"/>
      <c r="E180" s="241"/>
      <c r="F180" s="241"/>
      <c r="G180" s="241"/>
      <c r="H180" s="241"/>
      <c r="I180" s="241"/>
      <c r="J180" s="241"/>
      <c r="K180" s="241"/>
      <c r="L180" s="241"/>
      <c r="M180" s="241"/>
      <c r="N180" s="241"/>
      <c r="O180" s="241"/>
      <c r="P180" s="241"/>
      <c r="Q180" s="241"/>
      <c r="R180" s="241"/>
      <c r="S180" s="241"/>
      <c r="T180" s="241"/>
      <c r="U180" s="241"/>
      <c r="V180" s="241"/>
      <c r="W180" s="241"/>
      <c r="X180" s="241"/>
      <c r="Y180" s="253"/>
    </row>
    <row r="181" spans="1:25" x14ac:dyDescent="0.25">
      <c r="A181" s="252"/>
      <c r="B181" s="553"/>
      <c r="C181" s="252"/>
      <c r="D181" s="241"/>
      <c r="E181" s="158" t="s">
        <v>229</v>
      </c>
      <c r="F181" s="159">
        <f>ROUNDUP(SQRT($H$147),0)</f>
        <v>6</v>
      </c>
      <c r="G181" s="241"/>
      <c r="H181" s="241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53"/>
    </row>
    <row r="182" spans="1:25" x14ac:dyDescent="0.25">
      <c r="A182" s="252"/>
      <c r="B182" s="241"/>
      <c r="C182" s="252"/>
      <c r="D182" s="241"/>
      <c r="E182" s="238" t="s">
        <v>429</v>
      </c>
      <c r="F182" s="376" t="s">
        <v>161</v>
      </c>
      <c r="G182" s="376"/>
      <c r="H182" s="376"/>
      <c r="I182" s="376" t="s">
        <v>430</v>
      </c>
      <c r="J182" s="376"/>
      <c r="K182" s="238">
        <v>4</v>
      </c>
      <c r="L182" s="238"/>
      <c r="M182" s="238" t="s">
        <v>509</v>
      </c>
      <c r="N182" s="238" t="s">
        <v>227</v>
      </c>
      <c r="O182" s="241"/>
      <c r="P182" s="241"/>
      <c r="Q182" s="241"/>
      <c r="R182" s="241"/>
      <c r="S182" s="241"/>
      <c r="T182" s="241"/>
      <c r="U182" s="241"/>
      <c r="V182" s="241"/>
      <c r="W182" s="241"/>
      <c r="X182" s="241"/>
      <c r="Y182" s="253"/>
    </row>
    <row r="183" spans="1:25" x14ac:dyDescent="0.25">
      <c r="A183" s="252"/>
      <c r="B183" s="241"/>
      <c r="C183" s="252"/>
      <c r="D183" s="241"/>
      <c r="E183" s="238"/>
      <c r="F183" s="283" t="s">
        <v>556</v>
      </c>
      <c r="G183" s="284"/>
      <c r="H183" s="285"/>
      <c r="I183" s="376" t="s">
        <v>214</v>
      </c>
      <c r="J183" s="376"/>
      <c r="K183" s="376"/>
      <c r="L183" s="238" t="s">
        <v>222</v>
      </c>
      <c r="M183" s="238"/>
      <c r="N183" s="238" t="s">
        <v>73</v>
      </c>
      <c r="O183" s="241"/>
      <c r="P183" s="241"/>
      <c r="Q183" s="241"/>
      <c r="R183" s="241"/>
      <c r="S183" s="241"/>
      <c r="T183" s="241"/>
      <c r="U183" s="241"/>
      <c r="V183" s="241"/>
      <c r="W183" s="241"/>
      <c r="X183" s="241"/>
      <c r="Y183" s="253"/>
    </row>
    <row r="184" spans="1:25" x14ac:dyDescent="0.25">
      <c r="A184" s="252"/>
      <c r="B184" s="241"/>
      <c r="C184" s="252"/>
      <c r="D184" s="241"/>
      <c r="E184" s="239" t="s">
        <v>205</v>
      </c>
      <c r="F184" s="379">
        <f>COUNTIF($C$148:$C$177,"=0")+COUNTIF($C$148:$C$177,"=1")</f>
        <v>2</v>
      </c>
      <c r="G184" s="379"/>
      <c r="H184" s="379"/>
      <c r="I184" s="239" t="s">
        <v>216</v>
      </c>
      <c r="J184" s="239">
        <v>0</v>
      </c>
      <c r="K184" s="239">
        <v>1</v>
      </c>
      <c r="L184" s="239">
        <f>($K$182^J184)*(EXP(-$K$182))/FACT(J184) + ($K$182^K184)*(EXP(-$K$182))/FACT(K184)</f>
        <v>9.1578194443670893E-2</v>
      </c>
      <c r="M184" s="239">
        <f>$H$147*L184</f>
        <v>2.7473458333101268</v>
      </c>
      <c r="N184" s="135">
        <f>((M184-F184)^2)/M184</f>
        <v>0.20329650086063999</v>
      </c>
      <c r="O184" s="241"/>
      <c r="P184" s="241"/>
      <c r="Q184" s="241"/>
      <c r="R184" s="241"/>
      <c r="S184" s="241"/>
      <c r="T184" s="241"/>
      <c r="U184" s="241"/>
      <c r="V184" s="241"/>
      <c r="W184" s="241"/>
      <c r="X184" s="241"/>
      <c r="Y184" s="253"/>
    </row>
    <row r="185" spans="1:25" x14ac:dyDescent="0.25">
      <c r="A185" s="252"/>
      <c r="B185" s="241"/>
      <c r="C185" s="252"/>
      <c r="D185" s="241"/>
      <c r="E185" s="239" t="s">
        <v>206</v>
      </c>
      <c r="F185" s="379">
        <f>COUNTIF($C$148:$C$177,"=2")</f>
        <v>6</v>
      </c>
      <c r="G185" s="379"/>
      <c r="H185" s="379"/>
      <c r="I185" s="239" t="s">
        <v>217</v>
      </c>
      <c r="J185" s="239"/>
      <c r="K185" s="239">
        <v>2</v>
      </c>
      <c r="L185" s="239">
        <f>($K$182^K185)*(EXP(-$K$182))/FACT(K185)</f>
        <v>0.14652511110987343</v>
      </c>
      <c r="M185" s="239">
        <f t="shared" ref="M185:M189" si="0">$H$147*L185</f>
        <v>4.3957533332962031</v>
      </c>
      <c r="N185" s="135">
        <f t="shared" ref="N185:N189" si="1">((M185-F185)^2)/M185</f>
        <v>0.58547583826783922</v>
      </c>
      <c r="O185" s="241"/>
      <c r="P185" s="241"/>
      <c r="Q185" s="241"/>
      <c r="R185" s="241"/>
      <c r="S185" s="241"/>
      <c r="T185" s="241"/>
      <c r="U185" s="241"/>
      <c r="V185" s="241"/>
      <c r="W185" s="241"/>
      <c r="X185" s="241"/>
      <c r="Y185" s="253"/>
    </row>
    <row r="186" spans="1:25" x14ac:dyDescent="0.25">
      <c r="A186" s="252"/>
      <c r="B186" s="241"/>
      <c r="C186" s="252"/>
      <c r="D186" s="241"/>
      <c r="E186" s="239" t="s">
        <v>207</v>
      </c>
      <c r="F186" s="379">
        <f>COUNTIF($C$148:$C$177,"=3")</f>
        <v>6</v>
      </c>
      <c r="G186" s="379"/>
      <c r="H186" s="379"/>
      <c r="I186" s="239" t="s">
        <v>221</v>
      </c>
      <c r="J186" s="239"/>
      <c r="K186" s="239">
        <v>3</v>
      </c>
      <c r="L186" s="239">
        <f>(($K$182^K186)*(EXP(-$K$182)))/FACT(K186)</f>
        <v>0.19536681481316456</v>
      </c>
      <c r="M186" s="239">
        <f t="shared" si="0"/>
        <v>5.8610044443949372</v>
      </c>
      <c r="N186" s="135">
        <f t="shared" si="1"/>
        <v>3.2963231236646153E-3</v>
      </c>
      <c r="O186" s="241"/>
      <c r="P186" s="241"/>
      <c r="Q186" s="241"/>
      <c r="R186" s="241"/>
      <c r="S186" s="241"/>
      <c r="T186" s="241"/>
      <c r="U186" s="241"/>
      <c r="V186" s="241"/>
      <c r="W186" s="241"/>
      <c r="X186" s="241"/>
      <c r="Y186" s="253"/>
    </row>
    <row r="187" spans="1:25" x14ac:dyDescent="0.25">
      <c r="A187" s="252"/>
      <c r="B187" s="241"/>
      <c r="C187" s="252"/>
      <c r="D187" s="241"/>
      <c r="E187" s="239" t="s">
        <v>208</v>
      </c>
      <c r="F187" s="379">
        <f>COUNTIF($C$148:$C$177,"=4")</f>
        <v>5</v>
      </c>
      <c r="G187" s="379"/>
      <c r="H187" s="379"/>
      <c r="I187" s="239" t="s">
        <v>218</v>
      </c>
      <c r="J187" s="239"/>
      <c r="K187" s="239">
        <v>4</v>
      </c>
      <c r="L187" s="239">
        <f t="shared" ref="L187:L188" si="2">($K$182^K187)*(EXP(-$K$182))/FACT(K187)</f>
        <v>0.19536681481316456</v>
      </c>
      <c r="M187" s="239">
        <f t="shared" si="0"/>
        <v>5.8610044443949372</v>
      </c>
      <c r="N187" s="135">
        <f t="shared" si="1"/>
        <v>0.12648491573433124</v>
      </c>
      <c r="O187" s="241"/>
      <c r="P187" s="241"/>
      <c r="Q187" s="241"/>
      <c r="R187" s="241"/>
      <c r="S187" s="241"/>
      <c r="T187" s="241"/>
      <c r="U187" s="241"/>
      <c r="V187" s="241"/>
      <c r="W187" s="241"/>
      <c r="X187" s="241"/>
      <c r="Y187" s="253"/>
    </row>
    <row r="188" spans="1:25" x14ac:dyDescent="0.25">
      <c r="A188" s="252"/>
      <c r="B188" s="241"/>
      <c r="C188" s="252"/>
      <c r="D188" s="241"/>
      <c r="E188" s="239" t="s">
        <v>209</v>
      </c>
      <c r="F188" s="379">
        <f>COUNTIF($C$148:$C$177,"=5")</f>
        <v>6</v>
      </c>
      <c r="G188" s="379"/>
      <c r="H188" s="379"/>
      <c r="I188" s="239" t="s">
        <v>219</v>
      </c>
      <c r="J188" s="239"/>
      <c r="K188" s="239">
        <v>5</v>
      </c>
      <c r="L188" s="239">
        <f t="shared" si="2"/>
        <v>0.15629345185053165</v>
      </c>
      <c r="M188" s="239">
        <f t="shared" si="0"/>
        <v>4.6888035555159497</v>
      </c>
      <c r="N188" s="135">
        <f t="shared" si="1"/>
        <v>0.36666840392685901</v>
      </c>
      <c r="O188" s="241"/>
      <c r="P188" s="241"/>
      <c r="Q188" s="241"/>
      <c r="R188" s="241"/>
      <c r="S188" s="241"/>
      <c r="T188" s="241"/>
      <c r="U188" s="241"/>
      <c r="V188" s="241"/>
      <c r="W188" s="241"/>
      <c r="X188" s="241"/>
      <c r="Y188" s="253"/>
    </row>
    <row r="189" spans="1:25" ht="15.75" thickBot="1" x14ac:dyDescent="0.3">
      <c r="A189" s="252"/>
      <c r="B189" s="241"/>
      <c r="C189" s="252"/>
      <c r="D189" s="241"/>
      <c r="E189" s="239" t="s">
        <v>215</v>
      </c>
      <c r="F189" s="379">
        <f>COUNTIF($C$148:$C$177,"=6")+COUNTIF($C$148:$C$177,"&gt;6")</f>
        <v>5</v>
      </c>
      <c r="G189" s="379"/>
      <c r="H189" s="379"/>
      <c r="I189" s="239" t="s">
        <v>220</v>
      </c>
      <c r="J189" s="239">
        <v>6</v>
      </c>
      <c r="K189" s="239">
        <v>7</v>
      </c>
      <c r="L189" s="239">
        <f>($K$182^J189)*(EXP(-$K$182))/FACT(J189) + ($K$182^K189)*(EXP(-$K$182))/FACT(K189)</f>
        <v>0.16373599717674744</v>
      </c>
      <c r="M189" s="239">
        <f t="shared" si="0"/>
        <v>4.9120799153024235</v>
      </c>
      <c r="N189" s="154">
        <f t="shared" si="1"/>
        <v>1.573659514200537E-3</v>
      </c>
      <c r="O189" s="241"/>
      <c r="P189" s="241"/>
      <c r="Q189" s="241"/>
      <c r="R189" s="241"/>
      <c r="S189" s="241"/>
      <c r="T189" s="241"/>
      <c r="U189" s="241"/>
      <c r="V189" s="241"/>
      <c r="W189" s="241"/>
      <c r="X189" s="241"/>
      <c r="Y189" s="253"/>
    </row>
    <row r="190" spans="1:25" ht="15.75" thickBot="1" x14ac:dyDescent="0.3">
      <c r="A190" s="252"/>
      <c r="B190" s="241"/>
      <c r="C190" s="252"/>
      <c r="D190" s="241"/>
      <c r="E190" s="153"/>
      <c r="F190" s="311"/>
      <c r="G190" s="312"/>
      <c r="H190" s="312"/>
      <c r="I190" s="151"/>
      <c r="J190" s="152"/>
      <c r="K190" s="152"/>
      <c r="L190" s="52"/>
      <c r="M190" s="151"/>
      <c r="N190" s="542">
        <f>SUM(N184:N189)</f>
        <v>1.2867956414275348</v>
      </c>
      <c r="O190" s="241"/>
      <c r="P190" s="241"/>
      <c r="Q190" s="241"/>
      <c r="R190" s="241"/>
      <c r="S190" s="241"/>
      <c r="T190" s="241"/>
      <c r="U190" s="241"/>
      <c r="V190" s="241"/>
      <c r="W190" s="241"/>
      <c r="X190" s="241"/>
      <c r="Y190" s="253"/>
    </row>
    <row r="191" spans="1:25" x14ac:dyDescent="0.25">
      <c r="A191" s="252"/>
      <c r="B191" s="241"/>
      <c r="C191" s="252"/>
      <c r="D191" s="241"/>
      <c r="E191" s="148" t="s">
        <v>81</v>
      </c>
      <c r="F191" s="373">
        <f>SUM(F184:H190)</f>
        <v>30</v>
      </c>
      <c r="G191" s="374"/>
      <c r="H191" s="375"/>
      <c r="I191" s="241"/>
      <c r="J191" s="241"/>
      <c r="K191" s="241"/>
      <c r="L191" s="241"/>
      <c r="M191" s="241"/>
      <c r="N191" s="543"/>
      <c r="O191" s="241"/>
      <c r="P191" s="241"/>
      <c r="Q191" s="241"/>
      <c r="R191" s="241"/>
      <c r="S191" s="241"/>
      <c r="T191" s="241"/>
      <c r="U191" s="241"/>
      <c r="V191" s="241"/>
      <c r="W191" s="241"/>
      <c r="X191" s="241"/>
      <c r="Y191" s="253"/>
    </row>
    <row r="192" spans="1:25" x14ac:dyDescent="0.25">
      <c r="A192" s="252"/>
      <c r="B192" s="241"/>
      <c r="C192" s="252"/>
      <c r="D192" s="241"/>
      <c r="E192" s="241"/>
      <c r="F192" s="241"/>
      <c r="G192" s="241"/>
      <c r="H192" s="241"/>
      <c r="I192" s="241"/>
      <c r="J192" s="241"/>
      <c r="K192" s="241"/>
      <c r="L192" s="241"/>
      <c r="M192" s="241"/>
      <c r="N192" s="155" t="s">
        <v>226</v>
      </c>
      <c r="O192" s="241"/>
      <c r="P192" s="241"/>
      <c r="Q192" s="241"/>
      <c r="R192" s="241"/>
      <c r="S192" s="241"/>
      <c r="T192" s="241"/>
      <c r="U192" s="241"/>
      <c r="V192" s="241"/>
      <c r="W192" s="241"/>
      <c r="X192" s="241"/>
      <c r="Y192" s="253"/>
    </row>
    <row r="193" spans="1:25" x14ac:dyDescent="0.25">
      <c r="A193" s="252"/>
      <c r="B193" s="241"/>
      <c r="C193" s="252"/>
      <c r="D193" s="241"/>
      <c r="E193" s="149" t="s">
        <v>210</v>
      </c>
      <c r="F193" s="287" t="s">
        <v>211</v>
      </c>
      <c r="G193" s="287"/>
      <c r="H193" s="241">
        <f>ROUNDUP(((MAX(C164:C193)-MIN(C164:C193))/10),0)</f>
        <v>1</v>
      </c>
      <c r="I193" s="241"/>
      <c r="J193" s="241"/>
      <c r="K193" s="377" t="s">
        <v>510</v>
      </c>
      <c r="L193" s="378"/>
      <c r="M193" s="378"/>
      <c r="N193" s="155"/>
      <c r="O193" s="241"/>
      <c r="P193" s="241"/>
      <c r="Q193" s="241"/>
      <c r="R193" s="241"/>
      <c r="S193" s="241"/>
      <c r="T193" s="241"/>
      <c r="U193" s="241"/>
      <c r="V193" s="241"/>
      <c r="W193" s="241"/>
      <c r="X193" s="241"/>
      <c r="Y193" s="253"/>
    </row>
    <row r="194" spans="1:25" ht="15.75" thickBot="1" x14ac:dyDescent="0.3">
      <c r="A194" s="252"/>
      <c r="B194" s="241"/>
      <c r="C194" s="252"/>
      <c r="D194" s="241"/>
      <c r="E194" s="241"/>
      <c r="F194" s="241"/>
      <c r="G194" s="241"/>
      <c r="H194" s="241"/>
      <c r="I194" s="241"/>
      <c r="J194" s="241"/>
      <c r="K194" s="207"/>
      <c r="L194" s="207"/>
      <c r="M194" s="208" t="s">
        <v>223</v>
      </c>
      <c r="N194" s="541">
        <f>_xlfn.CHISQ.INV.RT(0.05,4)</f>
        <v>9.4877290367811575</v>
      </c>
      <c r="O194" s="241"/>
      <c r="P194" s="241"/>
      <c r="Q194" s="241"/>
      <c r="R194" s="241"/>
      <c r="S194" s="241"/>
      <c r="T194" s="241"/>
      <c r="U194" s="241"/>
      <c r="V194" s="241"/>
      <c r="W194" s="241"/>
      <c r="X194" s="241"/>
      <c r="Y194" s="253"/>
    </row>
    <row r="195" spans="1:25" ht="15.75" thickBot="1" x14ac:dyDescent="0.3">
      <c r="A195" s="252"/>
      <c r="B195" s="241"/>
      <c r="C195" s="252"/>
      <c r="D195" s="241"/>
      <c r="E195" s="241"/>
      <c r="F195" s="241"/>
      <c r="G195" s="241"/>
      <c r="H195" s="241"/>
      <c r="I195" s="241"/>
      <c r="J195" s="241"/>
      <c r="K195" s="325" t="s">
        <v>415</v>
      </c>
      <c r="L195" s="325"/>
      <c r="M195" s="325"/>
      <c r="N195" s="325"/>
      <c r="O195" s="241"/>
      <c r="P195" s="241"/>
      <c r="Q195" s="241"/>
      <c r="R195" s="241"/>
      <c r="S195" s="241"/>
      <c r="T195" s="241"/>
      <c r="U195" s="241"/>
      <c r="V195" s="241"/>
      <c r="W195" s="241"/>
      <c r="X195" s="241"/>
      <c r="Y195" s="253"/>
    </row>
    <row r="196" spans="1:25" x14ac:dyDescent="0.25">
      <c r="A196" s="252"/>
      <c r="B196" s="241"/>
      <c r="C196" s="252"/>
      <c r="D196" s="241"/>
      <c r="E196" s="241"/>
      <c r="F196" s="241"/>
      <c r="G196" s="241"/>
      <c r="H196" s="241"/>
      <c r="I196" s="241"/>
      <c r="J196" s="241"/>
      <c r="K196" s="290" t="s">
        <v>225</v>
      </c>
      <c r="L196" s="291"/>
      <c r="M196" s="291"/>
      <c r="N196" s="292"/>
      <c r="O196" s="241"/>
      <c r="P196" s="241"/>
      <c r="Q196" s="241"/>
      <c r="R196" s="241"/>
      <c r="S196" s="241"/>
      <c r="T196" s="241"/>
      <c r="U196" s="241"/>
      <c r="V196" s="241"/>
      <c r="W196" s="241"/>
      <c r="X196" s="241"/>
      <c r="Y196" s="253"/>
    </row>
    <row r="197" spans="1:25" x14ac:dyDescent="0.25">
      <c r="A197" s="252"/>
      <c r="B197" s="241"/>
      <c r="C197" s="252"/>
      <c r="D197" s="241"/>
      <c r="E197" s="241"/>
      <c r="F197" s="241"/>
      <c r="G197" s="241"/>
      <c r="H197" s="241"/>
      <c r="I197" s="241"/>
      <c r="J197" s="241"/>
      <c r="K197" s="293" t="s">
        <v>224</v>
      </c>
      <c r="L197" s="294"/>
      <c r="M197" s="294"/>
      <c r="N197" s="295"/>
      <c r="O197" s="241"/>
      <c r="P197" s="241"/>
      <c r="Q197" s="241"/>
      <c r="R197" s="241"/>
      <c r="S197" s="241"/>
      <c r="T197" s="241"/>
      <c r="U197" s="241"/>
      <c r="V197" s="241"/>
      <c r="W197" s="241"/>
      <c r="X197" s="241"/>
      <c r="Y197" s="253"/>
    </row>
    <row r="198" spans="1:25" ht="15.75" thickBot="1" x14ac:dyDescent="0.3">
      <c r="A198" s="252"/>
      <c r="B198" s="241"/>
      <c r="C198" s="252"/>
      <c r="D198" s="241"/>
      <c r="E198" s="241"/>
      <c r="F198" s="241"/>
      <c r="G198" s="241"/>
      <c r="H198" s="241"/>
      <c r="I198" s="241"/>
      <c r="J198" s="241"/>
      <c r="K198" s="296" t="s">
        <v>557</v>
      </c>
      <c r="L198" s="297"/>
      <c r="M198" s="297"/>
      <c r="N198" s="298"/>
      <c r="O198" s="241"/>
      <c r="P198" s="241"/>
      <c r="Q198" s="241"/>
      <c r="R198" s="241"/>
      <c r="S198" s="241"/>
      <c r="T198" s="241"/>
      <c r="U198" s="241"/>
      <c r="V198" s="241"/>
      <c r="W198" s="241"/>
      <c r="X198" s="241"/>
      <c r="Y198" s="253"/>
    </row>
    <row r="199" spans="1:25" ht="15.75" thickBot="1" x14ac:dyDescent="0.3">
      <c r="A199" s="544"/>
      <c r="B199" s="185"/>
      <c r="C199" s="137"/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241"/>
      <c r="W199" s="241"/>
      <c r="X199" s="241"/>
      <c r="Y199" s="253"/>
    </row>
    <row r="200" spans="1:25" x14ac:dyDescent="0.25">
      <c r="A200" s="544"/>
      <c r="B200" s="185"/>
      <c r="C200" s="546" t="s">
        <v>251</v>
      </c>
      <c r="D200" s="326"/>
      <c r="E200" s="326"/>
      <c r="F200" s="326"/>
      <c r="G200" s="326"/>
      <c r="H200" s="326"/>
      <c r="I200" s="326"/>
      <c r="J200" s="326"/>
      <c r="K200" s="326"/>
      <c r="L200" s="326"/>
      <c r="M200" s="326"/>
      <c r="N200" s="326"/>
      <c r="O200" s="326"/>
      <c r="P200" s="326"/>
      <c r="Q200" s="326"/>
      <c r="R200" s="326"/>
      <c r="S200" s="326"/>
      <c r="T200" s="326"/>
      <c r="U200" s="326"/>
      <c r="V200" s="326"/>
      <c r="W200" s="326"/>
      <c r="X200" s="326"/>
      <c r="Y200" s="547"/>
    </row>
    <row r="201" spans="1:25" x14ac:dyDescent="0.25">
      <c r="A201" s="544"/>
      <c r="B201" s="185"/>
      <c r="C201" s="241"/>
      <c r="D201" s="241"/>
      <c r="E201" s="241"/>
      <c r="F201" s="241"/>
      <c r="G201" s="241"/>
      <c r="H201" s="241"/>
      <c r="I201" s="241"/>
      <c r="J201" s="241"/>
      <c r="K201" s="241"/>
      <c r="L201" s="241"/>
      <c r="M201" s="241"/>
      <c r="N201" s="241"/>
      <c r="O201" s="241"/>
      <c r="P201" s="241"/>
      <c r="Q201" s="241"/>
      <c r="R201" s="241"/>
      <c r="S201" s="241"/>
      <c r="T201" s="241"/>
      <c r="U201" s="241"/>
      <c r="V201" s="241"/>
      <c r="W201" s="241"/>
      <c r="X201" s="241"/>
      <c r="Y201" s="253"/>
    </row>
    <row r="202" spans="1:25" x14ac:dyDescent="0.25">
      <c r="A202" s="544"/>
      <c r="B202" s="185"/>
      <c r="C202" s="241"/>
      <c r="D202" s="241"/>
      <c r="E202" s="241"/>
      <c r="F202" s="241"/>
      <c r="G202" s="241"/>
      <c r="H202" s="241"/>
      <c r="I202" s="241"/>
      <c r="J202" s="241"/>
      <c r="K202" s="241"/>
      <c r="L202" s="241"/>
      <c r="M202" s="241"/>
      <c r="N202" s="241"/>
      <c r="O202" s="241"/>
      <c r="P202" s="241"/>
      <c r="Q202" s="241"/>
      <c r="R202" s="241"/>
      <c r="S202" s="241"/>
      <c r="T202" s="241"/>
      <c r="U202" s="241"/>
      <c r="V202" s="241"/>
      <c r="W202" s="241"/>
      <c r="X202" s="241"/>
      <c r="Y202" s="253"/>
    </row>
    <row r="203" spans="1:25" x14ac:dyDescent="0.25">
      <c r="A203" s="252"/>
      <c r="B203" s="241"/>
      <c r="C203" s="241"/>
      <c r="D203" s="241"/>
      <c r="E203" s="241"/>
      <c r="F203" s="241"/>
      <c r="G203" s="241"/>
      <c r="H203" s="241"/>
      <c r="I203" s="241"/>
      <c r="J203" s="241"/>
      <c r="K203" s="241"/>
      <c r="L203" s="241"/>
      <c r="M203" s="241"/>
      <c r="N203" s="241"/>
      <c r="O203" s="241"/>
      <c r="P203" s="241"/>
      <c r="Q203" s="241"/>
      <c r="R203" s="241"/>
      <c r="S203" s="241"/>
      <c r="T203" s="241"/>
      <c r="U203" s="241"/>
      <c r="V203" s="241"/>
      <c r="W203" s="241"/>
      <c r="X203" s="241"/>
      <c r="Y203" s="253"/>
    </row>
    <row r="204" spans="1:25" ht="15.75" thickBot="1" x14ac:dyDescent="0.3">
      <c r="A204" s="252"/>
      <c r="B204" s="241"/>
      <c r="C204" s="241"/>
      <c r="D204" s="241"/>
      <c r="E204" s="241"/>
      <c r="F204" s="241"/>
      <c r="G204" s="241"/>
      <c r="H204" s="241"/>
      <c r="I204" s="241"/>
      <c r="J204" s="241"/>
      <c r="K204" s="241"/>
      <c r="L204" s="241"/>
      <c r="M204" s="241"/>
      <c r="N204" s="241"/>
      <c r="O204" s="241"/>
      <c r="P204" s="241"/>
      <c r="Q204" s="241"/>
      <c r="R204" s="241"/>
      <c r="S204" s="241"/>
      <c r="T204" s="241"/>
      <c r="U204" s="241"/>
      <c r="V204" s="241"/>
      <c r="W204" s="241"/>
      <c r="X204" s="241"/>
      <c r="Y204" s="253"/>
    </row>
    <row r="205" spans="1:25" ht="15.75" thickBot="1" x14ac:dyDescent="0.3">
      <c r="A205" s="548" t="s">
        <v>14</v>
      </c>
      <c r="B205" s="242" t="s">
        <v>380</v>
      </c>
      <c r="C205" s="244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255"/>
    </row>
    <row r="206" spans="1:25" x14ac:dyDescent="0.25">
      <c r="A206" s="549"/>
      <c r="B206" s="341"/>
      <c r="C206" s="324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255"/>
    </row>
    <row r="207" spans="1:25" x14ac:dyDescent="0.25">
      <c r="A207" s="550" t="s">
        <v>15</v>
      </c>
      <c r="B207" s="343" t="s">
        <v>258</v>
      </c>
      <c r="C207" s="344"/>
      <c r="D207" s="241"/>
      <c r="E207" s="241"/>
      <c r="F207" s="241"/>
      <c r="G207" s="241"/>
      <c r="H207" s="241"/>
      <c r="I207" s="241"/>
      <c r="J207" s="241"/>
      <c r="K207" s="241"/>
      <c r="L207" s="241"/>
      <c r="M207" s="241"/>
      <c r="N207" s="241"/>
      <c r="O207" s="241"/>
      <c r="P207" s="241"/>
      <c r="Q207" s="241"/>
      <c r="R207" s="241"/>
      <c r="S207" s="241"/>
      <c r="T207" s="241"/>
      <c r="U207" s="241"/>
      <c r="V207" s="241"/>
      <c r="W207" s="241"/>
      <c r="X207" s="241"/>
      <c r="Y207" s="253"/>
    </row>
    <row r="208" spans="1:25" x14ac:dyDescent="0.25">
      <c r="A208" s="252"/>
      <c r="B208" s="249" t="s">
        <v>254</v>
      </c>
      <c r="C208" s="250"/>
      <c r="D208" s="241"/>
      <c r="E208" s="241"/>
      <c r="F208" s="241"/>
      <c r="G208" s="241"/>
      <c r="H208" s="241"/>
      <c r="I208" s="241"/>
      <c r="J208" s="241"/>
      <c r="K208" s="241"/>
      <c r="L208" s="241"/>
      <c r="M208" s="241"/>
      <c r="N208" s="241"/>
      <c r="O208" s="241"/>
      <c r="P208" s="241"/>
      <c r="Q208" s="241"/>
      <c r="R208" s="241"/>
      <c r="S208" s="241"/>
      <c r="T208" s="241"/>
      <c r="U208" s="241"/>
      <c r="V208" s="241"/>
      <c r="W208" s="241"/>
      <c r="X208" s="241"/>
      <c r="Y208" s="253"/>
    </row>
    <row r="209" spans="1:25" ht="15.75" thickBot="1" x14ac:dyDescent="0.3">
      <c r="A209" s="550"/>
      <c r="B209" s="249"/>
      <c r="C209" s="250"/>
      <c r="D209" s="241"/>
      <c r="E209" s="241"/>
      <c r="F209" s="241"/>
      <c r="G209" s="241"/>
      <c r="H209" s="241"/>
      <c r="I209" s="241"/>
      <c r="J209" s="241"/>
      <c r="K209" s="241"/>
      <c r="L209" s="241"/>
      <c r="M209" s="241"/>
      <c r="N209" s="241"/>
      <c r="O209" s="241"/>
      <c r="P209" s="241"/>
      <c r="Q209" s="241"/>
      <c r="R209" s="241"/>
      <c r="S209" s="241"/>
      <c r="T209" s="241"/>
      <c r="U209" s="241"/>
      <c r="V209" s="241"/>
      <c r="W209" s="241"/>
      <c r="X209" s="241"/>
      <c r="Y209" s="253"/>
    </row>
    <row r="210" spans="1:25" x14ac:dyDescent="0.25">
      <c r="A210" s="254"/>
      <c r="B210" s="243"/>
      <c r="C210" s="243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255"/>
    </row>
    <row r="211" spans="1:25" x14ac:dyDescent="0.25">
      <c r="A211" s="233" t="s">
        <v>16</v>
      </c>
      <c r="B211" s="342"/>
      <c r="C211" s="342"/>
      <c r="D211" s="241"/>
      <c r="E211" s="241"/>
      <c r="F211" s="241"/>
      <c r="G211" s="241"/>
      <c r="H211" s="241"/>
      <c r="I211" s="241"/>
      <c r="J211" s="241"/>
      <c r="K211" s="241"/>
      <c r="L211" s="241"/>
      <c r="M211" s="241"/>
      <c r="N211" s="241"/>
      <c r="O211" s="241"/>
      <c r="P211" s="241"/>
      <c r="Q211" s="241"/>
      <c r="R211" s="241"/>
      <c r="S211" s="241"/>
      <c r="T211" s="241"/>
      <c r="U211" s="241"/>
      <c r="V211" s="241"/>
      <c r="W211" s="241"/>
      <c r="X211" s="241"/>
      <c r="Y211" s="253"/>
    </row>
    <row r="212" spans="1:25" x14ac:dyDescent="0.25">
      <c r="A212" s="252"/>
      <c r="B212" s="241" t="s">
        <v>260</v>
      </c>
      <c r="C212" s="241"/>
      <c r="D212" s="241"/>
      <c r="E212" s="241"/>
      <c r="F212" s="241"/>
      <c r="G212" s="241"/>
      <c r="H212" s="241"/>
      <c r="I212" s="241"/>
      <c r="J212" s="241"/>
      <c r="K212" s="241"/>
      <c r="L212" s="241"/>
      <c r="M212" s="241"/>
      <c r="N212" s="241"/>
      <c r="O212" s="241"/>
      <c r="P212" s="241"/>
      <c r="Q212" s="241"/>
      <c r="R212" s="241"/>
      <c r="S212" s="241"/>
      <c r="T212" s="241"/>
      <c r="U212" s="241"/>
      <c r="V212" s="241"/>
      <c r="W212" s="241"/>
      <c r="X212" s="241"/>
      <c r="Y212" s="253"/>
    </row>
    <row r="213" spans="1:25" x14ac:dyDescent="0.25">
      <c r="A213" s="252"/>
      <c r="B213" s="241" t="s">
        <v>261</v>
      </c>
      <c r="C213" s="241"/>
      <c r="D213" s="241"/>
      <c r="E213" s="241"/>
      <c r="F213" s="241"/>
      <c r="G213" s="241"/>
      <c r="H213" s="241"/>
      <c r="I213" s="241"/>
      <c r="J213" s="241"/>
      <c r="K213" s="241"/>
      <c r="L213" s="241"/>
      <c r="M213" s="241"/>
      <c r="N213" s="241"/>
      <c r="O213" s="241"/>
      <c r="P213" s="241"/>
      <c r="Q213" s="241"/>
      <c r="R213" s="241"/>
      <c r="S213" s="241"/>
      <c r="T213" s="241"/>
      <c r="U213" s="241"/>
      <c r="V213" s="241"/>
      <c r="W213" s="241"/>
      <c r="X213" s="241"/>
      <c r="Y213" s="253"/>
    </row>
    <row r="214" spans="1:25" x14ac:dyDescent="0.25">
      <c r="A214" s="252"/>
      <c r="B214" s="241" t="s">
        <v>262</v>
      </c>
      <c r="C214" s="241"/>
      <c r="D214" s="241"/>
      <c r="E214" s="241"/>
      <c r="F214" s="241"/>
      <c r="G214" s="241"/>
      <c r="H214" s="241"/>
      <c r="I214" s="241"/>
      <c r="J214" s="241"/>
      <c r="K214" s="241"/>
      <c r="L214" s="241"/>
      <c r="M214" s="241"/>
      <c r="N214" s="241"/>
      <c r="O214" s="241"/>
      <c r="P214" s="241"/>
      <c r="Q214" s="241"/>
      <c r="R214" s="241"/>
      <c r="S214" s="241"/>
      <c r="T214" s="241"/>
      <c r="U214" s="241"/>
      <c r="V214" s="241"/>
      <c r="W214" s="241"/>
      <c r="X214" s="241"/>
      <c r="Y214" s="253"/>
    </row>
    <row r="215" spans="1:25" x14ac:dyDescent="0.25">
      <c r="A215" s="252"/>
      <c r="B215" s="241" t="s">
        <v>263</v>
      </c>
      <c r="C215" s="241"/>
      <c r="D215" s="241"/>
      <c r="E215" s="241"/>
      <c r="F215" s="241"/>
      <c r="G215" s="241"/>
      <c r="H215" s="241"/>
      <c r="I215" s="241"/>
      <c r="J215" s="241"/>
      <c r="K215" s="241"/>
      <c r="L215" s="241"/>
      <c r="M215" s="241"/>
      <c r="N215" s="241"/>
      <c r="O215" s="241"/>
      <c r="P215" s="241"/>
      <c r="Q215" s="241"/>
      <c r="R215" s="241"/>
      <c r="S215" s="241"/>
      <c r="T215" s="241"/>
      <c r="U215" s="241"/>
      <c r="V215" s="241"/>
      <c r="W215" s="241"/>
      <c r="X215" s="241"/>
      <c r="Y215" s="253"/>
    </row>
    <row r="216" spans="1:25" x14ac:dyDescent="0.25">
      <c r="A216" s="252"/>
      <c r="B216" s="241" t="s">
        <v>264</v>
      </c>
      <c r="C216" s="241"/>
      <c r="D216" s="241"/>
      <c r="E216" s="241"/>
      <c r="F216" s="241"/>
      <c r="G216" s="241"/>
      <c r="H216" s="241"/>
      <c r="I216" s="241"/>
      <c r="J216" s="241"/>
      <c r="K216" s="241"/>
      <c r="L216" s="241"/>
      <c r="M216" s="241"/>
      <c r="N216" s="241"/>
      <c r="O216" s="241"/>
      <c r="P216" s="241"/>
      <c r="Q216" s="241"/>
      <c r="R216" s="241"/>
      <c r="S216" s="241"/>
      <c r="T216" s="241"/>
      <c r="U216" s="241"/>
      <c r="V216" s="241"/>
      <c r="W216" s="241"/>
      <c r="X216" s="241"/>
      <c r="Y216" s="253"/>
    </row>
    <row r="217" spans="1:25" x14ac:dyDescent="0.25">
      <c r="A217" s="252"/>
      <c r="B217" s="241" t="s">
        <v>537</v>
      </c>
      <c r="C217" s="241"/>
      <c r="D217" s="241"/>
      <c r="E217" s="241"/>
      <c r="F217" s="241"/>
      <c r="G217" s="241"/>
      <c r="H217" s="241"/>
      <c r="I217" s="241"/>
      <c r="J217" s="241"/>
      <c r="K217" s="241"/>
      <c r="L217" s="241"/>
      <c r="M217" s="241"/>
      <c r="N217" s="241"/>
      <c r="O217" s="241"/>
      <c r="P217" s="241"/>
      <c r="Q217" s="241"/>
      <c r="R217" s="241"/>
      <c r="S217" s="241"/>
      <c r="T217" s="241"/>
      <c r="U217" s="241"/>
      <c r="V217" s="241"/>
      <c r="W217" s="241"/>
      <c r="X217" s="241"/>
      <c r="Y217" s="253"/>
    </row>
    <row r="218" spans="1:25" x14ac:dyDescent="0.25">
      <c r="A218" s="252"/>
      <c r="B218" s="241" t="s">
        <v>538</v>
      </c>
      <c r="C218" s="241"/>
      <c r="D218" s="241"/>
      <c r="E218" s="241"/>
      <c r="F218" s="241"/>
      <c r="G218" s="241"/>
      <c r="H218" s="241"/>
      <c r="I218" s="241"/>
      <c r="J218" s="241"/>
      <c r="K218" s="241"/>
      <c r="L218" s="241"/>
      <c r="M218" s="241"/>
      <c r="N218" s="241"/>
      <c r="O218" s="241"/>
      <c r="P218" s="241"/>
      <c r="Q218" s="241"/>
      <c r="R218" s="241"/>
      <c r="S218" s="241"/>
      <c r="T218" s="241"/>
      <c r="U218" s="241"/>
      <c r="V218" s="241"/>
      <c r="W218" s="241"/>
      <c r="X218" s="241"/>
      <c r="Y218" s="253"/>
    </row>
    <row r="219" spans="1:25" x14ac:dyDescent="0.25">
      <c r="A219" s="252"/>
      <c r="B219" s="241"/>
      <c r="C219" s="241"/>
      <c r="D219" s="241"/>
      <c r="E219" s="241"/>
      <c r="F219" s="241"/>
      <c r="G219" s="241"/>
      <c r="H219" s="241"/>
      <c r="I219" s="241"/>
      <c r="J219" s="241"/>
      <c r="K219" s="241"/>
      <c r="L219" s="241"/>
      <c r="M219" s="241"/>
      <c r="N219" s="241"/>
      <c r="O219" s="241"/>
      <c r="P219" s="241"/>
      <c r="Q219" s="241"/>
      <c r="R219" s="241"/>
      <c r="S219" s="241"/>
      <c r="T219" s="241"/>
      <c r="U219" s="241"/>
      <c r="V219" s="241"/>
      <c r="W219" s="241"/>
      <c r="X219" s="241"/>
      <c r="Y219" s="253"/>
    </row>
    <row r="220" spans="1:25" x14ac:dyDescent="0.25">
      <c r="A220" s="252"/>
      <c r="B220" s="241"/>
      <c r="C220" s="241"/>
      <c r="D220" s="241"/>
      <c r="E220" s="241"/>
      <c r="F220" s="241"/>
      <c r="G220" s="241"/>
      <c r="H220" s="241"/>
      <c r="I220" s="241"/>
      <c r="J220" s="241"/>
      <c r="K220" s="241"/>
      <c r="L220" s="241"/>
      <c r="M220" s="241"/>
      <c r="N220" s="241"/>
      <c r="O220" s="241"/>
      <c r="P220" s="241"/>
      <c r="Q220" s="241"/>
      <c r="R220" s="241"/>
      <c r="S220" s="241"/>
      <c r="T220" s="241"/>
      <c r="U220" s="241"/>
      <c r="V220" s="241"/>
      <c r="W220" s="241"/>
      <c r="X220" s="241"/>
      <c r="Y220" s="253"/>
    </row>
    <row r="221" spans="1:25" x14ac:dyDescent="0.25">
      <c r="A221" s="252"/>
      <c r="B221" s="241"/>
      <c r="C221" s="241"/>
      <c r="D221" s="241"/>
      <c r="E221" s="241"/>
      <c r="F221" s="241"/>
      <c r="G221" s="241"/>
      <c r="H221" s="241"/>
      <c r="I221" s="241"/>
      <c r="J221" s="241"/>
      <c r="K221" s="241"/>
      <c r="L221" s="241"/>
      <c r="M221" s="241"/>
      <c r="N221" s="241"/>
      <c r="O221" s="241"/>
      <c r="P221" s="241"/>
      <c r="Q221" s="241"/>
      <c r="R221" s="241"/>
      <c r="S221" s="241"/>
      <c r="T221" s="241"/>
      <c r="U221" s="241"/>
      <c r="V221" s="241"/>
      <c r="W221" s="241"/>
      <c r="X221" s="241"/>
      <c r="Y221" s="253"/>
    </row>
    <row r="222" spans="1:25" x14ac:dyDescent="0.25">
      <c r="A222" s="252"/>
      <c r="B222" s="241"/>
      <c r="C222" s="241"/>
      <c r="D222" s="241"/>
      <c r="E222" s="241"/>
      <c r="F222" s="241"/>
      <c r="G222" s="241"/>
      <c r="H222" s="241"/>
      <c r="I222" s="241"/>
      <c r="J222" s="241"/>
      <c r="K222" s="241"/>
      <c r="L222" s="241"/>
      <c r="M222" s="241"/>
      <c r="N222" s="241"/>
      <c r="O222" s="241"/>
      <c r="P222" s="241"/>
      <c r="Q222" s="241"/>
      <c r="R222" s="241"/>
      <c r="S222" s="241"/>
      <c r="T222" s="241"/>
      <c r="U222" s="241"/>
      <c r="V222" s="241"/>
      <c r="W222" s="241"/>
      <c r="X222" s="241"/>
      <c r="Y222" s="253"/>
    </row>
    <row r="223" spans="1:25" x14ac:dyDescent="0.25">
      <c r="A223" s="252"/>
      <c r="B223" s="241"/>
      <c r="C223" s="241"/>
      <c r="D223" s="241"/>
      <c r="E223" s="241"/>
      <c r="F223" s="241"/>
      <c r="G223" s="241"/>
      <c r="H223" s="241"/>
      <c r="I223" s="241"/>
      <c r="J223" s="241"/>
      <c r="K223" s="241"/>
      <c r="L223" s="241"/>
      <c r="M223" s="241"/>
      <c r="N223" s="241"/>
      <c r="O223" s="241"/>
      <c r="P223" s="241"/>
      <c r="Q223" s="241"/>
      <c r="R223" s="241"/>
      <c r="S223" s="241"/>
      <c r="T223" s="241"/>
      <c r="U223" s="241"/>
      <c r="V223" s="241"/>
      <c r="W223" s="241"/>
      <c r="X223" s="241"/>
      <c r="Y223" s="253"/>
    </row>
    <row r="224" spans="1:25" x14ac:dyDescent="0.25">
      <c r="A224" s="252"/>
      <c r="B224" s="241"/>
      <c r="C224" s="241"/>
      <c r="D224" s="241"/>
      <c r="E224" s="241"/>
      <c r="F224" s="241"/>
      <c r="G224" s="241"/>
      <c r="H224" s="241"/>
      <c r="I224" s="241"/>
      <c r="J224" s="241"/>
      <c r="K224" s="241"/>
      <c r="L224" s="241"/>
      <c r="M224" s="241"/>
      <c r="N224" s="241"/>
      <c r="O224" s="241"/>
      <c r="P224" s="241"/>
      <c r="Q224" s="241"/>
      <c r="R224" s="241"/>
      <c r="S224" s="241"/>
      <c r="T224" s="241"/>
      <c r="U224" s="241"/>
      <c r="V224" s="241"/>
      <c r="W224" s="241"/>
      <c r="X224" s="241"/>
      <c r="Y224" s="253"/>
    </row>
    <row r="225" spans="1:25" x14ac:dyDescent="0.25">
      <c r="A225" s="252"/>
      <c r="B225" s="241"/>
      <c r="C225" s="241"/>
      <c r="D225" s="241"/>
      <c r="E225" s="241"/>
      <c r="F225" s="241"/>
      <c r="G225" s="241"/>
      <c r="H225" s="241"/>
      <c r="I225" s="241"/>
      <c r="J225" s="241"/>
      <c r="K225" s="241"/>
      <c r="L225" s="241"/>
      <c r="M225" s="241"/>
      <c r="N225" s="241"/>
      <c r="O225" s="241"/>
      <c r="P225" s="241"/>
      <c r="Q225" s="241"/>
      <c r="R225" s="241"/>
      <c r="S225" s="241"/>
      <c r="T225" s="241"/>
      <c r="U225" s="241"/>
      <c r="V225" s="241"/>
      <c r="W225" s="241"/>
      <c r="X225" s="241"/>
      <c r="Y225" s="253"/>
    </row>
    <row r="226" spans="1:25" x14ac:dyDescent="0.25">
      <c r="A226" s="252"/>
      <c r="B226" s="241"/>
      <c r="C226" s="241"/>
      <c r="D226" s="241"/>
      <c r="E226" s="241"/>
      <c r="F226" s="241"/>
      <c r="G226" s="241"/>
      <c r="H226" s="241"/>
      <c r="I226" s="241"/>
      <c r="J226" s="241"/>
      <c r="K226" s="241"/>
      <c r="L226" s="241"/>
      <c r="M226" s="241"/>
      <c r="N226" s="241"/>
      <c r="O226" s="241"/>
      <c r="P226" s="241"/>
      <c r="Q226" s="241"/>
      <c r="R226" s="241"/>
      <c r="S226" s="241"/>
      <c r="T226" s="241"/>
      <c r="U226" s="241"/>
      <c r="V226" s="241"/>
      <c r="W226" s="241"/>
      <c r="X226" s="241"/>
      <c r="Y226" s="253"/>
    </row>
    <row r="227" spans="1:25" x14ac:dyDescent="0.25">
      <c r="A227" s="252"/>
      <c r="B227" s="241"/>
      <c r="C227" s="241"/>
      <c r="D227" s="241"/>
      <c r="E227" s="241"/>
      <c r="F227" s="241"/>
      <c r="G227" s="241"/>
      <c r="H227" s="241"/>
      <c r="I227" s="241"/>
      <c r="J227" s="241"/>
      <c r="K227" s="241"/>
      <c r="L227" s="241"/>
      <c r="M227" s="241"/>
      <c r="N227" s="241"/>
      <c r="O227" s="241"/>
      <c r="P227" s="241"/>
      <c r="Q227" s="241"/>
      <c r="R227" s="241"/>
      <c r="S227" s="241"/>
      <c r="T227" s="241"/>
      <c r="U227" s="241"/>
      <c r="V227" s="241"/>
      <c r="W227" s="241"/>
      <c r="X227" s="241"/>
      <c r="Y227" s="253"/>
    </row>
    <row r="228" spans="1:25" x14ac:dyDescent="0.25">
      <c r="A228" s="252"/>
      <c r="B228" s="241"/>
      <c r="C228" s="241"/>
      <c r="D228" s="241"/>
      <c r="E228" s="241"/>
      <c r="F228" s="241"/>
      <c r="G228" s="241"/>
      <c r="H228" s="241"/>
      <c r="I228" s="241"/>
      <c r="J228" s="241"/>
      <c r="K228" s="241"/>
      <c r="L228" s="241"/>
      <c r="M228" s="241"/>
      <c r="N228" s="241"/>
      <c r="O228" s="241"/>
      <c r="P228" s="241"/>
      <c r="Q228" s="241"/>
      <c r="R228" s="241"/>
      <c r="S228" s="241"/>
      <c r="T228" s="241"/>
      <c r="U228" s="241"/>
      <c r="V228" s="241"/>
      <c r="W228" s="241"/>
      <c r="X228" s="241"/>
      <c r="Y228" s="253"/>
    </row>
    <row r="229" spans="1:25" x14ac:dyDescent="0.25">
      <c r="A229" s="252"/>
      <c r="B229" s="241"/>
      <c r="C229" s="241"/>
      <c r="D229" s="241"/>
      <c r="E229" s="241"/>
      <c r="F229" s="241"/>
      <c r="G229" s="241"/>
      <c r="H229" s="241"/>
      <c r="I229" s="241"/>
      <c r="J229" s="241"/>
      <c r="K229" s="241"/>
      <c r="L229" s="241"/>
      <c r="M229" s="241"/>
      <c r="N229" s="241"/>
      <c r="O229" s="241"/>
      <c r="P229" s="241"/>
      <c r="Q229" s="241"/>
      <c r="R229" s="241"/>
      <c r="S229" s="241"/>
      <c r="T229" s="241"/>
      <c r="U229" s="241"/>
      <c r="V229" s="241"/>
      <c r="W229" s="241"/>
      <c r="X229" s="241"/>
      <c r="Y229" s="253"/>
    </row>
    <row r="230" spans="1:25" x14ac:dyDescent="0.25">
      <c r="A230" s="252"/>
      <c r="B230" s="241"/>
      <c r="C230" s="241"/>
      <c r="D230" s="241"/>
      <c r="E230" s="241"/>
      <c r="F230" s="241"/>
      <c r="G230" s="241"/>
      <c r="H230" s="241"/>
      <c r="I230" s="241"/>
      <c r="J230" s="241"/>
      <c r="K230" s="241"/>
      <c r="L230" s="241"/>
      <c r="M230" s="241"/>
      <c r="N230" s="241"/>
      <c r="O230" s="241"/>
      <c r="P230" s="241"/>
      <c r="Q230" s="241"/>
      <c r="R230" s="241"/>
      <c r="S230" s="241"/>
      <c r="T230" s="241"/>
      <c r="U230" s="241"/>
      <c r="V230" s="241"/>
      <c r="W230" s="241"/>
      <c r="X230" s="241"/>
      <c r="Y230" s="253"/>
    </row>
    <row r="231" spans="1:25" x14ac:dyDescent="0.25">
      <c r="A231" s="252"/>
      <c r="B231" s="241"/>
      <c r="C231" s="241"/>
      <c r="D231" s="241"/>
      <c r="E231" s="241"/>
      <c r="F231" s="241"/>
      <c r="G231" s="241"/>
      <c r="H231" s="241"/>
      <c r="I231" s="241"/>
      <c r="J231" s="241"/>
      <c r="K231" s="241"/>
      <c r="L231" s="241"/>
      <c r="M231" s="241"/>
      <c r="N231" s="241"/>
      <c r="O231" s="241"/>
      <c r="P231" s="241"/>
      <c r="Q231" s="241"/>
      <c r="R231" s="241"/>
      <c r="S231" s="241"/>
      <c r="T231" s="241"/>
      <c r="U231" s="241"/>
      <c r="V231" s="241"/>
      <c r="W231" s="241"/>
      <c r="X231" s="241"/>
      <c r="Y231" s="253"/>
    </row>
    <row r="232" spans="1:25" x14ac:dyDescent="0.25">
      <c r="A232" s="252"/>
      <c r="B232" s="241"/>
      <c r="C232" s="241"/>
      <c r="D232" s="241"/>
      <c r="E232" s="241"/>
      <c r="F232" s="241"/>
      <c r="G232" s="241"/>
      <c r="H232" s="241"/>
      <c r="I232" s="241"/>
      <c r="J232" s="241"/>
      <c r="K232" s="241"/>
      <c r="L232" s="241"/>
      <c r="M232" s="241"/>
      <c r="N232" s="241"/>
      <c r="O232" s="241"/>
      <c r="P232" s="241"/>
      <c r="Q232" s="241"/>
      <c r="R232" s="241"/>
      <c r="S232" s="241"/>
      <c r="T232" s="241"/>
      <c r="U232" s="241"/>
      <c r="V232" s="241"/>
      <c r="W232" s="241"/>
      <c r="X232" s="241"/>
      <c r="Y232" s="253"/>
    </row>
    <row r="233" spans="1:25" x14ac:dyDescent="0.25">
      <c r="A233" s="252"/>
      <c r="B233" s="241"/>
      <c r="C233" s="241"/>
      <c r="D233" s="241"/>
      <c r="E233" s="241"/>
      <c r="F233" s="241"/>
      <c r="G233" s="241"/>
      <c r="H233" s="241"/>
      <c r="I233" s="241"/>
      <c r="J233" s="241"/>
      <c r="K233" s="241"/>
      <c r="L233" s="241"/>
      <c r="M233" s="241"/>
      <c r="N233" s="241"/>
      <c r="O233" s="241"/>
      <c r="P233" s="241"/>
      <c r="Q233" s="241"/>
      <c r="R233" s="241"/>
      <c r="S233" s="241"/>
      <c r="T233" s="241"/>
      <c r="U233" s="241"/>
      <c r="V233" s="241"/>
      <c r="W233" s="241"/>
      <c r="X233" s="241"/>
      <c r="Y233" s="253"/>
    </row>
    <row r="234" spans="1:25" x14ac:dyDescent="0.25">
      <c r="A234" s="252"/>
      <c r="B234" s="241"/>
      <c r="C234" s="241"/>
      <c r="D234" s="241"/>
      <c r="E234" s="241"/>
      <c r="F234" s="241"/>
      <c r="G234" s="241"/>
      <c r="H234" s="241"/>
      <c r="I234" s="241"/>
      <c r="J234" s="241"/>
      <c r="K234" s="241"/>
      <c r="L234" s="241"/>
      <c r="M234" s="241"/>
      <c r="N234" s="241"/>
      <c r="O234" s="241"/>
      <c r="P234" s="241"/>
      <c r="Q234" s="241"/>
      <c r="R234" s="241"/>
      <c r="S234" s="241"/>
      <c r="T234" s="241"/>
      <c r="U234" s="241"/>
      <c r="V234" s="241"/>
      <c r="W234" s="241"/>
      <c r="X234" s="241"/>
      <c r="Y234" s="253"/>
    </row>
    <row r="235" spans="1:25" x14ac:dyDescent="0.25">
      <c r="A235" s="252"/>
      <c r="B235" s="241"/>
      <c r="C235" s="241"/>
      <c r="D235" s="241"/>
      <c r="E235" s="241"/>
      <c r="F235" s="241"/>
      <c r="G235" s="241"/>
      <c r="H235" s="241"/>
      <c r="I235" s="241"/>
      <c r="J235" s="241"/>
      <c r="K235" s="241"/>
      <c r="L235" s="241"/>
      <c r="M235" s="241"/>
      <c r="N235" s="241"/>
      <c r="O235" s="241"/>
      <c r="P235" s="241"/>
      <c r="Q235" s="241"/>
      <c r="R235" s="241"/>
      <c r="S235" s="241"/>
      <c r="T235" s="241"/>
      <c r="U235" s="241"/>
      <c r="V235" s="241"/>
      <c r="W235" s="241"/>
      <c r="X235" s="241"/>
      <c r="Y235" s="253"/>
    </row>
    <row r="236" spans="1:25" x14ac:dyDescent="0.25">
      <c r="A236" s="252"/>
      <c r="B236" s="241"/>
      <c r="C236" s="241"/>
      <c r="D236" s="241"/>
      <c r="E236" s="241"/>
      <c r="F236" s="241"/>
      <c r="G236" s="241"/>
      <c r="H236" s="241"/>
      <c r="I236" s="241"/>
      <c r="J236" s="241"/>
      <c r="K236" s="241"/>
      <c r="L236" s="241"/>
      <c r="M236" s="241"/>
      <c r="N236" s="241"/>
      <c r="O236" s="241"/>
      <c r="P236" s="241"/>
      <c r="Q236" s="241"/>
      <c r="R236" s="241"/>
      <c r="S236" s="241"/>
      <c r="T236" s="241"/>
      <c r="U236" s="241"/>
      <c r="V236" s="241"/>
      <c r="W236" s="241"/>
      <c r="X236" s="241"/>
      <c r="Y236" s="253"/>
    </row>
    <row r="237" spans="1:25" x14ac:dyDescent="0.25">
      <c r="A237" s="252"/>
      <c r="B237" s="241"/>
      <c r="C237" s="552" t="s">
        <v>158</v>
      </c>
      <c r="D237" s="241"/>
      <c r="E237" s="241"/>
      <c r="F237" s="241"/>
      <c r="G237" s="241"/>
      <c r="H237" s="241"/>
      <c r="I237" s="241"/>
      <c r="J237" s="241"/>
      <c r="K237" s="241"/>
      <c r="L237" s="241"/>
      <c r="M237" s="241"/>
      <c r="N237" s="241"/>
      <c r="O237" s="241"/>
      <c r="P237" s="241"/>
      <c r="Q237" s="241"/>
      <c r="R237" s="241"/>
      <c r="S237" s="241"/>
      <c r="T237" s="241"/>
      <c r="U237" s="241"/>
      <c r="V237" s="241"/>
      <c r="W237" s="241"/>
      <c r="X237" s="241"/>
      <c r="Y237" s="253"/>
    </row>
    <row r="238" spans="1:25" x14ac:dyDescent="0.25">
      <c r="A238" s="252"/>
      <c r="B238" s="241"/>
      <c r="C238" s="552" t="s">
        <v>265</v>
      </c>
      <c r="D238" s="241"/>
      <c r="E238" s="241"/>
      <c r="F238" s="241"/>
      <c r="G238" s="241"/>
      <c r="H238" s="241"/>
      <c r="I238" s="241"/>
      <c r="J238" s="241"/>
      <c r="K238" s="241"/>
      <c r="L238" s="241"/>
      <c r="M238" s="241"/>
      <c r="N238" s="241"/>
      <c r="O238" s="241"/>
      <c r="P238" s="241"/>
      <c r="Q238" s="241"/>
      <c r="R238" s="241"/>
      <c r="S238" s="241"/>
      <c r="T238" s="241"/>
      <c r="U238" s="241"/>
      <c r="V238" s="241"/>
      <c r="W238" s="241"/>
      <c r="X238" s="241"/>
      <c r="Y238" s="253"/>
    </row>
    <row r="239" spans="1:25" x14ac:dyDescent="0.25">
      <c r="A239" s="252"/>
      <c r="B239" s="241"/>
      <c r="C239" s="552" t="s">
        <v>266</v>
      </c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53"/>
    </row>
    <row r="240" spans="1:25" x14ac:dyDescent="0.25">
      <c r="A240" s="252"/>
      <c r="B240" s="241"/>
      <c r="C240" s="552"/>
      <c r="D240" s="241"/>
      <c r="E240" s="241"/>
      <c r="F240" s="241"/>
      <c r="G240" s="241"/>
      <c r="H240" s="241"/>
      <c r="I240" s="241"/>
      <c r="J240" s="241"/>
      <c r="K240" s="241"/>
      <c r="L240" s="241"/>
      <c r="M240" s="241"/>
      <c r="N240" s="241"/>
      <c r="O240" s="241"/>
      <c r="P240" s="241"/>
      <c r="Q240" s="241"/>
      <c r="R240" s="241"/>
      <c r="S240" s="241"/>
      <c r="T240" s="241"/>
      <c r="U240" s="241"/>
      <c r="V240" s="241"/>
      <c r="W240" s="241"/>
      <c r="X240" s="241"/>
      <c r="Y240" s="253"/>
    </row>
    <row r="241" spans="1:25" x14ac:dyDescent="0.25">
      <c r="A241" s="252"/>
      <c r="B241" s="241"/>
      <c r="C241" s="241"/>
      <c r="D241" s="241"/>
      <c r="E241" s="241"/>
      <c r="F241" s="241"/>
      <c r="G241" s="241"/>
      <c r="H241" s="241"/>
      <c r="I241" s="241"/>
      <c r="J241" s="241"/>
      <c r="K241" s="241"/>
      <c r="L241" s="241"/>
      <c r="M241" s="241"/>
      <c r="N241" s="241"/>
      <c r="O241" s="241"/>
      <c r="P241" s="241"/>
      <c r="Q241" s="241"/>
      <c r="R241" s="241"/>
      <c r="S241" s="241"/>
      <c r="T241" s="241"/>
      <c r="U241" s="241"/>
      <c r="V241" s="241"/>
      <c r="W241" s="241"/>
      <c r="X241" s="241"/>
      <c r="Y241" s="253"/>
    </row>
    <row r="242" spans="1:25" x14ac:dyDescent="0.25">
      <c r="A242" s="252"/>
      <c r="B242" s="241"/>
      <c r="C242" s="241"/>
      <c r="D242" s="241"/>
      <c r="E242" s="241"/>
      <c r="F242" s="241"/>
      <c r="G242" s="241"/>
      <c r="H242" s="241"/>
      <c r="I242" s="241"/>
      <c r="J242" s="241"/>
      <c r="K242" s="241"/>
      <c r="L242" s="241"/>
      <c r="M242" s="241"/>
      <c r="N242" s="241"/>
      <c r="O242" s="241"/>
      <c r="P242" s="241"/>
      <c r="Q242" s="241"/>
      <c r="R242" s="241"/>
      <c r="S242" s="241"/>
      <c r="T242" s="241"/>
      <c r="U242" s="241"/>
      <c r="V242" s="241"/>
      <c r="W242" s="241"/>
      <c r="X242" s="241"/>
      <c r="Y242" s="253"/>
    </row>
    <row r="243" spans="1:25" ht="15.75" thickBot="1" x14ac:dyDescent="0.3">
      <c r="A243" s="252"/>
      <c r="B243" s="241"/>
      <c r="C243" s="551" t="s">
        <v>188</v>
      </c>
      <c r="D243" s="551"/>
      <c r="E243" s="551"/>
      <c r="F243" s="241"/>
      <c r="G243" s="241"/>
      <c r="H243" s="241"/>
      <c r="I243" s="241"/>
      <c r="J243" s="241"/>
      <c r="K243" s="241"/>
      <c r="L243" s="241"/>
      <c r="M243" s="241"/>
      <c r="N243" s="241"/>
      <c r="O243" s="241"/>
      <c r="P243" s="241"/>
      <c r="Q243" s="241"/>
      <c r="R243" s="241"/>
      <c r="S243" s="241"/>
      <c r="T243" s="241"/>
      <c r="U243" s="241"/>
      <c r="V243" s="241"/>
      <c r="W243" s="241"/>
      <c r="X243" s="241"/>
      <c r="Y243" s="253"/>
    </row>
    <row r="244" spans="1:25" ht="15.75" thickBot="1" x14ac:dyDescent="0.3">
      <c r="A244" s="252"/>
      <c r="B244" s="241"/>
      <c r="C244" s="327" t="s">
        <v>267</v>
      </c>
      <c r="D244" s="327"/>
      <c r="E244" s="327"/>
      <c r="F244" s="241"/>
      <c r="G244" s="328" t="s">
        <v>231</v>
      </c>
      <c r="H244" s="329"/>
      <c r="I244" s="329"/>
      <c r="J244" s="329"/>
      <c r="K244" s="329"/>
      <c r="L244" s="329"/>
      <c r="M244" s="329"/>
      <c r="N244" s="329"/>
      <c r="O244" s="329"/>
      <c r="P244" s="329"/>
      <c r="Q244" s="329"/>
      <c r="R244" s="329"/>
      <c r="S244" s="329"/>
      <c r="T244" s="329"/>
      <c r="U244" s="329"/>
      <c r="V244" s="329"/>
      <c r="W244" s="329"/>
      <c r="X244" s="329"/>
      <c r="Y244" s="330"/>
    </row>
    <row r="245" spans="1:25" x14ac:dyDescent="0.25">
      <c r="A245" s="252"/>
      <c r="B245" s="241"/>
      <c r="C245" s="104"/>
      <c r="D245" s="104" t="s">
        <v>166</v>
      </c>
      <c r="E245" s="104" t="s">
        <v>167</v>
      </c>
      <c r="F245" s="241"/>
      <c r="G245" s="252"/>
      <c r="H245" s="241"/>
      <c r="I245" s="241"/>
      <c r="J245" s="241"/>
      <c r="K245" s="241"/>
      <c r="L245" s="241"/>
      <c r="M245" s="241"/>
      <c r="N245" s="241"/>
      <c r="O245" s="241"/>
      <c r="P245" s="241"/>
      <c r="Q245" s="241"/>
      <c r="R245" s="241"/>
      <c r="S245" s="241"/>
      <c r="T245" s="241"/>
      <c r="U245" s="241"/>
      <c r="V245" s="241"/>
      <c r="W245" s="241"/>
      <c r="X245" s="241"/>
      <c r="Y245" s="253"/>
    </row>
    <row r="246" spans="1:25" x14ac:dyDescent="0.25">
      <c r="A246" s="252"/>
      <c r="B246" s="241"/>
      <c r="C246" s="104"/>
      <c r="D246" s="104"/>
      <c r="E246" s="104"/>
      <c r="F246" s="241"/>
      <c r="G246" s="252"/>
      <c r="H246" s="241"/>
      <c r="I246" s="241"/>
      <c r="J246" s="241"/>
      <c r="K246" s="241"/>
      <c r="L246" s="241"/>
      <c r="M246" s="241"/>
      <c r="N246" s="241"/>
      <c r="O246" s="241"/>
      <c r="P246" s="241"/>
      <c r="Q246" s="241"/>
      <c r="R246" s="241"/>
      <c r="S246" s="241"/>
      <c r="T246" s="241"/>
      <c r="U246" s="241"/>
      <c r="V246" s="241"/>
      <c r="W246" s="241"/>
      <c r="X246" s="241"/>
      <c r="Y246" s="253"/>
    </row>
    <row r="247" spans="1:25" x14ac:dyDescent="0.25">
      <c r="A247" s="252"/>
      <c r="B247" s="241"/>
      <c r="C247" s="143" t="s">
        <v>168</v>
      </c>
      <c r="D247" s="143" t="s">
        <v>169</v>
      </c>
      <c r="E247" s="143" t="s">
        <v>170</v>
      </c>
      <c r="F247" s="241"/>
      <c r="G247" s="252"/>
      <c r="H247" s="241"/>
      <c r="I247" s="241"/>
      <c r="J247" s="241"/>
      <c r="K247" s="241"/>
      <c r="L247" s="241"/>
      <c r="M247" s="241"/>
      <c r="N247" s="241"/>
      <c r="O247" s="241"/>
      <c r="P247" s="241"/>
      <c r="Q247" s="241"/>
      <c r="R247" s="241"/>
      <c r="S247" s="241"/>
      <c r="T247" s="241"/>
      <c r="U247" s="241"/>
      <c r="V247" s="241"/>
      <c r="W247" s="241"/>
      <c r="X247" s="241"/>
      <c r="Y247" s="253"/>
    </row>
    <row r="248" spans="1:25" x14ac:dyDescent="0.25">
      <c r="A248" s="252"/>
      <c r="B248" s="241"/>
      <c r="C248" s="17" t="s">
        <v>171</v>
      </c>
      <c r="D248" s="189" t="s">
        <v>268</v>
      </c>
      <c r="E248" s="189" t="s">
        <v>269</v>
      </c>
      <c r="F248" s="241"/>
      <c r="G248" s="252"/>
      <c r="H248" s="241"/>
      <c r="I248" s="241"/>
      <c r="J248" s="241"/>
      <c r="K248" s="241"/>
      <c r="L248" s="241"/>
      <c r="M248" s="241"/>
      <c r="N248" s="241"/>
      <c r="O248" s="241"/>
      <c r="P248" s="241"/>
      <c r="Q248" s="241"/>
      <c r="R248" s="241"/>
      <c r="S248" s="241"/>
      <c r="T248" s="241"/>
      <c r="U248" s="241"/>
      <c r="V248" s="241"/>
      <c r="W248" s="241"/>
      <c r="X248" s="241"/>
      <c r="Y248" s="253"/>
    </row>
    <row r="249" spans="1:25" x14ac:dyDescent="0.25">
      <c r="A249" s="252"/>
      <c r="B249" s="241"/>
      <c r="C249" s="17" t="s">
        <v>172</v>
      </c>
      <c r="D249" s="189" t="s">
        <v>270</v>
      </c>
      <c r="E249" s="189" t="s">
        <v>271</v>
      </c>
      <c r="F249" s="241"/>
      <c r="G249" s="252"/>
      <c r="H249" s="241"/>
      <c r="I249" s="241"/>
      <c r="J249" s="241"/>
      <c r="K249" s="241"/>
      <c r="L249" s="241"/>
      <c r="M249" s="241"/>
      <c r="N249" s="241"/>
      <c r="O249" s="294" t="s">
        <v>375</v>
      </c>
      <c r="P249" s="294"/>
      <c r="Q249" s="294"/>
      <c r="R249" s="294"/>
      <c r="S249" s="294"/>
      <c r="T249" s="294"/>
      <c r="U249" s="294"/>
      <c r="V249" s="294"/>
      <c r="W249" s="294"/>
      <c r="X249" s="241"/>
      <c r="Y249" s="253"/>
    </row>
    <row r="250" spans="1:25" x14ac:dyDescent="0.25">
      <c r="A250" s="252"/>
      <c r="B250" s="241"/>
      <c r="C250" s="17" t="s">
        <v>173</v>
      </c>
      <c r="D250" s="189" t="s">
        <v>272</v>
      </c>
      <c r="E250" s="189" t="s">
        <v>273</v>
      </c>
      <c r="F250" s="241"/>
      <c r="G250" s="252"/>
      <c r="H250" s="241"/>
      <c r="I250" s="241"/>
      <c r="J250" s="241"/>
      <c r="K250" s="241"/>
      <c r="L250" s="241"/>
      <c r="M250" s="241"/>
      <c r="N250" s="241"/>
      <c r="O250" s="294" t="s">
        <v>376</v>
      </c>
      <c r="P250" s="294"/>
      <c r="Q250" s="294"/>
      <c r="R250" s="294"/>
      <c r="S250" s="294"/>
      <c r="T250" s="294"/>
      <c r="U250" s="294"/>
      <c r="V250" s="294"/>
      <c r="W250" s="294"/>
      <c r="X250" s="241"/>
      <c r="Y250" s="253"/>
    </row>
    <row r="251" spans="1:25" x14ac:dyDescent="0.25">
      <c r="A251" s="252"/>
      <c r="B251" s="241"/>
      <c r="C251" s="17" t="s">
        <v>174</v>
      </c>
      <c r="D251" s="189" t="s">
        <v>274</v>
      </c>
      <c r="E251" s="189" t="s">
        <v>275</v>
      </c>
      <c r="F251" s="241"/>
      <c r="G251" s="252"/>
      <c r="H251" s="241"/>
      <c r="I251" s="241"/>
      <c r="J251" s="241"/>
      <c r="K251" s="241"/>
      <c r="L251" s="241"/>
      <c r="M251" s="241"/>
      <c r="N251" s="241"/>
      <c r="O251" s="287"/>
      <c r="P251" s="287"/>
      <c r="Q251" s="287"/>
      <c r="R251" s="287"/>
      <c r="S251" s="287"/>
      <c r="T251" s="287"/>
      <c r="U251" s="287"/>
      <c r="V251" s="287"/>
      <c r="W251" s="287"/>
      <c r="X251" s="241"/>
      <c r="Y251" s="253"/>
    </row>
    <row r="252" spans="1:25" x14ac:dyDescent="0.25">
      <c r="A252" s="252"/>
      <c r="B252" s="241"/>
      <c r="C252" s="17" t="s">
        <v>175</v>
      </c>
      <c r="D252" s="189" t="s">
        <v>276</v>
      </c>
      <c r="E252" s="189" t="s">
        <v>277</v>
      </c>
      <c r="F252" s="241"/>
      <c r="G252" s="252"/>
      <c r="H252" s="241"/>
      <c r="I252" s="241"/>
      <c r="J252" s="241"/>
      <c r="K252" s="241"/>
      <c r="L252" s="241"/>
      <c r="M252" s="241"/>
      <c r="N252" s="241"/>
      <c r="O252" s="287"/>
      <c r="P252" s="287"/>
      <c r="Q252" s="287"/>
      <c r="R252" s="287"/>
      <c r="S252" s="287"/>
      <c r="T252" s="287"/>
      <c r="U252" s="287"/>
      <c r="V252" s="287"/>
      <c r="W252" s="287"/>
      <c r="X252" s="241"/>
      <c r="Y252" s="253"/>
    </row>
    <row r="253" spans="1:25" x14ac:dyDescent="0.25">
      <c r="A253" s="252"/>
      <c r="B253" s="241"/>
      <c r="C253" s="17" t="s">
        <v>176</v>
      </c>
      <c r="D253" s="189" t="s">
        <v>278</v>
      </c>
      <c r="E253" s="189" t="s">
        <v>279</v>
      </c>
      <c r="F253" s="241"/>
      <c r="G253" s="252"/>
      <c r="H253" s="241"/>
      <c r="I253" s="241"/>
      <c r="J253" s="241"/>
      <c r="K253" s="241"/>
      <c r="L253" s="241"/>
      <c r="M253" s="241"/>
      <c r="N253" s="241"/>
      <c r="O253" s="241"/>
      <c r="P253" s="241"/>
      <c r="Q253" s="241"/>
      <c r="R253" s="241"/>
      <c r="S253" s="241"/>
      <c r="T253" s="241"/>
      <c r="U253" s="241"/>
      <c r="V253" s="241"/>
      <c r="W253" s="241"/>
      <c r="X253" s="241"/>
      <c r="Y253" s="253"/>
    </row>
    <row r="254" spans="1:25" x14ac:dyDescent="0.25">
      <c r="A254" s="252"/>
      <c r="B254" s="241"/>
      <c r="C254" s="17" t="s">
        <v>177</v>
      </c>
      <c r="D254" s="189" t="s">
        <v>280</v>
      </c>
      <c r="E254" s="189" t="s">
        <v>281</v>
      </c>
      <c r="F254" s="241"/>
      <c r="G254" s="252"/>
      <c r="H254" s="241"/>
      <c r="I254" s="241"/>
      <c r="J254" s="241"/>
      <c r="K254" s="241"/>
      <c r="L254" s="241"/>
      <c r="M254" s="241"/>
      <c r="N254" s="241"/>
      <c r="O254" s="241"/>
      <c r="P254" s="241"/>
      <c r="Q254" s="241"/>
      <c r="R254" s="241"/>
      <c r="S254" s="241"/>
      <c r="T254" s="241"/>
      <c r="U254" s="241"/>
      <c r="V254" s="241"/>
      <c r="W254" s="241"/>
      <c r="X254" s="241"/>
      <c r="Y254" s="253"/>
    </row>
    <row r="255" spans="1:25" x14ac:dyDescent="0.25">
      <c r="A255" s="252"/>
      <c r="B255" s="241"/>
      <c r="C255" s="17" t="s">
        <v>178</v>
      </c>
      <c r="D255" s="189" t="s">
        <v>282</v>
      </c>
      <c r="E255" s="189" t="s">
        <v>283</v>
      </c>
      <c r="F255" s="241"/>
      <c r="G255" s="252"/>
      <c r="H255" s="241"/>
      <c r="I255" s="241"/>
      <c r="J255" s="241"/>
      <c r="K255" s="241"/>
      <c r="L255" s="241"/>
      <c r="M255" s="241"/>
      <c r="N255" s="241"/>
      <c r="O255" s="241"/>
      <c r="P255" s="241"/>
      <c r="Q255" s="241"/>
      <c r="R255" s="241"/>
      <c r="S255" s="241"/>
      <c r="T255" s="241"/>
      <c r="U255" s="241"/>
      <c r="V255" s="241"/>
      <c r="W255" s="241"/>
      <c r="X255" s="241"/>
      <c r="Y255" s="253"/>
    </row>
    <row r="256" spans="1:25" x14ac:dyDescent="0.25">
      <c r="A256" s="252"/>
      <c r="B256" s="241"/>
      <c r="C256" s="17" t="s">
        <v>179</v>
      </c>
      <c r="D256" s="189" t="s">
        <v>284</v>
      </c>
      <c r="E256" s="189" t="s">
        <v>285</v>
      </c>
      <c r="F256" s="241"/>
      <c r="G256" s="252"/>
      <c r="H256" s="241"/>
      <c r="I256" s="241"/>
      <c r="J256" s="241"/>
      <c r="K256" s="241"/>
      <c r="L256" s="241"/>
      <c r="M256" s="241"/>
      <c r="N256" s="241"/>
      <c r="O256" s="241"/>
      <c r="P256" s="241"/>
      <c r="Q256" s="241"/>
      <c r="R256" s="241"/>
      <c r="S256" s="241"/>
      <c r="T256" s="241"/>
      <c r="U256" s="241"/>
      <c r="V256" s="241"/>
      <c r="W256" s="241"/>
      <c r="X256" s="241"/>
      <c r="Y256" s="253"/>
    </row>
    <row r="257" spans="1:25" x14ac:dyDescent="0.25">
      <c r="A257" s="252"/>
      <c r="B257" s="241"/>
      <c r="C257" s="17" t="s">
        <v>180</v>
      </c>
      <c r="D257" s="189" t="s">
        <v>286</v>
      </c>
      <c r="E257" s="189" t="s">
        <v>287</v>
      </c>
      <c r="F257" s="241"/>
      <c r="G257" s="252"/>
      <c r="H257" s="241"/>
      <c r="I257" s="241"/>
      <c r="J257" s="241"/>
      <c r="K257" s="241"/>
      <c r="L257" s="241"/>
      <c r="M257" s="241"/>
      <c r="N257" s="241"/>
      <c r="O257" s="241"/>
      <c r="P257" s="241"/>
      <c r="Q257" s="241"/>
      <c r="R257" s="241"/>
      <c r="S257" s="241"/>
      <c r="T257" s="241"/>
      <c r="U257" s="241"/>
      <c r="V257" s="241"/>
      <c r="W257" s="241"/>
      <c r="X257" s="241"/>
      <c r="Y257" s="253"/>
    </row>
    <row r="258" spans="1:25" x14ac:dyDescent="0.25">
      <c r="A258" s="252"/>
      <c r="B258" s="241"/>
      <c r="C258" s="17" t="s">
        <v>181</v>
      </c>
      <c r="D258" s="189" t="s">
        <v>288</v>
      </c>
      <c r="E258" s="189" t="s">
        <v>289</v>
      </c>
      <c r="F258" s="241"/>
      <c r="G258" s="252"/>
      <c r="H258" s="241"/>
      <c r="I258" s="241"/>
      <c r="J258" s="241"/>
      <c r="K258" s="241"/>
      <c r="L258" s="241"/>
      <c r="M258" s="241"/>
      <c r="N258" s="241"/>
      <c r="O258" s="241"/>
      <c r="P258" s="241"/>
      <c r="Q258" s="241"/>
      <c r="R258" s="241"/>
      <c r="S258" s="241"/>
      <c r="T258" s="241"/>
      <c r="U258" s="241"/>
      <c r="V258" s="241"/>
      <c r="W258" s="241"/>
      <c r="X258" s="241"/>
      <c r="Y258" s="253"/>
    </row>
    <row r="259" spans="1:25" x14ac:dyDescent="0.25">
      <c r="A259" s="252"/>
      <c r="B259" s="241"/>
      <c r="C259" s="17" t="s">
        <v>182</v>
      </c>
      <c r="D259" s="189" t="s">
        <v>290</v>
      </c>
      <c r="E259" s="189" t="s">
        <v>291</v>
      </c>
      <c r="F259" s="241"/>
      <c r="G259" s="252"/>
      <c r="H259" s="241"/>
      <c r="I259" s="241"/>
      <c r="J259" s="241"/>
      <c r="K259" s="241"/>
      <c r="L259" s="241"/>
      <c r="M259" s="241"/>
      <c r="N259" s="241"/>
      <c r="O259" s="241"/>
      <c r="P259" s="241"/>
      <c r="Q259" s="241"/>
      <c r="R259" s="241"/>
      <c r="S259" s="241"/>
      <c r="T259" s="241"/>
      <c r="U259" s="241"/>
      <c r="V259" s="241"/>
      <c r="W259" s="241"/>
      <c r="X259" s="241"/>
      <c r="Y259" s="253"/>
    </row>
    <row r="260" spans="1:25" x14ac:dyDescent="0.25">
      <c r="A260" s="252"/>
      <c r="B260" s="241"/>
      <c r="C260" s="17" t="s">
        <v>183</v>
      </c>
      <c r="D260" s="189" t="s">
        <v>292</v>
      </c>
      <c r="E260" s="189" t="s">
        <v>293</v>
      </c>
      <c r="F260" s="241"/>
      <c r="G260" s="252"/>
      <c r="H260" s="241"/>
      <c r="I260" s="241"/>
      <c r="J260" s="241"/>
      <c r="K260" s="241"/>
      <c r="L260" s="241"/>
      <c r="M260" s="241"/>
      <c r="N260" s="241"/>
      <c r="O260" s="241"/>
      <c r="P260" s="241"/>
      <c r="Q260" s="241"/>
      <c r="R260" s="241"/>
      <c r="S260" s="241"/>
      <c r="T260" s="241"/>
      <c r="U260" s="241"/>
      <c r="V260" s="241"/>
      <c r="W260" s="241"/>
      <c r="X260" s="241"/>
      <c r="Y260" s="253"/>
    </row>
    <row r="261" spans="1:25" x14ac:dyDescent="0.25">
      <c r="A261" s="252"/>
      <c r="B261" s="241"/>
      <c r="C261" s="17" t="s">
        <v>184</v>
      </c>
      <c r="D261" s="189" t="s">
        <v>294</v>
      </c>
      <c r="E261" s="189" t="s">
        <v>295</v>
      </c>
      <c r="F261" s="241"/>
      <c r="G261" s="252"/>
      <c r="H261" s="241"/>
      <c r="I261" s="241"/>
      <c r="J261" s="241"/>
      <c r="K261" s="241"/>
      <c r="L261" s="241"/>
      <c r="M261" s="241"/>
      <c r="N261" s="241"/>
      <c r="O261" s="241"/>
      <c r="P261" s="241"/>
      <c r="Q261" s="241"/>
      <c r="R261" s="241"/>
      <c r="S261" s="241"/>
      <c r="T261" s="241"/>
      <c r="U261" s="241"/>
      <c r="V261" s="241"/>
      <c r="W261" s="241"/>
      <c r="X261" s="241"/>
      <c r="Y261" s="253"/>
    </row>
    <row r="262" spans="1:25" x14ac:dyDescent="0.25">
      <c r="A262" s="252"/>
      <c r="B262" s="241"/>
      <c r="C262" s="17" t="s">
        <v>185</v>
      </c>
      <c r="D262" s="189" t="s">
        <v>296</v>
      </c>
      <c r="E262" s="189" t="s">
        <v>297</v>
      </c>
      <c r="F262" s="241"/>
      <c r="G262" s="252"/>
      <c r="H262" s="241"/>
      <c r="I262" s="241"/>
      <c r="J262" s="241"/>
      <c r="K262" s="241"/>
      <c r="L262" s="241"/>
      <c r="M262" s="241"/>
      <c r="N262" s="241"/>
      <c r="O262" s="241"/>
      <c r="P262" s="241"/>
      <c r="Q262" s="241"/>
      <c r="R262" s="241"/>
      <c r="S262" s="241"/>
      <c r="T262" s="241"/>
      <c r="U262" s="241"/>
      <c r="V262" s="241"/>
      <c r="W262" s="241"/>
      <c r="X262" s="241"/>
      <c r="Y262" s="253"/>
    </row>
    <row r="263" spans="1:25" x14ac:dyDescent="0.25">
      <c r="A263" s="252"/>
      <c r="B263" s="241"/>
      <c r="C263" s="17" t="s">
        <v>298</v>
      </c>
      <c r="D263" s="189" t="s">
        <v>299</v>
      </c>
      <c r="E263" s="189" t="s">
        <v>300</v>
      </c>
      <c r="F263" s="241"/>
      <c r="G263" s="252"/>
      <c r="H263" s="241"/>
      <c r="I263" s="241"/>
      <c r="J263" s="241"/>
      <c r="K263" s="241"/>
      <c r="L263" s="241"/>
      <c r="M263" s="241"/>
      <c r="N263" s="241"/>
      <c r="O263" s="241"/>
      <c r="P263" s="241"/>
      <c r="Q263" s="241"/>
      <c r="R263" s="241"/>
      <c r="S263" s="241"/>
      <c r="T263" s="241"/>
      <c r="U263" s="241"/>
      <c r="V263" s="241"/>
      <c r="W263" s="241"/>
      <c r="X263" s="241"/>
      <c r="Y263" s="253"/>
    </row>
    <row r="264" spans="1:25" x14ac:dyDescent="0.25">
      <c r="A264" s="252"/>
      <c r="B264" s="241"/>
      <c r="C264" s="17" t="s">
        <v>301</v>
      </c>
      <c r="D264" s="189" t="s">
        <v>302</v>
      </c>
      <c r="E264" s="189" t="s">
        <v>303</v>
      </c>
      <c r="F264" s="241"/>
      <c r="G264" s="252"/>
      <c r="H264" s="24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53"/>
    </row>
    <row r="265" spans="1:25" x14ac:dyDescent="0.25">
      <c r="A265" s="252"/>
      <c r="B265" s="241"/>
      <c r="C265" s="17" t="s">
        <v>304</v>
      </c>
      <c r="D265" s="189" t="s">
        <v>305</v>
      </c>
      <c r="E265" s="189" t="s">
        <v>306</v>
      </c>
      <c r="F265" s="241"/>
      <c r="G265" s="252"/>
      <c r="H265" s="241"/>
      <c r="I265" s="241"/>
      <c r="J265" s="241"/>
      <c r="K265" s="241"/>
      <c r="L265" s="241"/>
      <c r="M265" s="241"/>
      <c r="N265" s="241"/>
      <c r="O265" s="241"/>
      <c r="P265" s="241"/>
      <c r="Q265" s="241"/>
      <c r="R265" s="241"/>
      <c r="S265" s="241"/>
      <c r="T265" s="241"/>
      <c r="U265" s="241"/>
      <c r="V265" s="241"/>
      <c r="W265" s="241"/>
      <c r="X265" s="241"/>
      <c r="Y265" s="253"/>
    </row>
    <row r="266" spans="1:25" x14ac:dyDescent="0.25">
      <c r="A266" s="252"/>
      <c r="B266" s="241"/>
      <c r="C266" s="17" t="s">
        <v>307</v>
      </c>
      <c r="D266" s="189" t="s">
        <v>308</v>
      </c>
      <c r="E266" s="189" t="s">
        <v>309</v>
      </c>
      <c r="F266" s="241"/>
      <c r="G266" s="252"/>
      <c r="H266" s="241"/>
      <c r="I266" s="241"/>
      <c r="J266" s="241"/>
      <c r="K266" s="241"/>
      <c r="L266" s="241"/>
      <c r="M266" s="241"/>
      <c r="N266" s="241"/>
      <c r="O266" s="241"/>
      <c r="P266" s="241"/>
      <c r="Q266" s="241"/>
      <c r="R266" s="241"/>
      <c r="S266" s="241"/>
      <c r="T266" s="241"/>
      <c r="U266" s="241"/>
      <c r="V266" s="241"/>
      <c r="W266" s="241"/>
      <c r="X266" s="241"/>
      <c r="Y266" s="253"/>
    </row>
    <row r="267" spans="1:25" x14ac:dyDescent="0.25">
      <c r="A267" s="252"/>
      <c r="B267" s="241"/>
      <c r="C267" s="17" t="s">
        <v>310</v>
      </c>
      <c r="D267" s="189" t="s">
        <v>311</v>
      </c>
      <c r="E267" s="189" t="s">
        <v>312</v>
      </c>
      <c r="F267" s="241"/>
      <c r="G267" s="252"/>
      <c r="H267" s="241"/>
      <c r="I267" s="241"/>
      <c r="J267" s="241"/>
      <c r="K267" s="241"/>
      <c r="L267" s="241"/>
      <c r="M267" s="241"/>
      <c r="N267" s="241"/>
      <c r="O267" s="241"/>
      <c r="P267" s="241"/>
      <c r="Q267" s="241"/>
      <c r="R267" s="241"/>
      <c r="S267" s="241"/>
      <c r="T267" s="241"/>
      <c r="U267" s="241"/>
      <c r="V267" s="241"/>
      <c r="W267" s="241"/>
      <c r="X267" s="241"/>
      <c r="Y267" s="253"/>
    </row>
    <row r="268" spans="1:25" x14ac:dyDescent="0.25">
      <c r="A268" s="252"/>
      <c r="B268" s="241"/>
      <c r="C268" s="17" t="s">
        <v>313</v>
      </c>
      <c r="D268" s="189" t="s">
        <v>314</v>
      </c>
      <c r="E268" s="189" t="s">
        <v>315</v>
      </c>
      <c r="F268" s="241"/>
      <c r="G268" s="252"/>
      <c r="H268" s="241"/>
      <c r="I268" s="241"/>
      <c r="J268" s="241"/>
      <c r="K268" s="241"/>
      <c r="L268" s="241"/>
      <c r="M268" s="241"/>
      <c r="N268" s="241"/>
      <c r="O268" s="241"/>
      <c r="P268" s="241"/>
      <c r="Q268" s="241"/>
      <c r="R268" s="241"/>
      <c r="S268" s="241"/>
      <c r="T268" s="241"/>
      <c r="U268" s="241"/>
      <c r="V268" s="241"/>
      <c r="W268" s="241"/>
      <c r="X268" s="241"/>
      <c r="Y268" s="253"/>
    </row>
    <row r="269" spans="1:25" x14ac:dyDescent="0.25">
      <c r="A269" s="252"/>
      <c r="B269" s="241"/>
      <c r="C269" s="17" t="s">
        <v>316</v>
      </c>
      <c r="D269" s="189" t="s">
        <v>317</v>
      </c>
      <c r="E269" s="189" t="s">
        <v>318</v>
      </c>
      <c r="F269" s="241"/>
      <c r="G269" s="252"/>
      <c r="H269" s="241"/>
      <c r="I269" s="241"/>
      <c r="J269" s="241"/>
      <c r="K269" s="241"/>
      <c r="L269" s="241"/>
      <c r="M269" s="241"/>
      <c r="N269" s="241"/>
      <c r="O269" s="241"/>
      <c r="P269" s="241"/>
      <c r="Q269" s="241"/>
      <c r="R269" s="241"/>
      <c r="S269" s="241"/>
      <c r="T269" s="241"/>
      <c r="U269" s="241"/>
      <c r="V269" s="241"/>
      <c r="W269" s="241"/>
      <c r="X269" s="241"/>
      <c r="Y269" s="253"/>
    </row>
    <row r="270" spans="1:25" x14ac:dyDescent="0.25">
      <c r="A270" s="252"/>
      <c r="B270" s="241"/>
      <c r="C270" s="17" t="s">
        <v>319</v>
      </c>
      <c r="D270" s="189" t="s">
        <v>320</v>
      </c>
      <c r="E270" s="189" t="s">
        <v>321</v>
      </c>
      <c r="F270" s="241"/>
      <c r="G270" s="252"/>
      <c r="H270" s="241"/>
      <c r="I270" s="241"/>
      <c r="J270" s="241"/>
      <c r="K270" s="241"/>
      <c r="L270" s="241"/>
      <c r="M270" s="241"/>
      <c r="N270" s="241"/>
      <c r="O270" s="241"/>
      <c r="P270" s="241"/>
      <c r="Q270" s="241"/>
      <c r="R270" s="241"/>
      <c r="S270" s="241"/>
      <c r="T270" s="241"/>
      <c r="U270" s="241"/>
      <c r="V270" s="241"/>
      <c r="W270" s="241"/>
      <c r="X270" s="241"/>
      <c r="Y270" s="253"/>
    </row>
    <row r="271" spans="1:25" x14ac:dyDescent="0.25">
      <c r="A271" s="252"/>
      <c r="B271" s="241"/>
      <c r="C271" s="17" t="s">
        <v>322</v>
      </c>
      <c r="D271" s="189" t="s">
        <v>323</v>
      </c>
      <c r="E271" s="189" t="s">
        <v>324</v>
      </c>
      <c r="F271" s="241"/>
      <c r="G271" s="252"/>
      <c r="H271" s="241"/>
      <c r="I271" s="241"/>
      <c r="J271" s="241"/>
      <c r="K271" s="241"/>
      <c r="L271" s="241"/>
      <c r="M271" s="241"/>
      <c r="N271" s="241"/>
      <c r="O271" s="241"/>
      <c r="P271" s="241"/>
      <c r="Q271" s="241"/>
      <c r="R271" s="241"/>
      <c r="S271" s="241"/>
      <c r="T271" s="241"/>
      <c r="U271" s="241"/>
      <c r="V271" s="241"/>
      <c r="W271" s="241"/>
      <c r="X271" s="241"/>
      <c r="Y271" s="253"/>
    </row>
    <row r="272" spans="1:25" x14ac:dyDescent="0.25">
      <c r="A272" s="252"/>
      <c r="B272" s="241"/>
      <c r="C272" s="17" t="s">
        <v>325</v>
      </c>
      <c r="D272" s="189" t="s">
        <v>326</v>
      </c>
      <c r="E272" s="189" t="s">
        <v>327</v>
      </c>
      <c r="F272" s="241"/>
      <c r="G272" s="252"/>
      <c r="H272" s="241"/>
      <c r="I272" s="241"/>
      <c r="J272" s="241"/>
      <c r="K272" s="241"/>
      <c r="L272" s="241"/>
      <c r="M272" s="241"/>
      <c r="N272" s="241"/>
      <c r="O272" s="241"/>
      <c r="P272" s="241"/>
      <c r="Q272" s="241"/>
      <c r="R272" s="241"/>
      <c r="S272" s="241"/>
      <c r="T272" s="241"/>
      <c r="U272" s="241"/>
      <c r="V272" s="241"/>
      <c r="W272" s="241"/>
      <c r="X272" s="241"/>
      <c r="Y272" s="253"/>
    </row>
    <row r="273" spans="1:25" x14ac:dyDescent="0.25">
      <c r="A273" s="252"/>
      <c r="B273" s="241"/>
      <c r="C273" s="17" t="s">
        <v>328</v>
      </c>
      <c r="D273" s="189" t="s">
        <v>329</v>
      </c>
      <c r="E273" s="189" t="s">
        <v>330</v>
      </c>
      <c r="F273" s="241"/>
      <c r="G273" s="252"/>
      <c r="H273" s="241"/>
      <c r="I273" s="241"/>
      <c r="J273" s="241"/>
      <c r="K273" s="241"/>
      <c r="L273" s="241"/>
      <c r="M273" s="241"/>
      <c r="N273" s="241"/>
      <c r="O273" s="241"/>
      <c r="P273" s="241"/>
      <c r="Q273" s="241"/>
      <c r="R273" s="241"/>
      <c r="S273" s="241"/>
      <c r="T273" s="241"/>
      <c r="U273" s="241"/>
      <c r="V273" s="241"/>
      <c r="W273" s="241"/>
      <c r="X273" s="241"/>
      <c r="Y273" s="253"/>
    </row>
    <row r="274" spans="1:25" x14ac:dyDescent="0.25">
      <c r="A274" s="252"/>
      <c r="B274" s="241"/>
      <c r="C274" s="17" t="s">
        <v>331</v>
      </c>
      <c r="D274" s="189" t="s">
        <v>332</v>
      </c>
      <c r="E274" s="189" t="s">
        <v>333</v>
      </c>
      <c r="F274" s="241"/>
      <c r="G274" s="252"/>
      <c r="H274" s="241"/>
      <c r="I274" s="241"/>
      <c r="J274" s="241"/>
      <c r="K274" s="241"/>
      <c r="L274" s="241"/>
      <c r="M274" s="241"/>
      <c r="N274" s="241"/>
      <c r="O274" s="241"/>
      <c r="P274" s="241"/>
      <c r="Q274" s="241"/>
      <c r="R274" s="241"/>
      <c r="S274" s="241"/>
      <c r="T274" s="241"/>
      <c r="U274" s="241"/>
      <c r="V274" s="241"/>
      <c r="W274" s="241"/>
      <c r="X274" s="241"/>
      <c r="Y274" s="253"/>
    </row>
    <row r="275" spans="1:25" x14ac:dyDescent="0.25">
      <c r="A275" s="252"/>
      <c r="B275" s="241"/>
      <c r="C275" s="17" t="s">
        <v>334</v>
      </c>
      <c r="D275" s="189" t="s">
        <v>335</v>
      </c>
      <c r="E275" s="189" t="s">
        <v>336</v>
      </c>
      <c r="F275" s="241"/>
      <c r="G275" s="252"/>
      <c r="H275" s="241"/>
      <c r="I275" s="241"/>
      <c r="J275" s="241"/>
      <c r="K275" s="241"/>
      <c r="L275" s="241"/>
      <c r="M275" s="241"/>
      <c r="N275" s="241"/>
      <c r="O275" s="241"/>
      <c r="P275" s="241"/>
      <c r="Q275" s="241"/>
      <c r="R275" s="241"/>
      <c r="S275" s="241"/>
      <c r="T275" s="241"/>
      <c r="U275" s="241"/>
      <c r="V275" s="241"/>
      <c r="W275" s="241"/>
      <c r="X275" s="241"/>
      <c r="Y275" s="253"/>
    </row>
    <row r="276" spans="1:25" x14ac:dyDescent="0.25">
      <c r="A276" s="252"/>
      <c r="B276" s="241"/>
      <c r="C276" s="17" t="s">
        <v>337</v>
      </c>
      <c r="D276" s="189" t="s">
        <v>338</v>
      </c>
      <c r="E276" s="189" t="s">
        <v>339</v>
      </c>
      <c r="F276" s="241"/>
      <c r="G276" s="252"/>
      <c r="H276" s="241"/>
      <c r="I276" s="241"/>
      <c r="J276" s="241"/>
      <c r="K276" s="241"/>
      <c r="L276" s="241"/>
      <c r="M276" s="241"/>
      <c r="N276" s="241"/>
      <c r="O276" s="241"/>
      <c r="P276" s="241"/>
      <c r="Q276" s="241"/>
      <c r="R276" s="241"/>
      <c r="S276" s="241"/>
      <c r="T276" s="241"/>
      <c r="U276" s="241"/>
      <c r="V276" s="241"/>
      <c r="W276" s="241"/>
      <c r="X276" s="241"/>
      <c r="Y276" s="253"/>
    </row>
    <row r="277" spans="1:25" x14ac:dyDescent="0.25">
      <c r="A277" s="252"/>
      <c r="B277" s="241"/>
      <c r="C277" s="17" t="s">
        <v>340</v>
      </c>
      <c r="D277" s="189" t="s">
        <v>341</v>
      </c>
      <c r="E277" s="189" t="s">
        <v>342</v>
      </c>
      <c r="F277" s="241"/>
      <c r="G277" s="252"/>
      <c r="H277" s="241"/>
      <c r="I277" s="241"/>
      <c r="J277" s="241"/>
      <c r="K277" s="241"/>
      <c r="L277" s="241"/>
      <c r="M277" s="241"/>
      <c r="N277" s="241"/>
      <c r="O277" s="241"/>
      <c r="P277" s="241"/>
      <c r="Q277" s="241"/>
      <c r="R277" s="241"/>
      <c r="S277" s="241"/>
      <c r="T277" s="241"/>
      <c r="U277" s="241"/>
      <c r="V277" s="241"/>
      <c r="W277" s="241"/>
      <c r="X277" s="241"/>
      <c r="Y277" s="253"/>
    </row>
    <row r="278" spans="1:25" x14ac:dyDescent="0.25">
      <c r="A278" s="252"/>
      <c r="B278" s="241"/>
      <c r="C278" s="17" t="s">
        <v>343</v>
      </c>
      <c r="D278" s="189" t="s">
        <v>344</v>
      </c>
      <c r="E278" s="189" t="s">
        <v>345</v>
      </c>
      <c r="F278" s="241"/>
      <c r="G278" s="252"/>
      <c r="H278" s="241"/>
      <c r="I278" s="241"/>
      <c r="J278" s="241"/>
      <c r="K278" s="241"/>
      <c r="L278" s="241"/>
      <c r="M278" s="241"/>
      <c r="N278" s="241"/>
      <c r="O278" s="241"/>
      <c r="P278" s="241"/>
      <c r="Q278" s="241"/>
      <c r="R278" s="241"/>
      <c r="S278" s="241"/>
      <c r="T278" s="241"/>
      <c r="U278" s="241"/>
      <c r="V278" s="241"/>
      <c r="W278" s="241"/>
      <c r="X278" s="241"/>
      <c r="Y278" s="253"/>
    </row>
    <row r="279" spans="1:25" ht="15.75" thickBot="1" x14ac:dyDescent="0.3">
      <c r="A279" s="252"/>
      <c r="B279" s="241"/>
      <c r="C279" s="17" t="s">
        <v>346</v>
      </c>
      <c r="D279" s="189" t="s">
        <v>347</v>
      </c>
      <c r="E279" s="189" t="s">
        <v>348</v>
      </c>
      <c r="F279" s="241"/>
      <c r="G279" s="130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27"/>
    </row>
    <row r="280" spans="1:25" x14ac:dyDescent="0.25">
      <c r="A280" s="252"/>
      <c r="B280" s="241"/>
      <c r="C280" s="17" t="s">
        <v>349</v>
      </c>
      <c r="D280" s="189" t="s">
        <v>350</v>
      </c>
      <c r="E280" s="189" t="s">
        <v>351</v>
      </c>
      <c r="F280" s="241"/>
      <c r="G280" s="241"/>
      <c r="H280" s="241"/>
      <c r="I280" s="241"/>
      <c r="J280" s="241"/>
      <c r="K280" s="241"/>
      <c r="L280" s="241"/>
      <c r="M280" s="241"/>
      <c r="N280" s="241"/>
      <c r="O280" s="241"/>
      <c r="P280" s="241"/>
      <c r="Q280" s="241"/>
      <c r="R280" s="241"/>
      <c r="S280" s="241"/>
      <c r="T280" s="241"/>
      <c r="U280" s="241"/>
      <c r="V280" s="241"/>
      <c r="W280" s="241"/>
      <c r="X280" s="241"/>
      <c r="Y280" s="253"/>
    </row>
    <row r="281" spans="1:25" ht="15.75" thickBot="1" x14ac:dyDescent="0.3">
      <c r="A281" s="252"/>
      <c r="B281" s="241"/>
      <c r="C281" s="17" t="s">
        <v>352</v>
      </c>
      <c r="D281" s="189" t="s">
        <v>353</v>
      </c>
      <c r="E281" s="189" t="s">
        <v>354</v>
      </c>
      <c r="F281" s="241"/>
      <c r="G281" s="241"/>
      <c r="H281" s="241"/>
      <c r="I281" s="241"/>
      <c r="J281" s="241"/>
      <c r="K281" s="241"/>
      <c r="L281" s="241"/>
      <c r="M281" s="241"/>
      <c r="N281" s="241"/>
      <c r="O281" s="241"/>
      <c r="P281" s="241"/>
      <c r="Q281" s="241"/>
      <c r="R281" s="241"/>
      <c r="S281" s="241"/>
      <c r="T281" s="241"/>
      <c r="U281" s="241"/>
      <c r="V281" s="241"/>
      <c r="W281" s="241"/>
      <c r="X281" s="241"/>
      <c r="Y281" s="253"/>
    </row>
    <row r="282" spans="1:25" x14ac:dyDescent="0.25">
      <c r="A282" s="252"/>
      <c r="B282" s="241"/>
      <c r="C282" s="17" t="s">
        <v>355</v>
      </c>
      <c r="D282" s="189" t="s">
        <v>356</v>
      </c>
      <c r="E282" s="189" t="s">
        <v>357</v>
      </c>
      <c r="F282" s="241"/>
      <c r="G282" s="332" t="s">
        <v>192</v>
      </c>
      <c r="H282" s="333"/>
      <c r="I282" s="333"/>
      <c r="J282" s="333"/>
      <c r="K282" s="333"/>
      <c r="L282" s="333"/>
      <c r="M282" s="333"/>
      <c r="N282" s="333"/>
      <c r="O282" s="333"/>
      <c r="P282" s="333"/>
      <c r="Q282" s="333"/>
      <c r="R282" s="333"/>
      <c r="S282" s="333"/>
      <c r="T282" s="333"/>
      <c r="U282" s="333"/>
      <c r="V282" s="333"/>
      <c r="W282" s="333"/>
      <c r="X282" s="333"/>
      <c r="Y282" s="334"/>
    </row>
    <row r="283" spans="1:25" ht="15.75" thickBot="1" x14ac:dyDescent="0.3">
      <c r="A283" s="252"/>
      <c r="B283" s="241"/>
      <c r="C283" s="17" t="s">
        <v>358</v>
      </c>
      <c r="D283" s="189" t="s">
        <v>269</v>
      </c>
      <c r="E283" s="190" t="s">
        <v>359</v>
      </c>
      <c r="F283" s="241"/>
      <c r="G283" s="252"/>
      <c r="H283" s="241"/>
      <c r="I283" s="241"/>
      <c r="J283" s="241"/>
      <c r="K283" s="241"/>
      <c r="L283" s="241"/>
      <c r="M283" s="241"/>
      <c r="N283" s="241"/>
      <c r="O283" s="241"/>
      <c r="P283" s="241"/>
      <c r="Q283" s="241"/>
      <c r="R283" s="241"/>
      <c r="S283" s="241"/>
      <c r="T283" s="241"/>
      <c r="U283" s="241"/>
      <c r="V283" s="241"/>
      <c r="W283" s="241"/>
      <c r="X283" s="241"/>
      <c r="Y283" s="253"/>
    </row>
    <row r="284" spans="1:25" ht="15.75" thickBot="1" x14ac:dyDescent="0.3">
      <c r="A284" s="252"/>
      <c r="B284" s="241"/>
      <c r="C284" s="17" t="s">
        <v>360</v>
      </c>
      <c r="D284" s="189" t="s">
        <v>361</v>
      </c>
      <c r="E284" s="190" t="s">
        <v>362</v>
      </c>
      <c r="F284" s="241"/>
      <c r="G284" s="299" t="s">
        <v>379</v>
      </c>
      <c r="H284" s="300"/>
      <c r="I284" s="335" t="s">
        <v>213</v>
      </c>
      <c r="J284" s="336"/>
      <c r="K284" s="147" t="s">
        <v>194</v>
      </c>
      <c r="L284" s="129">
        <v>80</v>
      </c>
      <c r="M284" s="241"/>
      <c r="N284" s="320" t="s">
        <v>503</v>
      </c>
      <c r="O284" s="321"/>
      <c r="P284" s="321"/>
      <c r="Q284" s="321"/>
      <c r="R284" s="321"/>
      <c r="S284" s="321"/>
      <c r="T284" s="321"/>
      <c r="U284" s="321"/>
      <c r="V284" s="321"/>
      <c r="W284" s="321"/>
      <c r="X284" s="321"/>
      <c r="Y284" s="322"/>
    </row>
    <row r="285" spans="1:25" ht="15.75" thickBot="1" x14ac:dyDescent="0.3">
      <c r="A285" s="252"/>
      <c r="B285" s="241"/>
      <c r="C285" s="17" t="s">
        <v>363</v>
      </c>
      <c r="D285" s="189" t="s">
        <v>364</v>
      </c>
      <c r="E285" s="190" t="s">
        <v>365</v>
      </c>
      <c r="F285" s="241"/>
      <c r="G285" s="192">
        <v>243.4</v>
      </c>
      <c r="H285" s="193">
        <v>193.34</v>
      </c>
      <c r="I285" s="150"/>
      <c r="J285" s="247"/>
      <c r="K285" s="241"/>
      <c r="L285" s="241"/>
      <c r="M285" s="241"/>
      <c r="N285" s="261"/>
      <c r="O285" s="262"/>
      <c r="P285" s="262"/>
      <c r="Q285" s="262"/>
      <c r="R285" s="262"/>
      <c r="S285" s="262"/>
      <c r="T285" s="262"/>
      <c r="U285" s="262"/>
      <c r="V285" s="262"/>
      <c r="W285" s="262"/>
      <c r="X285" s="262"/>
      <c r="Y285" s="263"/>
    </row>
    <row r="286" spans="1:25" ht="15.75" thickBot="1" x14ac:dyDescent="0.3">
      <c r="A286" s="252"/>
      <c r="B286" s="241"/>
      <c r="C286" s="17" t="s">
        <v>366</v>
      </c>
      <c r="D286" s="189" t="s">
        <v>367</v>
      </c>
      <c r="E286" s="190" t="s">
        <v>368</v>
      </c>
      <c r="F286" s="241"/>
      <c r="G286" s="194">
        <v>122.17</v>
      </c>
      <c r="H286" s="195">
        <v>231.32</v>
      </c>
      <c r="I286" s="319"/>
      <c r="J286" s="319"/>
      <c r="K286" s="319"/>
      <c r="L286" s="146"/>
      <c r="M286" s="241"/>
      <c r="N286" s="317" t="s">
        <v>197</v>
      </c>
      <c r="O286" s="318"/>
      <c r="P286" s="318"/>
      <c r="Q286" s="318"/>
      <c r="R286" s="318"/>
      <c r="S286" s="318"/>
      <c r="T286" s="262"/>
      <c r="U286" s="262"/>
      <c r="V286" s="262"/>
      <c r="W286" s="262"/>
      <c r="X286" s="262"/>
      <c r="Y286" s="263"/>
    </row>
    <row r="287" spans="1:25" ht="15.75" thickBot="1" x14ac:dyDescent="0.3">
      <c r="A287" s="252"/>
      <c r="B287" s="241"/>
      <c r="C287" s="17" t="s">
        <v>369</v>
      </c>
      <c r="D287" s="189" t="s">
        <v>370</v>
      </c>
      <c r="E287" s="190" t="s">
        <v>371</v>
      </c>
      <c r="F287" s="241"/>
      <c r="G287" s="194">
        <v>92.35</v>
      </c>
      <c r="H287" s="195">
        <v>363.8</v>
      </c>
      <c r="I287" s="323" t="s">
        <v>395</v>
      </c>
      <c r="J287" s="323"/>
      <c r="K287" s="323"/>
      <c r="L287" s="324"/>
      <c r="M287" s="241"/>
      <c r="N287" s="317" t="s">
        <v>198</v>
      </c>
      <c r="O287" s="318"/>
      <c r="P287" s="318"/>
      <c r="Q287" s="318"/>
      <c r="R287" s="240"/>
      <c r="S287" s="240"/>
      <c r="T287" s="262"/>
      <c r="U287" s="262"/>
      <c r="V287" s="262"/>
      <c r="W287" s="262"/>
      <c r="X287" s="262"/>
      <c r="Y287" s="263"/>
    </row>
    <row r="288" spans="1:25" x14ac:dyDescent="0.25">
      <c r="A288" s="252"/>
      <c r="B288" s="241"/>
      <c r="C288" s="241"/>
      <c r="D288" s="241"/>
      <c r="E288" s="241"/>
      <c r="F288" s="241"/>
      <c r="G288" s="194">
        <v>13.22</v>
      </c>
      <c r="H288" s="195">
        <v>186.29</v>
      </c>
      <c r="I288" s="65" t="s">
        <v>195</v>
      </c>
      <c r="J288" s="65">
        <f>AVERAGEA(G285:H324)</f>
        <v>192.23874999999998</v>
      </c>
      <c r="K288" s="65"/>
      <c r="L288" s="255"/>
      <c r="M288" s="241"/>
      <c r="N288" s="317" t="s">
        <v>199</v>
      </c>
      <c r="O288" s="318"/>
      <c r="P288" s="318"/>
      <c r="Q288" s="318"/>
      <c r="R288" s="318"/>
      <c r="S288" s="318"/>
      <c r="T288" s="318"/>
      <c r="U288" s="318"/>
      <c r="V288" s="262"/>
      <c r="W288" s="262"/>
      <c r="X288" s="262"/>
      <c r="Y288" s="263"/>
    </row>
    <row r="289" spans="1:25" ht="15.75" thickBot="1" x14ac:dyDescent="0.3">
      <c r="A289" s="252"/>
      <c r="B289" s="241"/>
      <c r="C289" s="241"/>
      <c r="D289" s="241"/>
      <c r="E289" s="241"/>
      <c r="F289" s="241"/>
      <c r="G289" s="194">
        <v>81.36</v>
      </c>
      <c r="H289" s="195">
        <v>436.32</v>
      </c>
      <c r="I289" s="137" t="s">
        <v>196</v>
      </c>
      <c r="J289" s="137">
        <f>_xlfn.VAR.S(G285:H324)</f>
        <v>30931.099492088644</v>
      </c>
      <c r="K289" s="137"/>
      <c r="L289" s="127"/>
      <c r="M289" s="241"/>
      <c r="N289" s="317" t="s">
        <v>212</v>
      </c>
      <c r="O289" s="318"/>
      <c r="P289" s="318"/>
      <c r="Q289" s="318"/>
      <c r="R289" s="318"/>
      <c r="S289" s="318"/>
      <c r="T289" s="318"/>
      <c r="U289" s="318"/>
      <c r="V289" s="318"/>
      <c r="W289" s="318"/>
      <c r="X289" s="262"/>
      <c r="Y289" s="263"/>
    </row>
    <row r="290" spans="1:25" ht="15.75" thickBot="1" x14ac:dyDescent="0.3">
      <c r="A290" s="252"/>
      <c r="B290" s="331" t="s">
        <v>372</v>
      </c>
      <c r="C290" s="331"/>
      <c r="D290" s="331"/>
      <c r="E290" s="331"/>
      <c r="F290" s="241"/>
      <c r="G290" s="194">
        <v>96.65</v>
      </c>
      <c r="H290" s="195">
        <v>16.54</v>
      </c>
      <c r="I290" s="241"/>
      <c r="J290" s="241"/>
      <c r="K290" s="241"/>
      <c r="L290" s="241"/>
      <c r="M290" s="241"/>
      <c r="N290" s="317" t="s">
        <v>200</v>
      </c>
      <c r="O290" s="318"/>
      <c r="P290" s="318"/>
      <c r="Q290" s="318"/>
      <c r="R290" s="318"/>
      <c r="S290" s="318"/>
      <c r="T290" s="318"/>
      <c r="U290" s="318"/>
      <c r="V290" s="318"/>
      <c r="W290" s="318"/>
      <c r="X290" s="262"/>
      <c r="Y290" s="263"/>
    </row>
    <row r="291" spans="1:25" ht="15.75" thickBot="1" x14ac:dyDescent="0.3">
      <c r="A291" s="252"/>
      <c r="B291" s="237"/>
      <c r="C291" s="237"/>
      <c r="D291" s="237"/>
      <c r="E291" s="237"/>
      <c r="F291" s="241"/>
      <c r="G291" s="194">
        <v>185.64</v>
      </c>
      <c r="H291" s="195">
        <v>186.39</v>
      </c>
      <c r="I291" s="319" t="s">
        <v>202</v>
      </c>
      <c r="J291" s="319"/>
      <c r="K291" s="319"/>
      <c r="L291" s="146">
        <v>0.05</v>
      </c>
      <c r="M291" s="241"/>
      <c r="N291" s="317" t="s">
        <v>201</v>
      </c>
      <c r="O291" s="318"/>
      <c r="P291" s="318"/>
      <c r="Q291" s="318"/>
      <c r="R291" s="318"/>
      <c r="S291" s="318"/>
      <c r="T291" s="318"/>
      <c r="U291" s="318"/>
      <c r="V291" s="262"/>
      <c r="W291" s="262"/>
      <c r="X291" s="262"/>
      <c r="Y291" s="263"/>
    </row>
    <row r="292" spans="1:25" x14ac:dyDescent="0.25">
      <c r="A292" s="252"/>
      <c r="B292" s="326" t="s">
        <v>377</v>
      </c>
      <c r="C292" s="326"/>
      <c r="D292" s="326"/>
      <c r="E292" s="326"/>
      <c r="F292" s="241"/>
      <c r="G292" s="194">
        <v>169.48</v>
      </c>
      <c r="H292" s="195">
        <v>97.36</v>
      </c>
      <c r="I292" s="241"/>
      <c r="J292" s="241"/>
      <c r="K292" s="241"/>
      <c r="L292" s="241"/>
      <c r="M292" s="241"/>
      <c r="N292" s="261"/>
      <c r="O292" s="262"/>
      <c r="P292" s="262"/>
      <c r="Q292" s="262"/>
      <c r="R292" s="262"/>
      <c r="S292" s="262"/>
      <c r="T292" s="262"/>
      <c r="U292" s="262"/>
      <c r="V292" s="262"/>
      <c r="W292" s="262"/>
      <c r="X292" s="262"/>
      <c r="Y292" s="263"/>
    </row>
    <row r="293" spans="1:25" x14ac:dyDescent="0.25">
      <c r="A293" s="252"/>
      <c r="B293" s="326" t="s">
        <v>378</v>
      </c>
      <c r="C293" s="326"/>
      <c r="D293" s="326"/>
      <c r="E293" s="326"/>
      <c r="F293" s="241"/>
      <c r="G293" s="194">
        <v>843.22</v>
      </c>
      <c r="H293" s="195">
        <v>159.21</v>
      </c>
      <c r="I293" s="191"/>
      <c r="J293" s="191"/>
      <c r="K293" s="239" t="s">
        <v>382</v>
      </c>
      <c r="L293" s="239">
        <v>26</v>
      </c>
      <c r="M293" s="241"/>
      <c r="N293" s="261"/>
      <c r="O293" s="262"/>
      <c r="P293" s="262"/>
      <c r="Q293" s="262"/>
      <c r="R293" s="262"/>
      <c r="S293" s="262"/>
      <c r="T293" s="262"/>
      <c r="U293" s="262"/>
      <c r="V293" s="262"/>
      <c r="W293" s="262"/>
      <c r="X293" s="262"/>
      <c r="Y293" s="263"/>
    </row>
    <row r="294" spans="1:25" x14ac:dyDescent="0.25">
      <c r="A294" s="252"/>
      <c r="B294" s="326" t="s">
        <v>373</v>
      </c>
      <c r="C294" s="326"/>
      <c r="D294" s="326"/>
      <c r="E294" s="326"/>
      <c r="F294" s="241"/>
      <c r="G294" s="194">
        <v>44.55</v>
      </c>
      <c r="H294" s="195">
        <v>121.28</v>
      </c>
      <c r="I294" s="241"/>
      <c r="J294" s="241"/>
      <c r="K294" s="239" t="s">
        <v>386</v>
      </c>
      <c r="L294" s="239">
        <v>27</v>
      </c>
      <c r="M294" s="241"/>
      <c r="N294" s="317" t="s">
        <v>228</v>
      </c>
      <c r="O294" s="318"/>
      <c r="P294" s="318"/>
      <c r="Q294" s="318"/>
      <c r="R294" s="318"/>
      <c r="S294" s="318"/>
      <c r="T294" s="318"/>
      <c r="U294" s="318"/>
      <c r="V294" s="318"/>
      <c r="W294" s="318"/>
      <c r="X294" s="318"/>
      <c r="Y294" s="337"/>
    </row>
    <row r="295" spans="1:25" x14ac:dyDescent="0.25">
      <c r="A295" s="252"/>
      <c r="B295" s="325" t="s">
        <v>252</v>
      </c>
      <c r="C295" s="325"/>
      <c r="D295" s="325"/>
      <c r="E295" s="325"/>
      <c r="F295" s="241"/>
      <c r="G295" s="194">
        <v>113.1</v>
      </c>
      <c r="H295" s="195">
        <v>93.23</v>
      </c>
      <c r="I295" s="241"/>
      <c r="J295" s="241"/>
      <c r="K295" s="239" t="s">
        <v>387</v>
      </c>
      <c r="L295" s="239">
        <v>8</v>
      </c>
      <c r="M295" s="241"/>
      <c r="N295" s="317" t="s">
        <v>397</v>
      </c>
      <c r="O295" s="318"/>
      <c r="P295" s="318"/>
      <c r="Q295" s="318"/>
      <c r="R295" s="318"/>
      <c r="S295" s="318"/>
      <c r="T295" s="262"/>
      <c r="U295" s="262"/>
      <c r="V295" s="262"/>
      <c r="W295" s="262"/>
      <c r="X295" s="262"/>
      <c r="Y295" s="263"/>
    </row>
    <row r="296" spans="1:25" x14ac:dyDescent="0.25">
      <c r="A296" s="252"/>
      <c r="B296" s="241"/>
      <c r="C296" s="241"/>
      <c r="D296" s="241"/>
      <c r="E296" s="241"/>
      <c r="F296" s="241"/>
      <c r="G296" s="194">
        <v>22.49</v>
      </c>
      <c r="H296" s="195">
        <v>336.74</v>
      </c>
      <c r="I296" s="150"/>
      <c r="J296" s="241"/>
      <c r="K296" s="239" t="s">
        <v>388</v>
      </c>
      <c r="L296" s="239">
        <v>10</v>
      </c>
      <c r="M296" s="241"/>
      <c r="N296" s="261"/>
      <c r="O296" s="262"/>
      <c r="P296" s="262"/>
      <c r="Q296" s="262"/>
      <c r="R296" s="262"/>
      <c r="S296" s="262"/>
      <c r="T296" s="262"/>
      <c r="U296" s="262"/>
      <c r="V296" s="262"/>
      <c r="W296" s="262"/>
      <c r="X296" s="262"/>
      <c r="Y296" s="263"/>
    </row>
    <row r="297" spans="1:25" ht="15.75" thickBot="1" x14ac:dyDescent="0.3">
      <c r="A297" s="252"/>
      <c r="B297" s="241"/>
      <c r="C297" s="241"/>
      <c r="D297" s="241"/>
      <c r="E297" s="241"/>
      <c r="F297" s="241"/>
      <c r="G297" s="194">
        <v>612.37</v>
      </c>
      <c r="H297" s="195">
        <v>129.22999999999999</v>
      </c>
      <c r="I297" s="241"/>
      <c r="J297" s="191"/>
      <c r="K297" s="239" t="s">
        <v>389</v>
      </c>
      <c r="L297" s="239">
        <v>3</v>
      </c>
      <c r="M297" s="241"/>
      <c r="N297" s="314" t="s">
        <v>204</v>
      </c>
      <c r="O297" s="315"/>
      <c r="P297" s="315"/>
      <c r="Q297" s="315"/>
      <c r="R297" s="315"/>
      <c r="S297" s="315"/>
      <c r="T297" s="315"/>
      <c r="U297" s="315"/>
      <c r="V297" s="315"/>
      <c r="W297" s="315"/>
      <c r="X297" s="315"/>
      <c r="Y297" s="316"/>
    </row>
    <row r="298" spans="1:25" x14ac:dyDescent="0.25">
      <c r="A298" s="252"/>
      <c r="B298" s="241"/>
      <c r="C298" s="241"/>
      <c r="D298" s="241"/>
      <c r="E298" s="241"/>
      <c r="F298" s="241"/>
      <c r="G298" s="194">
        <v>514.37</v>
      </c>
      <c r="H298" s="195">
        <v>63.78</v>
      </c>
      <c r="I298" s="241"/>
      <c r="J298" s="241"/>
      <c r="K298" s="239" t="s">
        <v>390</v>
      </c>
      <c r="L298" s="239">
        <v>2</v>
      </c>
      <c r="M298" s="241"/>
      <c r="N298" s="241"/>
      <c r="O298" s="241"/>
      <c r="P298" s="241"/>
      <c r="Q298" s="241"/>
      <c r="R298" s="241"/>
      <c r="S298" s="241"/>
      <c r="T298" s="241"/>
      <c r="U298" s="241"/>
      <c r="V298" s="241"/>
      <c r="W298" s="241"/>
      <c r="X298" s="241"/>
      <c r="Y298" s="253"/>
    </row>
    <row r="299" spans="1:25" x14ac:dyDescent="0.25">
      <c r="A299" s="252"/>
      <c r="B299" s="241"/>
      <c r="C299" s="241"/>
      <c r="D299" s="241"/>
      <c r="E299" s="241"/>
      <c r="F299" s="241"/>
      <c r="G299" s="194">
        <v>32.21</v>
      </c>
      <c r="H299" s="195">
        <v>323.2</v>
      </c>
      <c r="I299" s="241"/>
      <c r="J299" s="241"/>
      <c r="K299" s="239" t="s">
        <v>391</v>
      </c>
      <c r="L299" s="239">
        <v>1</v>
      </c>
      <c r="M299" s="241"/>
      <c r="N299" s="241"/>
      <c r="O299" s="241"/>
      <c r="P299" s="241"/>
      <c r="Q299" s="241"/>
      <c r="R299" s="241"/>
      <c r="S299" s="241"/>
      <c r="T299" s="241"/>
      <c r="U299" s="241"/>
      <c r="V299" s="241"/>
      <c r="W299" s="241"/>
      <c r="X299" s="241"/>
      <c r="Y299" s="253"/>
    </row>
    <row r="300" spans="1:25" x14ac:dyDescent="0.25">
      <c r="A300" s="252"/>
      <c r="B300" s="241"/>
      <c r="C300" s="241"/>
      <c r="D300" s="241"/>
      <c r="E300" s="241"/>
      <c r="F300" s="241"/>
      <c r="G300" s="194">
        <v>112.13</v>
      </c>
      <c r="H300" s="195">
        <v>65.89</v>
      </c>
      <c r="I300" s="241"/>
      <c r="J300" s="241"/>
      <c r="K300" s="239" t="s">
        <v>392</v>
      </c>
      <c r="L300" s="239">
        <v>1</v>
      </c>
      <c r="M300" s="241"/>
      <c r="N300" s="241"/>
      <c r="O300" s="241"/>
      <c r="P300" s="241"/>
      <c r="Q300" s="241"/>
      <c r="R300" s="241"/>
      <c r="S300" s="241"/>
      <c r="T300" s="241"/>
      <c r="U300" s="241"/>
      <c r="V300" s="241"/>
      <c r="W300" s="241"/>
      <c r="X300" s="241"/>
      <c r="Y300" s="253"/>
    </row>
    <row r="301" spans="1:25" x14ac:dyDescent="0.25">
      <c r="A301" s="252"/>
      <c r="B301" s="241"/>
      <c r="C301" s="241"/>
      <c r="D301" s="241"/>
      <c r="E301" s="241"/>
      <c r="F301" s="241"/>
      <c r="G301" s="194">
        <v>173.03</v>
      </c>
      <c r="H301" s="195">
        <v>315.77999999999997</v>
      </c>
      <c r="I301" s="241"/>
      <c r="J301" s="241"/>
      <c r="K301" s="239" t="s">
        <v>393</v>
      </c>
      <c r="L301" s="239">
        <v>2</v>
      </c>
      <c r="M301" s="241"/>
      <c r="N301" s="241"/>
      <c r="O301" s="241"/>
      <c r="P301" s="241"/>
      <c r="Q301" s="241"/>
      <c r="R301" s="241"/>
      <c r="S301" s="241"/>
      <c r="T301" s="241"/>
      <c r="U301" s="241"/>
      <c r="V301" s="241"/>
      <c r="W301" s="241"/>
      <c r="X301" s="241"/>
      <c r="Y301" s="253"/>
    </row>
    <row r="302" spans="1:25" x14ac:dyDescent="0.25">
      <c r="A302" s="252"/>
      <c r="B302" s="241"/>
      <c r="C302" s="241"/>
      <c r="D302" s="241"/>
      <c r="E302" s="241"/>
      <c r="F302" s="241"/>
      <c r="G302" s="194">
        <v>16.09</v>
      </c>
      <c r="H302" s="195">
        <v>163.84</v>
      </c>
      <c r="I302" s="241"/>
      <c r="J302" s="241"/>
      <c r="K302" s="241"/>
      <c r="L302" s="241"/>
      <c r="M302" s="241"/>
      <c r="N302" s="241"/>
      <c r="O302" s="241"/>
      <c r="P302" s="241"/>
      <c r="Q302" s="241"/>
      <c r="R302" s="241"/>
      <c r="S302" s="241"/>
      <c r="T302" s="241"/>
      <c r="U302" s="241"/>
      <c r="V302" s="241"/>
      <c r="W302" s="241"/>
      <c r="X302" s="241"/>
      <c r="Y302" s="253"/>
    </row>
    <row r="303" spans="1:25" x14ac:dyDescent="0.25">
      <c r="A303" s="252"/>
      <c r="B303" s="241"/>
      <c r="C303" s="241"/>
      <c r="D303" s="241"/>
      <c r="E303" s="241"/>
      <c r="F303" s="241"/>
      <c r="G303" s="194">
        <v>119.96</v>
      </c>
      <c r="H303" s="195">
        <v>387.43</v>
      </c>
      <c r="I303" s="241"/>
      <c r="J303" s="306"/>
      <c r="K303" s="306"/>
      <c r="L303" s="306"/>
      <c r="M303" s="241"/>
      <c r="N303" s="157" t="s">
        <v>396</v>
      </c>
      <c r="O303" s="157"/>
      <c r="P303" s="157"/>
      <c r="Q303" s="157"/>
      <c r="R303" s="95"/>
      <c r="S303" s="95"/>
      <c r="T303" s="241"/>
      <c r="U303" s="241"/>
      <c r="V303" s="241"/>
      <c r="W303" s="241"/>
      <c r="X303" s="241"/>
      <c r="Y303" s="253"/>
    </row>
    <row r="304" spans="1:25" x14ac:dyDescent="0.25">
      <c r="A304" s="252"/>
      <c r="B304" s="241"/>
      <c r="C304" s="241"/>
      <c r="D304" s="241"/>
      <c r="E304" s="241"/>
      <c r="F304" s="241"/>
      <c r="G304" s="194">
        <v>34.25</v>
      </c>
      <c r="H304" s="195">
        <v>196.39</v>
      </c>
      <c r="I304" s="241"/>
      <c r="J304" s="241"/>
      <c r="K304" s="241"/>
      <c r="L304" s="241"/>
      <c r="M304" s="241"/>
      <c r="N304" s="95"/>
      <c r="O304" s="95"/>
      <c r="P304" s="95"/>
      <c r="Q304" s="95"/>
      <c r="R304" s="95"/>
      <c r="S304" s="95"/>
      <c r="T304" s="241"/>
      <c r="U304" s="241"/>
      <c r="V304" s="241"/>
      <c r="W304" s="241"/>
      <c r="X304" s="241"/>
      <c r="Y304" s="253"/>
    </row>
    <row r="305" spans="1:25" x14ac:dyDescent="0.25">
      <c r="A305" s="252"/>
      <c r="B305" s="241"/>
      <c r="C305" s="241"/>
      <c r="D305" s="241"/>
      <c r="E305" s="241"/>
      <c r="F305" s="241"/>
      <c r="G305" s="194">
        <v>11.08</v>
      </c>
      <c r="H305" s="195">
        <v>114.64</v>
      </c>
      <c r="I305" s="241"/>
      <c r="J305" s="288" t="s">
        <v>452</v>
      </c>
      <c r="K305" s="288"/>
      <c r="L305" s="288"/>
      <c r="M305" s="288"/>
      <c r="N305" s="313" t="s">
        <v>409</v>
      </c>
      <c r="O305" s="313"/>
      <c r="P305" s="313"/>
      <c r="Q305" s="313"/>
      <c r="R305" s="313"/>
      <c r="S305" s="313"/>
      <c r="T305" s="241"/>
      <c r="U305" s="241"/>
      <c r="V305" s="241"/>
      <c r="W305" s="241"/>
      <c r="X305" s="241"/>
      <c r="Y305" s="253"/>
    </row>
    <row r="306" spans="1:25" x14ac:dyDescent="0.25">
      <c r="A306" s="252"/>
      <c r="B306" s="241"/>
      <c r="C306" s="241"/>
      <c r="D306" s="241"/>
      <c r="E306" s="241"/>
      <c r="F306" s="241"/>
      <c r="G306" s="194">
        <v>137.52000000000001</v>
      </c>
      <c r="H306" s="195">
        <v>61.79</v>
      </c>
      <c r="I306" s="241"/>
      <c r="J306" s="288" t="s">
        <v>454</v>
      </c>
      <c r="K306" s="288"/>
      <c r="L306" s="288"/>
      <c r="M306" s="288"/>
      <c r="N306" s="95" t="s">
        <v>163</v>
      </c>
      <c r="O306" s="95"/>
      <c r="P306" s="95"/>
      <c r="Q306" s="95"/>
      <c r="R306" s="95"/>
      <c r="S306" s="95"/>
      <c r="T306" s="241"/>
      <c r="U306" s="241"/>
      <c r="V306" s="241"/>
      <c r="W306" s="241"/>
      <c r="X306" s="241"/>
      <c r="Y306" s="253"/>
    </row>
    <row r="307" spans="1:25" x14ac:dyDescent="0.25">
      <c r="A307" s="252"/>
      <c r="B307" s="241"/>
      <c r="C307" s="241"/>
      <c r="D307" s="241"/>
      <c r="E307" s="241"/>
      <c r="F307" s="241"/>
      <c r="G307" s="194">
        <v>172.56</v>
      </c>
      <c r="H307" s="195">
        <v>248.86</v>
      </c>
      <c r="I307" s="241"/>
      <c r="J307" s="288" t="s">
        <v>507</v>
      </c>
      <c r="K307" s="288"/>
      <c r="L307" s="288"/>
      <c r="M307" s="288"/>
      <c r="N307" s="241"/>
      <c r="O307" s="241"/>
      <c r="P307" s="241"/>
      <c r="Q307" s="241"/>
      <c r="R307" s="241"/>
      <c r="S307" s="241"/>
      <c r="T307" s="241"/>
      <c r="U307" s="241"/>
      <c r="V307" s="241"/>
      <c r="W307" s="241"/>
      <c r="X307" s="241"/>
      <c r="Y307" s="253"/>
    </row>
    <row r="308" spans="1:25" x14ac:dyDescent="0.25">
      <c r="A308" s="252"/>
      <c r="B308" s="241"/>
      <c r="C308" s="241"/>
      <c r="D308" s="241"/>
      <c r="E308" s="241"/>
      <c r="F308" s="241"/>
      <c r="G308" s="194">
        <v>345.95</v>
      </c>
      <c r="H308" s="195">
        <v>35.64</v>
      </c>
      <c r="I308" s="241"/>
      <c r="J308" s="288" t="s">
        <v>518</v>
      </c>
      <c r="K308" s="288"/>
      <c r="L308" s="288"/>
      <c r="M308" s="288"/>
      <c r="N308" s="241"/>
      <c r="O308" s="241"/>
      <c r="P308" s="241"/>
      <c r="Q308" s="241"/>
      <c r="R308" s="241"/>
      <c r="S308" s="241"/>
      <c r="T308" s="241"/>
      <c r="U308" s="241"/>
      <c r="V308" s="241"/>
      <c r="W308" s="241"/>
      <c r="X308" s="241"/>
      <c r="Y308" s="253"/>
    </row>
    <row r="309" spans="1:25" x14ac:dyDescent="0.25">
      <c r="A309" s="252"/>
      <c r="B309" s="241"/>
      <c r="C309" s="241"/>
      <c r="D309" s="241"/>
      <c r="E309" s="241"/>
      <c r="F309" s="241"/>
      <c r="G309" s="194">
        <v>183.93</v>
      </c>
      <c r="H309" s="195">
        <v>774.34</v>
      </c>
      <c r="I309" s="241"/>
      <c r="J309" s="288"/>
      <c r="K309" s="288"/>
      <c r="L309" s="288"/>
      <c r="M309" s="288"/>
      <c r="N309" s="241"/>
      <c r="O309" s="241"/>
      <c r="P309" s="241"/>
      <c r="Q309" s="241"/>
      <c r="R309" s="241"/>
      <c r="S309" s="241"/>
      <c r="T309" s="241"/>
      <c r="U309" s="241"/>
      <c r="V309" s="241"/>
      <c r="W309" s="241"/>
      <c r="X309" s="241"/>
      <c r="Y309" s="253"/>
    </row>
    <row r="310" spans="1:25" ht="15.75" thickBot="1" x14ac:dyDescent="0.3">
      <c r="A310" s="252"/>
      <c r="B310" s="241"/>
      <c r="C310" s="241"/>
      <c r="D310" s="241"/>
      <c r="E310" s="241"/>
      <c r="F310" s="241"/>
      <c r="G310" s="194">
        <v>275.98</v>
      </c>
      <c r="H310" s="195">
        <v>15.86</v>
      </c>
      <c r="I310" s="241"/>
      <c r="J310" s="306"/>
      <c r="K310" s="306"/>
      <c r="L310" s="306"/>
      <c r="M310" s="241"/>
      <c r="N310" s="241"/>
      <c r="O310" s="241"/>
      <c r="P310" s="241"/>
      <c r="Q310" s="241"/>
      <c r="R310" s="241"/>
      <c r="S310" s="241"/>
      <c r="T310" s="241"/>
      <c r="U310" s="241"/>
      <c r="V310" s="241"/>
      <c r="W310" s="241"/>
      <c r="X310" s="241"/>
      <c r="Y310" s="253"/>
    </row>
    <row r="311" spans="1:25" ht="15.75" thickBot="1" x14ac:dyDescent="0.3">
      <c r="A311" s="252"/>
      <c r="B311" s="241"/>
      <c r="C311" s="241"/>
      <c r="D311" s="241"/>
      <c r="E311" s="241"/>
      <c r="F311" s="241"/>
      <c r="G311" s="194">
        <v>293.64999999999998</v>
      </c>
      <c r="H311" s="195">
        <v>547.79999999999995</v>
      </c>
      <c r="I311" s="241"/>
      <c r="J311" s="306"/>
      <c r="K311" s="306"/>
      <c r="L311" s="306"/>
      <c r="M311" s="57" t="s">
        <v>398</v>
      </c>
      <c r="N311" s="120">
        <f>J288</f>
        <v>192.23874999999998</v>
      </c>
      <c r="O311" s="241"/>
      <c r="P311" s="241"/>
      <c r="Q311" s="241"/>
      <c r="R311" s="241"/>
      <c r="S311" s="241"/>
      <c r="T311" s="241"/>
      <c r="U311" s="241"/>
      <c r="V311" s="241"/>
      <c r="W311" s="241"/>
      <c r="X311" s="241"/>
      <c r="Y311" s="253"/>
    </row>
    <row r="312" spans="1:25" ht="15.75" thickBot="1" x14ac:dyDescent="0.3">
      <c r="A312" s="252"/>
      <c r="B312" s="241"/>
      <c r="C312" s="241"/>
      <c r="D312" s="241"/>
      <c r="E312" s="241"/>
      <c r="F312" s="241"/>
      <c r="G312" s="194">
        <v>53.7</v>
      </c>
      <c r="H312" s="195">
        <v>173.64</v>
      </c>
      <c r="I312" s="241"/>
      <c r="J312" s="306"/>
      <c r="K312" s="306"/>
      <c r="L312" s="306"/>
      <c r="M312" s="270"/>
      <c r="N312" s="270"/>
      <c r="O312" s="241"/>
      <c r="P312" s="241"/>
      <c r="Q312" s="241"/>
      <c r="R312" s="241"/>
      <c r="S312" s="241"/>
      <c r="T312" s="241"/>
      <c r="U312" s="241"/>
      <c r="V312" s="241"/>
      <c r="W312" s="241"/>
      <c r="X312" s="241"/>
      <c r="Y312" s="253"/>
    </row>
    <row r="313" spans="1:25" ht="15.75" thickBot="1" x14ac:dyDescent="0.3">
      <c r="A313" s="252"/>
      <c r="B313" s="241"/>
      <c r="C313" s="241"/>
      <c r="D313" s="241"/>
      <c r="E313" s="241"/>
      <c r="F313" s="241"/>
      <c r="G313" s="194">
        <v>391.09</v>
      </c>
      <c r="H313" s="195">
        <v>57.53</v>
      </c>
      <c r="I313" s="241"/>
      <c r="J313" s="287"/>
      <c r="K313" s="287"/>
      <c r="L313" s="287"/>
      <c r="M313" s="390" t="s">
        <v>455</v>
      </c>
      <c r="N313" s="391"/>
      <c r="O313" s="191"/>
      <c r="P313" s="241"/>
      <c r="Q313" s="241"/>
      <c r="R313" s="241"/>
      <c r="S313" s="241"/>
      <c r="T313" s="241"/>
      <c r="U313" s="241"/>
      <c r="V313" s="241"/>
      <c r="W313" s="241"/>
      <c r="X313" s="241"/>
      <c r="Y313" s="253"/>
    </row>
    <row r="314" spans="1:25" x14ac:dyDescent="0.25">
      <c r="A314" s="252"/>
      <c r="B314" s="241"/>
      <c r="C314" s="241"/>
      <c r="D314" s="241"/>
      <c r="E314" s="241"/>
      <c r="F314" s="241"/>
      <c r="G314" s="194">
        <v>89.66</v>
      </c>
      <c r="H314" s="195">
        <v>695.87</v>
      </c>
      <c r="I314" s="241"/>
      <c r="J314" s="306"/>
      <c r="K314" s="306"/>
      <c r="L314" s="241"/>
      <c r="M314" s="209" t="s">
        <v>399</v>
      </c>
      <c r="N314" s="209">
        <f>1/N311</f>
        <v>5.2018648685553774E-3</v>
      </c>
      <c r="O314" s="241"/>
      <c r="P314" s="241"/>
      <c r="Q314" s="241"/>
      <c r="R314" s="241"/>
      <c r="S314" s="241"/>
      <c r="T314" s="241"/>
      <c r="U314" s="241"/>
      <c r="V314" s="241"/>
      <c r="W314" s="241"/>
      <c r="X314" s="241"/>
      <c r="Y314" s="253"/>
    </row>
    <row r="315" spans="1:25" x14ac:dyDescent="0.25">
      <c r="A315" s="252"/>
      <c r="B315" s="241"/>
      <c r="C315" s="241"/>
      <c r="D315" s="241"/>
      <c r="E315" s="241"/>
      <c r="F315" s="241"/>
      <c r="G315" s="194">
        <v>205.23</v>
      </c>
      <c r="H315" s="195">
        <v>283.32</v>
      </c>
      <c r="I315" s="241"/>
      <c r="J315" s="306"/>
      <c r="K315" s="306"/>
      <c r="L315" s="241"/>
      <c r="M315" s="241"/>
      <c r="N315" s="241"/>
      <c r="O315" s="241"/>
      <c r="P315" s="241"/>
      <c r="Q315" s="241"/>
      <c r="R315" s="241"/>
      <c r="S315" s="241"/>
      <c r="T315" s="241"/>
      <c r="U315" s="241"/>
      <c r="V315" s="241"/>
      <c r="W315" s="241"/>
      <c r="X315" s="241"/>
      <c r="Y315" s="253"/>
    </row>
    <row r="316" spans="1:25" x14ac:dyDescent="0.25">
      <c r="A316" s="252"/>
      <c r="B316" s="241"/>
      <c r="C316" s="241"/>
      <c r="D316" s="241"/>
      <c r="E316" s="241"/>
      <c r="F316" s="241"/>
      <c r="G316" s="194">
        <v>23.54</v>
      </c>
      <c r="H316" s="195">
        <v>177.21</v>
      </c>
      <c r="I316" s="241"/>
      <c r="J316" s="241"/>
      <c r="K316" s="241"/>
      <c r="L316" s="241"/>
      <c r="M316" s="241"/>
      <c r="N316" s="241"/>
      <c r="O316" s="241"/>
      <c r="P316" s="241"/>
      <c r="Q316" s="241"/>
      <c r="R316" s="241"/>
      <c r="S316" s="241"/>
      <c r="T316" s="241"/>
      <c r="U316" s="241"/>
      <c r="V316" s="241"/>
      <c r="W316" s="241"/>
      <c r="X316" s="241"/>
      <c r="Y316" s="253"/>
    </row>
    <row r="317" spans="1:25" x14ac:dyDescent="0.25">
      <c r="A317" s="252"/>
      <c r="B317" s="241"/>
      <c r="C317" s="241"/>
      <c r="D317" s="241"/>
      <c r="E317" s="241"/>
      <c r="F317" s="241"/>
      <c r="G317" s="194">
        <v>111.32</v>
      </c>
      <c r="H317" s="195">
        <v>21.42</v>
      </c>
      <c r="I317" s="241"/>
      <c r="J317" s="241"/>
      <c r="K317" s="241"/>
      <c r="L317" s="241"/>
      <c r="M317" s="241"/>
      <c r="N317" s="241"/>
      <c r="O317" s="241"/>
      <c r="P317" s="241"/>
      <c r="Q317" s="241"/>
      <c r="R317" s="241"/>
      <c r="S317" s="241"/>
      <c r="T317" s="241"/>
      <c r="U317" s="241"/>
      <c r="V317" s="241"/>
      <c r="W317" s="241"/>
      <c r="X317" s="241"/>
      <c r="Y317" s="253"/>
    </row>
    <row r="318" spans="1:25" ht="15.75" thickBot="1" x14ac:dyDescent="0.3">
      <c r="A318" s="252"/>
      <c r="B318" s="241"/>
      <c r="C318" s="241"/>
      <c r="D318" s="241"/>
      <c r="E318" s="241"/>
      <c r="F318" s="241"/>
      <c r="G318" s="194">
        <v>17.260000000000002</v>
      </c>
      <c r="H318" s="195">
        <v>125.21</v>
      </c>
      <c r="I318" s="158" t="s">
        <v>229</v>
      </c>
      <c r="J318" s="159">
        <f>ROUNDUP(SQRT(L284),0)</f>
        <v>9</v>
      </c>
      <c r="K318" s="241"/>
      <c r="L318" s="241"/>
      <c r="M318" s="241"/>
      <c r="N318" s="241"/>
      <c r="O318" s="241"/>
      <c r="P318" s="241"/>
      <c r="Q318" s="241"/>
      <c r="R318" s="241"/>
      <c r="S318" s="241"/>
      <c r="T318" s="241"/>
      <c r="U318" s="241"/>
      <c r="V318" s="241"/>
      <c r="W318" s="241"/>
      <c r="X318" s="241"/>
      <c r="Y318" s="253"/>
    </row>
    <row r="319" spans="1:25" x14ac:dyDescent="0.25">
      <c r="A319" s="252"/>
      <c r="B319" s="241"/>
      <c r="C319" s="241"/>
      <c r="D319" s="241"/>
      <c r="E319" s="241"/>
      <c r="F319" s="241"/>
      <c r="G319" s="194">
        <v>341.21</v>
      </c>
      <c r="H319" s="195">
        <v>373.75</v>
      </c>
      <c r="I319" s="305" t="s">
        <v>381</v>
      </c>
      <c r="J319" s="301"/>
      <c r="K319" s="301" t="s">
        <v>161</v>
      </c>
      <c r="L319" s="302"/>
      <c r="M319" s="275" t="s">
        <v>407</v>
      </c>
      <c r="N319" s="258" t="s">
        <v>406</v>
      </c>
      <c r="O319" s="205" t="s">
        <v>227</v>
      </c>
      <c r="P319" s="241"/>
      <c r="Q319" s="241"/>
      <c r="R319" s="241"/>
      <c r="S319" s="241"/>
      <c r="T319" s="241"/>
      <c r="U319" s="241"/>
      <c r="V319" s="241"/>
      <c r="W319" s="241"/>
      <c r="X319" s="241"/>
      <c r="Y319" s="253"/>
    </row>
    <row r="320" spans="1:25" ht="15.75" thickBot="1" x14ac:dyDescent="0.3">
      <c r="A320" s="252"/>
      <c r="B320" s="241"/>
      <c r="C320" s="241"/>
      <c r="D320" s="241"/>
      <c r="E320" s="241"/>
      <c r="F320" s="241"/>
      <c r="G320" s="194">
        <v>193.34</v>
      </c>
      <c r="H320" s="212">
        <v>47.43</v>
      </c>
      <c r="I320" s="210" t="s">
        <v>383</v>
      </c>
      <c r="J320" s="257" t="s">
        <v>384</v>
      </c>
      <c r="K320" s="303" t="s">
        <v>394</v>
      </c>
      <c r="L320" s="304"/>
      <c r="M320" s="276" t="s">
        <v>400</v>
      </c>
      <c r="N320" s="271"/>
      <c r="O320" s="206" t="s">
        <v>73</v>
      </c>
      <c r="P320" s="241"/>
      <c r="Q320" s="241"/>
      <c r="R320" s="241"/>
      <c r="S320" s="241"/>
      <c r="T320" s="241"/>
      <c r="U320" s="241"/>
      <c r="V320" s="241"/>
      <c r="W320" s="241"/>
      <c r="X320" s="241"/>
      <c r="Y320" s="253"/>
    </row>
    <row r="321" spans="1:25" x14ac:dyDescent="0.25">
      <c r="A321" s="252"/>
      <c r="B321" s="241"/>
      <c r="C321" s="241"/>
      <c r="D321" s="241"/>
      <c r="E321" s="241"/>
      <c r="F321" s="241"/>
      <c r="G321" s="194">
        <v>311.32</v>
      </c>
      <c r="H321" s="212">
        <v>162.1</v>
      </c>
      <c r="I321" s="211">
        <v>0</v>
      </c>
      <c r="J321" s="202">
        <v>93.999989999999997</v>
      </c>
      <c r="K321" s="311">
        <f>COUNTIFS($G$285:$H$324,"&gt;0",$G$285:$H$324,"&lt;=93,99999")</f>
        <v>26</v>
      </c>
      <c r="L321" s="312"/>
      <c r="M321" s="277">
        <f>EXPONDIST(J321,$N$314,1)</f>
        <v>0.38674549246225709</v>
      </c>
      <c r="N321" s="272">
        <f>M321*$K$330</f>
        <v>30.939639396980567</v>
      </c>
      <c r="O321" s="245">
        <f>((N321 - K321)^2)/$N$321</f>
        <v>0.78863354091268967</v>
      </c>
      <c r="P321" s="241"/>
      <c r="Q321" s="241"/>
      <c r="R321" s="241"/>
      <c r="S321" s="241"/>
      <c r="T321" s="241"/>
      <c r="U321" s="241"/>
      <c r="V321" s="241"/>
      <c r="W321" s="241"/>
      <c r="X321" s="241"/>
      <c r="Y321" s="253"/>
    </row>
    <row r="322" spans="1:25" x14ac:dyDescent="0.25">
      <c r="A322" s="252"/>
      <c r="B322" s="241"/>
      <c r="C322" s="241"/>
      <c r="D322" s="241"/>
      <c r="E322" s="241"/>
      <c r="F322" s="241"/>
      <c r="G322" s="194">
        <v>123.8</v>
      </c>
      <c r="H322" s="212">
        <v>11.57</v>
      </c>
      <c r="I322" s="197">
        <v>94</v>
      </c>
      <c r="J322" s="239">
        <v>187.99999</v>
      </c>
      <c r="K322" s="307">
        <f>COUNTIFS($G$285:$H$324,"&gt;=94",$G$285:$H$324,"&lt;=187,99999")</f>
        <v>27</v>
      </c>
      <c r="L322" s="308"/>
      <c r="M322" s="278">
        <f>EXPONDIST(J322,$N$314,1)-M321</f>
        <v>0.23717343608561303</v>
      </c>
      <c r="N322" s="273">
        <f t="shared" ref="N322:N329" si="3">M322*$K$330</f>
        <v>18.973874886849043</v>
      </c>
      <c r="O322" s="259">
        <f t="shared" ref="O322:O329" si="4">((N322 - K322)^2)/$N$321</f>
        <v>2.0820761194210671</v>
      </c>
      <c r="P322" s="241"/>
      <c r="Q322" s="241"/>
      <c r="R322" s="241"/>
      <c r="S322" s="241"/>
      <c r="T322" s="241"/>
      <c r="U322" s="241"/>
      <c r="V322" s="241"/>
      <c r="W322" s="241"/>
      <c r="X322" s="241"/>
      <c r="Y322" s="253"/>
    </row>
    <row r="323" spans="1:25" x14ac:dyDescent="0.25">
      <c r="A323" s="252"/>
      <c r="B323" s="241"/>
      <c r="C323" s="241"/>
      <c r="D323" s="241"/>
      <c r="E323" s="241"/>
      <c r="F323" s="241"/>
      <c r="G323" s="194">
        <v>86.29</v>
      </c>
      <c r="H323" s="212">
        <v>182.56</v>
      </c>
      <c r="I323" s="197">
        <v>188</v>
      </c>
      <c r="J323" s="239">
        <v>281.99999000000003</v>
      </c>
      <c r="K323" s="307">
        <f>COUNTIFS($G$285:$H$324,"&gt;=188",$G$285:$H$324,"&lt;=281,99999")</f>
        <v>8</v>
      </c>
      <c r="L323" s="308"/>
      <c r="M323" s="278">
        <f>EXPONDIST(J323,$N$314,1)-M322-M321</f>
        <v>0.14544767118172541</v>
      </c>
      <c r="N323" s="273">
        <f t="shared" si="3"/>
        <v>11.635813694538033</v>
      </c>
      <c r="O323" s="259">
        <f t="shared" si="4"/>
        <v>0.42725582712125509</v>
      </c>
      <c r="P323" s="241"/>
      <c r="Q323" s="241"/>
      <c r="R323" s="241"/>
      <c r="S323" s="241"/>
      <c r="T323" s="241"/>
      <c r="U323" s="241"/>
      <c r="V323" s="241"/>
      <c r="W323" s="241"/>
      <c r="X323" s="241"/>
      <c r="Y323" s="253"/>
    </row>
    <row r="324" spans="1:25" ht="15.75" thickBot="1" x14ac:dyDescent="0.3">
      <c r="A324" s="252"/>
      <c r="B324" s="241"/>
      <c r="C324" s="241"/>
      <c r="D324" s="241"/>
      <c r="E324" s="241"/>
      <c r="F324" s="241"/>
      <c r="G324" s="196">
        <v>166.32</v>
      </c>
      <c r="H324" s="213">
        <v>24.41</v>
      </c>
      <c r="I324" s="197">
        <v>282</v>
      </c>
      <c r="J324" s="239">
        <v>374.99999000000003</v>
      </c>
      <c r="K324" s="307">
        <f>COUNTIFS($G$285:$H$324,"&gt;=282",$G$285:$H$324,"&lt;=374,99999")</f>
        <v>10</v>
      </c>
      <c r="L324" s="308"/>
      <c r="M324" s="278">
        <f>EXPONDIST(J324,$N$314,1)-M323-M322-M321</f>
        <v>8.8458782422122351E-2</v>
      </c>
      <c r="N324" s="273">
        <f t="shared" si="3"/>
        <v>7.0767025937697881</v>
      </c>
      <c r="O324" s="259">
        <f t="shared" si="4"/>
        <v>0.27620450308500577</v>
      </c>
      <c r="P324" s="241"/>
      <c r="Q324" s="241"/>
      <c r="R324" s="241"/>
      <c r="S324" s="241"/>
      <c r="T324" s="241"/>
      <c r="U324" s="241"/>
      <c r="V324" s="241"/>
      <c r="W324" s="241"/>
      <c r="X324" s="241"/>
      <c r="Y324" s="253"/>
    </row>
    <row r="325" spans="1:25" x14ac:dyDescent="0.25">
      <c r="A325" s="252"/>
      <c r="B325" s="241"/>
      <c r="C325" s="241"/>
      <c r="D325" s="241"/>
      <c r="E325" s="241"/>
      <c r="F325" s="241"/>
      <c r="G325" s="254"/>
      <c r="H325" s="255"/>
      <c r="I325" s="197">
        <v>375</v>
      </c>
      <c r="J325" s="239">
        <v>495.99999000000003</v>
      </c>
      <c r="K325" s="307">
        <f>COUNTIFS($G$285:$H$324,"&gt;=375",$G$285:$H$324,"&lt;=495,99999")</f>
        <v>3</v>
      </c>
      <c r="L325" s="308"/>
      <c r="M325" s="278">
        <f>EXPONDIST(J325,$N$314,1)-M324-M323-M322-M321</f>
        <v>6.6410079133807365E-2</v>
      </c>
      <c r="N325" s="273">
        <f t="shared" si="3"/>
        <v>5.3128063307045892</v>
      </c>
      <c r="O325" s="259">
        <f t="shared" si="4"/>
        <v>0.17288737773295598</v>
      </c>
      <c r="P325" s="241"/>
      <c r="Q325" s="241"/>
      <c r="R325" s="241"/>
      <c r="S325" s="241"/>
      <c r="T325" s="241"/>
      <c r="U325" s="241"/>
      <c r="V325" s="241"/>
      <c r="W325" s="241"/>
      <c r="X325" s="241"/>
      <c r="Y325" s="253"/>
    </row>
    <row r="326" spans="1:25" x14ac:dyDescent="0.25">
      <c r="A326" s="252"/>
      <c r="B326" s="241"/>
      <c r="C326" s="241"/>
      <c r="D326" s="241"/>
      <c r="E326" s="241"/>
      <c r="F326" s="241"/>
      <c r="G326" s="252"/>
      <c r="H326" s="253"/>
      <c r="I326" s="197">
        <v>496</v>
      </c>
      <c r="J326" s="239">
        <v>562.99999000000003</v>
      </c>
      <c r="K326" s="307">
        <f>COUNTIFS($G$285:$H$324,"&gt;=496",$G$285:$H$324,"&lt;=562,99999")</f>
        <v>2</v>
      </c>
      <c r="L326" s="308"/>
      <c r="M326" s="278">
        <f>EXPONDIST(J326,$N$314,1)-M325-M324-M323-M322-M321</f>
        <v>2.2295358882190253E-2</v>
      </c>
      <c r="N326" s="273">
        <f t="shared" si="3"/>
        <v>1.7836287105752202</v>
      </c>
      <c r="O326" s="259">
        <f t="shared" si="4"/>
        <v>1.5131570955513689E-3</v>
      </c>
      <c r="P326" s="241"/>
      <c r="Q326" s="241"/>
      <c r="R326" s="241"/>
      <c r="S326" s="241"/>
      <c r="T326" s="241"/>
      <c r="U326" s="241"/>
      <c r="V326" s="241"/>
      <c r="W326" s="241"/>
      <c r="X326" s="241"/>
      <c r="Y326" s="253"/>
    </row>
    <row r="327" spans="1:25" x14ac:dyDescent="0.25">
      <c r="A327" s="252"/>
      <c r="B327" s="241"/>
      <c r="C327" s="241"/>
      <c r="D327" s="241"/>
      <c r="E327" s="241"/>
      <c r="F327" s="241"/>
      <c r="G327" s="252"/>
      <c r="H327" s="253"/>
      <c r="I327" s="197">
        <v>563</v>
      </c>
      <c r="J327" s="239">
        <v>656.99999000000003</v>
      </c>
      <c r="K327" s="307">
        <f>COUNTIFS($G$285:$H$324,"&gt;=563",$G$285:$H$324,"&lt;=656,99999")</f>
        <v>1</v>
      </c>
      <c r="L327" s="308"/>
      <c r="M327" s="278">
        <f>EXPONDIST(J327,$N$314,1)-M326-M325-M324-M323-M322-M321</f>
        <v>2.0678965991492548E-2</v>
      </c>
      <c r="N327" s="273">
        <f t="shared" si="3"/>
        <v>1.6543172793194039</v>
      </c>
      <c r="O327" s="259">
        <f t="shared" si="4"/>
        <v>1.3837624172753887E-2</v>
      </c>
      <c r="P327" s="241"/>
      <c r="Q327" s="241"/>
      <c r="R327" s="306"/>
      <c r="S327" s="241"/>
      <c r="T327" s="241"/>
      <c r="U327" s="241"/>
      <c r="V327" s="241"/>
      <c r="W327" s="241"/>
      <c r="X327" s="241"/>
      <c r="Y327" s="253"/>
    </row>
    <row r="328" spans="1:25" x14ac:dyDescent="0.25">
      <c r="A328" s="252"/>
      <c r="B328" s="241"/>
      <c r="C328" s="241"/>
      <c r="D328" s="241"/>
      <c r="E328" s="241"/>
      <c r="F328" s="241"/>
      <c r="G328" s="252"/>
      <c r="H328" s="253"/>
      <c r="I328" s="197">
        <v>657</v>
      </c>
      <c r="J328" s="239">
        <v>750.99999000000003</v>
      </c>
      <c r="K328" s="307">
        <f>COUNTIFS($G$285:$H$324,"&gt;=657",$G$285:$H$324,"&lt;=750,99999")</f>
        <v>1</v>
      </c>
      <c r="L328" s="308"/>
      <c r="M328" s="278">
        <f>EXPONDIST(J328,$N$314,1)-M327-M326-M325-M324-M323-M322-M321</f>
        <v>1.2681468445829513E-2</v>
      </c>
      <c r="N328" s="273">
        <f t="shared" si="3"/>
        <v>1.0145174756663611</v>
      </c>
      <c r="O328" s="259">
        <f t="shared" si="4"/>
        <v>6.8118796414916875E-6</v>
      </c>
      <c r="P328" s="241"/>
      <c r="Q328" s="241"/>
      <c r="R328" s="306"/>
      <c r="S328" s="241"/>
      <c r="T328" s="241"/>
      <c r="U328" s="241"/>
      <c r="V328" s="241"/>
      <c r="W328" s="241"/>
      <c r="X328" s="241"/>
      <c r="Y328" s="253"/>
    </row>
    <row r="329" spans="1:25" x14ac:dyDescent="0.25">
      <c r="A329" s="252"/>
      <c r="B329" s="241"/>
      <c r="C329" s="241"/>
      <c r="D329" s="241"/>
      <c r="E329" s="241"/>
      <c r="F329" s="241"/>
      <c r="G329" s="252"/>
      <c r="H329" s="253"/>
      <c r="I329" s="197">
        <v>751</v>
      </c>
      <c r="J329" s="239">
        <v>845</v>
      </c>
      <c r="K329" s="307">
        <f>COUNTIFS($G$285:$H$324,"&gt;=751",$G$285:$H$324,"&lt;=845")</f>
        <v>2</v>
      </c>
      <c r="L329" s="308"/>
      <c r="M329" s="278">
        <f>1-M328-M327-M326-M325-M324-M323-M322-M321</f>
        <v>2.0108745394962435E-2</v>
      </c>
      <c r="N329" s="273">
        <f t="shared" si="3"/>
        <v>1.6086996315969948</v>
      </c>
      <c r="O329" s="259">
        <f t="shared" si="4"/>
        <v>4.9488611146279345E-3</v>
      </c>
      <c r="P329" s="241"/>
      <c r="Q329" s="326" t="s">
        <v>226</v>
      </c>
      <c r="R329" s="326"/>
      <c r="S329" s="326"/>
      <c r="T329" s="241"/>
      <c r="U329" s="241"/>
      <c r="V329" s="241"/>
      <c r="W329" s="241"/>
      <c r="X329" s="241"/>
      <c r="Y329" s="253"/>
    </row>
    <row r="330" spans="1:25" ht="15.75" thickBot="1" x14ac:dyDescent="0.3">
      <c r="A330" s="252"/>
      <c r="B330" s="241"/>
      <c r="C330" s="241"/>
      <c r="D330" s="241"/>
      <c r="E330" s="241"/>
      <c r="F330" s="241"/>
      <c r="G330" s="252"/>
      <c r="H330" s="253"/>
      <c r="I330" s="197"/>
      <c r="J330" s="214" t="s">
        <v>385</v>
      </c>
      <c r="K330" s="309">
        <f>SUM(K321:L329)</f>
        <v>80</v>
      </c>
      <c r="L330" s="310"/>
      <c r="M330" s="281">
        <f>SUM(M321:M329)</f>
        <v>1</v>
      </c>
      <c r="N330" s="274">
        <f>SUM(N321:N329)</f>
        <v>80</v>
      </c>
      <c r="O330" s="388">
        <f>SUM(O321:O329)</f>
        <v>3.7673638225355481</v>
      </c>
      <c r="P330" s="387" t="s">
        <v>416</v>
      </c>
      <c r="Q330" s="331"/>
      <c r="R330" s="331"/>
      <c r="S330" s="331"/>
      <c r="T330" s="159"/>
      <c r="U330" s="241"/>
      <c r="V330" s="241"/>
      <c r="W330" s="241"/>
      <c r="X330" s="241"/>
      <c r="Y330" s="253"/>
    </row>
    <row r="331" spans="1:25" ht="15.75" thickBot="1" x14ac:dyDescent="0.3">
      <c r="A331" s="252"/>
      <c r="B331" s="241"/>
      <c r="C331" s="241"/>
      <c r="D331" s="241"/>
      <c r="E331" s="241"/>
      <c r="F331" s="241"/>
      <c r="G331" s="252"/>
      <c r="H331" s="241"/>
      <c r="I331" s="241"/>
      <c r="J331" s="241"/>
      <c r="K331" s="241"/>
      <c r="L331" s="241"/>
      <c r="M331" s="282"/>
      <c r="N331" s="241"/>
      <c r="O331" s="389"/>
      <c r="P331" s="159"/>
      <c r="Q331" s="158" t="s">
        <v>223</v>
      </c>
      <c r="R331" s="203">
        <f>_xlfn.CHISQ.INV.RT(0.05,7)</f>
        <v>14.067140449340167</v>
      </c>
      <c r="S331" s="159"/>
      <c r="T331" s="159"/>
      <c r="U331" s="241"/>
      <c r="V331" s="241"/>
      <c r="W331" s="241"/>
      <c r="X331" s="241"/>
      <c r="Y331" s="253"/>
    </row>
    <row r="332" spans="1:25" ht="15.75" thickBot="1" x14ac:dyDescent="0.3">
      <c r="A332" s="252"/>
      <c r="B332" s="241"/>
      <c r="C332" s="241"/>
      <c r="D332" s="241"/>
      <c r="E332" s="241"/>
      <c r="F332" s="241"/>
      <c r="G332" s="252"/>
      <c r="H332" s="241"/>
      <c r="I332" s="392" t="s">
        <v>458</v>
      </c>
      <c r="J332" s="393"/>
      <c r="K332" s="393"/>
      <c r="L332" s="393"/>
      <c r="M332" s="279" t="s">
        <v>410</v>
      </c>
      <c r="N332" s="236"/>
      <c r="O332" s="241"/>
      <c r="P332" s="325" t="s">
        <v>414</v>
      </c>
      <c r="Q332" s="325"/>
      <c r="R332" s="325"/>
      <c r="S332" s="325"/>
      <c r="T332" s="241"/>
      <c r="U332" s="241"/>
      <c r="V332" s="241"/>
      <c r="W332" s="241"/>
      <c r="X332" s="241"/>
      <c r="Y332" s="253"/>
    </row>
    <row r="333" spans="1:25" x14ac:dyDescent="0.25">
      <c r="A333" s="252"/>
      <c r="B333" s="241"/>
      <c r="C333" s="241"/>
      <c r="D333" s="241"/>
      <c r="E333" s="241"/>
      <c r="F333" s="241"/>
      <c r="G333" s="252"/>
      <c r="H333" s="241"/>
      <c r="I333" s="385" t="s">
        <v>457</v>
      </c>
      <c r="J333" s="386"/>
      <c r="K333" s="386"/>
      <c r="L333" s="386"/>
      <c r="M333" s="279" t="s">
        <v>401</v>
      </c>
      <c r="N333" s="241"/>
      <c r="O333" s="290" t="s">
        <v>225</v>
      </c>
      <c r="P333" s="291"/>
      <c r="Q333" s="291"/>
      <c r="R333" s="292"/>
      <c r="S333" s="241"/>
      <c r="T333" s="241"/>
      <c r="U333" s="241"/>
      <c r="V333" s="241"/>
      <c r="W333" s="241"/>
      <c r="X333" s="241"/>
      <c r="Y333" s="253"/>
    </row>
    <row r="334" spans="1:25" x14ac:dyDescent="0.25">
      <c r="A334" s="252"/>
      <c r="B334" s="241"/>
      <c r="C334" s="241"/>
      <c r="D334" s="241"/>
      <c r="E334" s="241"/>
      <c r="F334" s="241"/>
      <c r="G334" s="252"/>
      <c r="H334" s="241"/>
      <c r="I334" s="217"/>
      <c r="J334" s="218"/>
      <c r="K334" s="218"/>
      <c r="L334" s="218"/>
      <c r="M334" s="279" t="s">
        <v>402</v>
      </c>
      <c r="N334" s="241"/>
      <c r="O334" s="293" t="s">
        <v>411</v>
      </c>
      <c r="P334" s="294"/>
      <c r="Q334" s="294"/>
      <c r="R334" s="295"/>
      <c r="S334" s="241"/>
      <c r="T334" s="241"/>
      <c r="U334" s="241"/>
      <c r="V334" s="241"/>
      <c r="W334" s="241"/>
      <c r="X334" s="241"/>
      <c r="Y334" s="253"/>
    </row>
    <row r="335" spans="1:25" ht="15.75" thickBot="1" x14ac:dyDescent="0.3">
      <c r="A335" s="252"/>
      <c r="B335" s="241"/>
      <c r="C335" s="241"/>
      <c r="D335" s="241"/>
      <c r="E335" s="241"/>
      <c r="F335" s="241"/>
      <c r="G335" s="252"/>
      <c r="H335" s="241"/>
      <c r="I335" s="217"/>
      <c r="J335" s="218"/>
      <c r="K335" s="218"/>
      <c r="L335" s="218"/>
      <c r="M335" s="279" t="s">
        <v>403</v>
      </c>
      <c r="N335" s="241"/>
      <c r="O335" s="296" t="s">
        <v>418</v>
      </c>
      <c r="P335" s="297"/>
      <c r="Q335" s="297"/>
      <c r="R335" s="298"/>
      <c r="S335" s="241"/>
      <c r="T335" s="241"/>
      <c r="U335" s="241"/>
      <c r="V335" s="241"/>
      <c r="W335" s="241"/>
      <c r="X335" s="241"/>
      <c r="Y335" s="253"/>
    </row>
    <row r="336" spans="1:25" x14ac:dyDescent="0.25">
      <c r="A336" s="252"/>
      <c r="B336" s="241"/>
      <c r="C336" s="241"/>
      <c r="D336" s="241"/>
      <c r="E336" s="241"/>
      <c r="F336" s="241"/>
      <c r="G336" s="252"/>
      <c r="H336" s="241"/>
      <c r="I336" s="217"/>
      <c r="J336" s="218"/>
      <c r="K336" s="218"/>
      <c r="L336" s="218"/>
      <c r="M336" s="279" t="s">
        <v>405</v>
      </c>
      <c r="N336" s="241"/>
      <c r="O336" s="241"/>
      <c r="P336" s="241"/>
      <c r="Q336" s="241"/>
      <c r="R336" s="241"/>
      <c r="S336" s="241"/>
      <c r="T336" s="241"/>
      <c r="U336" s="241"/>
      <c r="V336" s="241"/>
      <c r="W336" s="241"/>
      <c r="X336" s="241"/>
      <c r="Y336" s="253"/>
    </row>
    <row r="337" spans="1:25" ht="15.75" thickBot="1" x14ac:dyDescent="0.3">
      <c r="A337" s="252"/>
      <c r="B337" s="241"/>
      <c r="C337" s="241"/>
      <c r="D337" s="241"/>
      <c r="E337" s="241"/>
      <c r="F337" s="241"/>
      <c r="G337" s="215"/>
      <c r="H337" s="191"/>
      <c r="I337" s="219"/>
      <c r="J337" s="220"/>
      <c r="K337" s="220"/>
      <c r="L337" s="220"/>
      <c r="M337" s="280" t="s">
        <v>404</v>
      </c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  <c r="X337" s="191"/>
      <c r="Y337" s="216"/>
    </row>
    <row r="338" spans="1:25" ht="15.75" thickBot="1" x14ac:dyDescent="0.3">
      <c r="A338" s="252"/>
      <c r="B338" s="241"/>
      <c r="C338" s="241"/>
      <c r="D338" s="241"/>
      <c r="E338" s="241"/>
      <c r="F338" s="241"/>
      <c r="G338" s="252"/>
      <c r="H338" s="241"/>
      <c r="I338" s="241"/>
      <c r="J338" s="241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241"/>
      <c r="V338" s="241"/>
      <c r="W338" s="241"/>
      <c r="X338" s="241"/>
      <c r="Y338" s="253"/>
    </row>
    <row r="339" spans="1:25" ht="15.75" thickBot="1" x14ac:dyDescent="0.3">
      <c r="A339" s="130"/>
      <c r="B339" s="137"/>
      <c r="C339" s="137"/>
      <c r="D339" s="137"/>
      <c r="E339" s="137"/>
      <c r="F339" s="137"/>
      <c r="G339" s="382" t="s">
        <v>408</v>
      </c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383"/>
      <c r="Y339" s="384"/>
    </row>
    <row r="350" spans="1:25" x14ac:dyDescent="0.25">
      <c r="J350" s="172"/>
      <c r="K350" s="172"/>
      <c r="L350" s="172"/>
      <c r="M350" s="172"/>
      <c r="N350" s="172"/>
      <c r="O350" s="172"/>
    </row>
    <row r="351" spans="1:25" x14ac:dyDescent="0.25">
      <c r="J351" s="172"/>
      <c r="K351" s="172"/>
      <c r="L351" s="172"/>
      <c r="M351" s="172"/>
      <c r="N351" s="172"/>
      <c r="O351" s="172"/>
    </row>
    <row r="352" spans="1:25" x14ac:dyDescent="0.25">
      <c r="J352" s="172"/>
      <c r="K352" s="172"/>
      <c r="L352" s="172"/>
      <c r="M352" s="289"/>
      <c r="N352" s="289"/>
      <c r="O352" s="172"/>
    </row>
    <row r="353" spans="10:15" x14ac:dyDescent="0.25">
      <c r="J353" s="172"/>
      <c r="K353" s="172"/>
      <c r="L353" s="172"/>
      <c r="M353" s="289"/>
      <c r="N353" s="289"/>
      <c r="O353" s="172"/>
    </row>
    <row r="354" spans="10:15" x14ac:dyDescent="0.25">
      <c r="J354" s="172"/>
      <c r="K354" s="172"/>
      <c r="L354" s="172"/>
      <c r="M354" s="289"/>
      <c r="N354" s="289"/>
      <c r="O354" s="172"/>
    </row>
    <row r="355" spans="10:15" x14ac:dyDescent="0.25">
      <c r="J355" s="172"/>
      <c r="K355" s="172"/>
      <c r="L355" s="172"/>
      <c r="M355" s="289"/>
      <c r="N355" s="289"/>
      <c r="O355" s="172"/>
    </row>
    <row r="356" spans="10:15" x14ac:dyDescent="0.25">
      <c r="J356" s="172"/>
      <c r="K356" s="172"/>
      <c r="L356" s="172"/>
      <c r="M356" s="289"/>
      <c r="N356" s="289"/>
      <c r="O356" s="172"/>
    </row>
    <row r="357" spans="10:15" x14ac:dyDescent="0.25">
      <c r="J357" s="172"/>
      <c r="K357" s="172"/>
      <c r="L357" s="172"/>
      <c r="M357" s="289"/>
      <c r="N357" s="289"/>
      <c r="O357" s="172"/>
    </row>
    <row r="358" spans="10:15" x14ac:dyDescent="0.25">
      <c r="J358" s="172"/>
      <c r="K358" s="172"/>
      <c r="L358" s="172"/>
      <c r="M358" s="289"/>
      <c r="N358" s="289"/>
      <c r="O358" s="172"/>
    </row>
    <row r="359" spans="10:15" x14ac:dyDescent="0.25">
      <c r="J359" s="172"/>
      <c r="K359" s="172"/>
      <c r="L359" s="172"/>
      <c r="M359" s="289"/>
      <c r="N359" s="289"/>
      <c r="O359" s="172"/>
    </row>
    <row r="360" spans="10:15" x14ac:dyDescent="0.25">
      <c r="J360" s="172"/>
      <c r="K360" s="172"/>
      <c r="L360" s="172"/>
      <c r="M360" s="289"/>
      <c r="N360" s="289"/>
      <c r="O360" s="172"/>
    </row>
    <row r="361" spans="10:15" x14ac:dyDescent="0.25">
      <c r="J361" s="172"/>
      <c r="K361" s="172"/>
      <c r="L361" s="172"/>
      <c r="M361" s="172"/>
      <c r="N361" s="172"/>
      <c r="O361" s="172"/>
    </row>
    <row r="362" spans="10:15" x14ac:dyDescent="0.25">
      <c r="J362" s="172"/>
      <c r="K362" s="172"/>
      <c r="L362" s="172"/>
      <c r="M362" s="172"/>
      <c r="N362" s="172"/>
      <c r="O362" s="172"/>
    </row>
  </sheetData>
  <mergeCells count="172">
    <mergeCell ref="J313:L313"/>
    <mergeCell ref="M313:N313"/>
    <mergeCell ref="Q329:S329"/>
    <mergeCell ref="P332:S332"/>
    <mergeCell ref="I332:L332"/>
    <mergeCell ref="K196:N196"/>
    <mergeCell ref="K197:N197"/>
    <mergeCell ref="K198:N198"/>
    <mergeCell ref="F184:H184"/>
    <mergeCell ref="F185:H185"/>
    <mergeCell ref="J307:M307"/>
    <mergeCell ref="J306:M306"/>
    <mergeCell ref="J305:M305"/>
    <mergeCell ref="C200:Y200"/>
    <mergeCell ref="K195:N195"/>
    <mergeCell ref="J157:U157"/>
    <mergeCell ref="E149:G149"/>
    <mergeCell ref="J158:O158"/>
    <mergeCell ref="J160:U160"/>
    <mergeCell ref="E150:H150"/>
    <mergeCell ref="F190:H190"/>
    <mergeCell ref="F178:G178"/>
    <mergeCell ref="J152:S152"/>
    <mergeCell ref="F182:H182"/>
    <mergeCell ref="J166:M166"/>
    <mergeCell ref="F172:H172"/>
    <mergeCell ref="F173:H173"/>
    <mergeCell ref="F174:H174"/>
    <mergeCell ref="F175:H175"/>
    <mergeCell ref="F177:G177"/>
    <mergeCell ref="F166:H166"/>
    <mergeCell ref="F168:H168"/>
    <mergeCell ref="F169:H169"/>
    <mergeCell ref="F170:H170"/>
    <mergeCell ref="E159:H159"/>
    <mergeCell ref="F171:H171"/>
    <mergeCell ref="D111:H111"/>
    <mergeCell ref="C108:H108"/>
    <mergeCell ref="C109:H109"/>
    <mergeCell ref="C110:H110"/>
    <mergeCell ref="C106:U106"/>
    <mergeCell ref="C145:U145"/>
    <mergeCell ref="E147:F147"/>
    <mergeCell ref="E154:G154"/>
    <mergeCell ref="E156:H156"/>
    <mergeCell ref="J150:M150"/>
    <mergeCell ref="J149:O149"/>
    <mergeCell ref="J151:Q151"/>
    <mergeCell ref="J153:S153"/>
    <mergeCell ref="J154:Q154"/>
    <mergeCell ref="J147:U147"/>
    <mergeCell ref="D112:H112"/>
    <mergeCell ref="J168:O168"/>
    <mergeCell ref="A1:C1"/>
    <mergeCell ref="A26:D26"/>
    <mergeCell ref="A27:D27"/>
    <mergeCell ref="B5:C5"/>
    <mergeCell ref="B4:C4"/>
    <mergeCell ref="B102:G102"/>
    <mergeCell ref="B103:G103"/>
    <mergeCell ref="B104:G104"/>
    <mergeCell ref="B78:E78"/>
    <mergeCell ref="B79:E79"/>
    <mergeCell ref="B99:G99"/>
    <mergeCell ref="B100:G100"/>
    <mergeCell ref="B101:G101"/>
    <mergeCell ref="B48:C48"/>
    <mergeCell ref="B50:C50"/>
    <mergeCell ref="B51:C51"/>
    <mergeCell ref="B52:C52"/>
    <mergeCell ref="A41:C41"/>
    <mergeCell ref="B45:C45"/>
    <mergeCell ref="B46:C46"/>
    <mergeCell ref="A29:D29"/>
    <mergeCell ref="A30:D30"/>
    <mergeCell ref="A31:D31"/>
    <mergeCell ref="B32:D32"/>
    <mergeCell ref="B33:D33"/>
    <mergeCell ref="A36:D36"/>
    <mergeCell ref="A37:D37"/>
    <mergeCell ref="A35:D35"/>
    <mergeCell ref="B206:C206"/>
    <mergeCell ref="B211:C211"/>
    <mergeCell ref="B207:C207"/>
    <mergeCell ref="B53:C53"/>
    <mergeCell ref="B75:C75"/>
    <mergeCell ref="B76:C76"/>
    <mergeCell ref="B77:C77"/>
    <mergeCell ref="B74:C74"/>
    <mergeCell ref="B49:C49"/>
    <mergeCell ref="F191:H191"/>
    <mergeCell ref="F193:G193"/>
    <mergeCell ref="I182:J182"/>
    <mergeCell ref="I183:K183"/>
    <mergeCell ref="N190:N191"/>
    <mergeCell ref="K193:M193"/>
    <mergeCell ref="F186:H186"/>
    <mergeCell ref="F187:H187"/>
    <mergeCell ref="F188:H188"/>
    <mergeCell ref="F189:H189"/>
    <mergeCell ref="B295:E295"/>
    <mergeCell ref="B292:E292"/>
    <mergeCell ref="B293:E293"/>
    <mergeCell ref="B294:E294"/>
    <mergeCell ref="C243:E243"/>
    <mergeCell ref="C244:E244"/>
    <mergeCell ref="G244:Y244"/>
    <mergeCell ref="O250:W250"/>
    <mergeCell ref="O249:W249"/>
    <mergeCell ref="O251:W251"/>
    <mergeCell ref="O252:W252"/>
    <mergeCell ref="B290:E290"/>
    <mergeCell ref="G282:Y282"/>
    <mergeCell ref="I284:J284"/>
    <mergeCell ref="N294:Y294"/>
    <mergeCell ref="N295:S295"/>
    <mergeCell ref="N288:U288"/>
    <mergeCell ref="N289:W289"/>
    <mergeCell ref="N290:W290"/>
    <mergeCell ref="I291:K291"/>
    <mergeCell ref="N291:U291"/>
    <mergeCell ref="N284:Y284"/>
    <mergeCell ref="I286:K286"/>
    <mergeCell ref="N286:S286"/>
    <mergeCell ref="I287:L287"/>
    <mergeCell ref="N287:Q287"/>
    <mergeCell ref="R327:R328"/>
    <mergeCell ref="K328:L328"/>
    <mergeCell ref="K326:L326"/>
    <mergeCell ref="K327:L327"/>
    <mergeCell ref="K329:L329"/>
    <mergeCell ref="K330:L330"/>
    <mergeCell ref="K321:L321"/>
    <mergeCell ref="K322:L322"/>
    <mergeCell ref="K323:L323"/>
    <mergeCell ref="K324:L324"/>
    <mergeCell ref="K325:L325"/>
    <mergeCell ref="P330:S330"/>
    <mergeCell ref="O330:O331"/>
    <mergeCell ref="M359:N359"/>
    <mergeCell ref="M360:N360"/>
    <mergeCell ref="M352:N352"/>
    <mergeCell ref="M353:N353"/>
    <mergeCell ref="M354:N354"/>
    <mergeCell ref="M355:N355"/>
    <mergeCell ref="M356:N356"/>
    <mergeCell ref="O333:R333"/>
    <mergeCell ref="O334:R334"/>
    <mergeCell ref="O335:R335"/>
    <mergeCell ref="G339:Y339"/>
    <mergeCell ref="I333:L333"/>
    <mergeCell ref="F183:H183"/>
    <mergeCell ref="E160:H160"/>
    <mergeCell ref="E161:H161"/>
    <mergeCell ref="E162:H162"/>
    <mergeCell ref="E163:H163"/>
    <mergeCell ref="J308:M308"/>
    <mergeCell ref="J309:M309"/>
    <mergeCell ref="M357:N357"/>
    <mergeCell ref="M358:N358"/>
    <mergeCell ref="G284:H284"/>
    <mergeCell ref="K319:L319"/>
    <mergeCell ref="K320:L320"/>
    <mergeCell ref="I319:J319"/>
    <mergeCell ref="J314:K314"/>
    <mergeCell ref="J315:K315"/>
    <mergeCell ref="J310:L310"/>
    <mergeCell ref="J311:L311"/>
    <mergeCell ref="J312:L312"/>
    <mergeCell ref="J303:L303"/>
    <mergeCell ref="N305:S305"/>
    <mergeCell ref="N297:Y297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4608-2255-421A-B1CB-C934639DEEFB}">
  <dimension ref="A1:AD109"/>
  <sheetViews>
    <sheetView tabSelected="1" topLeftCell="M67" zoomScale="85" zoomScaleNormal="85" workbookViewId="0">
      <selection activeCell="C96" sqref="C96"/>
    </sheetView>
  </sheetViews>
  <sheetFormatPr baseColWidth="10" defaultRowHeight="15" x14ac:dyDescent="0.25"/>
  <cols>
    <col min="1" max="1" width="38.42578125" customWidth="1"/>
    <col min="2" max="2" width="32.7109375" customWidth="1"/>
    <col min="3" max="3" width="21.7109375" customWidth="1"/>
    <col min="4" max="4" width="16.7109375" customWidth="1"/>
    <col min="5" max="5" width="21" customWidth="1"/>
    <col min="6" max="6" width="36.140625" customWidth="1"/>
    <col min="7" max="7" width="30.85546875" customWidth="1"/>
    <col min="8" max="8" width="41.28515625" customWidth="1"/>
    <col min="9" max="9" width="20.85546875" customWidth="1"/>
    <col min="10" max="10" width="61.140625" customWidth="1"/>
    <col min="11" max="11" width="90.28515625" customWidth="1"/>
    <col min="12" max="12" width="16" customWidth="1"/>
    <col min="14" max="14" width="6.5703125" customWidth="1"/>
    <col min="26" max="26" width="16.85546875" customWidth="1"/>
    <col min="27" max="27" width="16" customWidth="1"/>
    <col min="28" max="28" width="28.140625" customWidth="1"/>
    <col min="30" max="30" width="14.85546875" customWidth="1"/>
  </cols>
  <sheetData>
    <row r="1" spans="1:30" ht="18" thickBot="1" x14ac:dyDescent="0.35">
      <c r="A1" s="401" t="s">
        <v>232</v>
      </c>
      <c r="B1" s="401"/>
      <c r="C1" s="401"/>
      <c r="D1" s="401"/>
      <c r="E1" s="401"/>
      <c r="F1" s="401"/>
      <c r="G1" s="401"/>
      <c r="H1" s="401"/>
      <c r="I1" s="401"/>
      <c r="J1" s="2"/>
      <c r="K1" s="2"/>
      <c r="L1" s="2"/>
      <c r="M1" s="2"/>
      <c r="N1" s="14"/>
      <c r="O1" s="14"/>
      <c r="P1" s="14"/>
      <c r="Q1" s="14"/>
      <c r="R1" s="14"/>
      <c r="S1" s="14"/>
      <c r="T1" s="14"/>
    </row>
    <row r="2" spans="1:30" ht="17.25" thickTop="1" thickBot="1" x14ac:dyDescent="0.3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4"/>
      <c r="O2" s="14"/>
      <c r="P2" s="14"/>
      <c r="Q2" s="14"/>
      <c r="R2" s="14"/>
      <c r="S2" s="14"/>
      <c r="T2" s="14"/>
    </row>
    <row r="3" spans="1:30" ht="16.5" thickBot="1" x14ac:dyDescent="0.3">
      <c r="A3" s="402" t="s">
        <v>253</v>
      </c>
      <c r="B3" s="403"/>
      <c r="C3" s="403"/>
      <c r="D3" s="403"/>
      <c r="E3" s="403"/>
      <c r="F3" s="403"/>
      <c r="G3" s="403"/>
      <c r="H3" s="403"/>
      <c r="I3" s="403"/>
      <c r="J3" s="403"/>
      <c r="K3" s="404"/>
      <c r="L3" s="165"/>
      <c r="M3" s="165"/>
      <c r="N3" s="14"/>
      <c r="O3" s="14"/>
      <c r="P3" s="14"/>
      <c r="Q3" s="14"/>
      <c r="R3" s="14"/>
      <c r="S3" s="14"/>
      <c r="T3" s="14"/>
    </row>
    <row r="4" spans="1:30" ht="16.5" thickBot="1" x14ac:dyDescent="0.3">
      <c r="A4" s="395" t="s">
        <v>256</v>
      </c>
      <c r="B4" s="395"/>
      <c r="C4" s="395"/>
      <c r="D4" s="395"/>
      <c r="E4" s="395"/>
      <c r="F4" s="395"/>
      <c r="G4" s="395"/>
      <c r="H4" s="173"/>
      <c r="I4" s="173"/>
      <c r="J4" s="173"/>
      <c r="K4" s="173"/>
      <c r="L4" s="165"/>
      <c r="M4" s="165"/>
      <c r="N4" s="14"/>
      <c r="O4" s="14"/>
      <c r="P4" s="14"/>
      <c r="Q4" s="14"/>
      <c r="R4" s="14"/>
      <c r="S4" s="14"/>
      <c r="T4" s="14"/>
    </row>
    <row r="5" spans="1:30" ht="16.5" thickBot="1" x14ac:dyDescent="0.3">
      <c r="A5" s="289"/>
      <c r="B5" s="289"/>
      <c r="C5" s="289"/>
      <c r="D5" s="289"/>
      <c r="E5" s="289"/>
      <c r="F5" s="289"/>
      <c r="G5" s="412" t="s">
        <v>422</v>
      </c>
      <c r="H5" s="413"/>
      <c r="I5" s="413"/>
      <c r="J5" s="414"/>
      <c r="K5" s="165"/>
      <c r="L5" s="165"/>
      <c r="M5" s="165"/>
      <c r="N5" s="14"/>
      <c r="O5" s="14"/>
      <c r="P5" s="14"/>
      <c r="Q5" s="14"/>
      <c r="R5" s="14"/>
      <c r="S5" s="14"/>
      <c r="T5" s="14"/>
    </row>
    <row r="6" spans="1:30" ht="15.75" x14ac:dyDescent="0.25">
      <c r="A6" s="290" t="s">
        <v>412</v>
      </c>
      <c r="B6" s="291"/>
      <c r="C6" s="291"/>
      <c r="D6" s="291"/>
      <c r="E6" s="291"/>
      <c r="F6" s="291"/>
      <c r="G6" s="234" t="s">
        <v>424</v>
      </c>
      <c r="H6" s="235" t="s">
        <v>564</v>
      </c>
      <c r="I6" s="415" t="s">
        <v>421</v>
      </c>
      <c r="J6" s="416"/>
      <c r="K6" s="221"/>
      <c r="L6" s="221"/>
      <c r="M6" s="221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183"/>
    </row>
    <row r="7" spans="1:30" ht="16.5" thickBot="1" x14ac:dyDescent="0.3">
      <c r="A7" s="293" t="s">
        <v>558</v>
      </c>
      <c r="B7" s="294"/>
      <c r="C7" s="294"/>
      <c r="D7" s="294"/>
      <c r="E7" s="294"/>
      <c r="F7" s="294"/>
      <c r="G7" s="417" t="s">
        <v>559</v>
      </c>
      <c r="H7" s="418"/>
      <c r="I7" s="406" t="s">
        <v>560</v>
      </c>
      <c r="J7" s="407"/>
      <c r="K7" s="222"/>
      <c r="L7" s="222"/>
      <c r="M7" s="222"/>
      <c r="N7" s="170"/>
      <c r="O7" s="556" t="s">
        <v>514</v>
      </c>
      <c r="P7" s="556"/>
      <c r="Q7" s="556"/>
      <c r="R7" s="556"/>
      <c r="S7" s="556"/>
      <c r="T7" s="556"/>
      <c r="U7" s="556"/>
      <c r="V7" s="556"/>
      <c r="W7" s="556"/>
      <c r="X7" s="556"/>
      <c r="Y7" s="556"/>
      <c r="Z7" s="556"/>
      <c r="AA7" s="556"/>
      <c r="AB7" s="556"/>
      <c r="AC7" s="170"/>
      <c r="AD7" s="171"/>
    </row>
    <row r="8" spans="1:30" ht="15.75" x14ac:dyDescent="0.25">
      <c r="A8" s="409"/>
      <c r="B8" s="410"/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1"/>
    </row>
    <row r="9" spans="1:30" ht="15.75" x14ac:dyDescent="0.25">
      <c r="A9" s="409" t="s">
        <v>561</v>
      </c>
      <c r="B9" s="410"/>
      <c r="C9" s="410"/>
      <c r="D9" s="410"/>
      <c r="E9" s="410"/>
      <c r="F9" s="410"/>
      <c r="G9" s="410"/>
      <c r="H9" s="222"/>
      <c r="I9" s="222"/>
      <c r="J9" s="222"/>
      <c r="K9" s="222"/>
      <c r="L9" s="222"/>
      <c r="M9" s="394" t="s">
        <v>446</v>
      </c>
      <c r="N9" s="394"/>
      <c r="O9" s="394"/>
      <c r="P9" s="394"/>
      <c r="Q9" s="394"/>
      <c r="R9" s="394"/>
      <c r="S9" s="394"/>
      <c r="T9" s="394"/>
      <c r="U9" s="394"/>
      <c r="V9" s="394"/>
      <c r="W9" s="394"/>
      <c r="X9" s="394"/>
      <c r="Y9" s="394"/>
      <c r="Z9" s="394"/>
      <c r="AA9" s="394"/>
      <c r="AB9" s="394"/>
      <c r="AC9" s="170"/>
      <c r="AD9" s="171"/>
    </row>
    <row r="10" spans="1:30" ht="15.75" x14ac:dyDescent="0.25">
      <c r="A10" s="223"/>
      <c r="B10" s="222"/>
      <c r="C10" s="222"/>
      <c r="D10" s="222"/>
      <c r="E10" s="222"/>
      <c r="F10" s="222"/>
      <c r="G10" s="222"/>
      <c r="H10" s="222"/>
      <c r="I10" s="405" t="s">
        <v>245</v>
      </c>
      <c r="J10" s="405"/>
      <c r="K10" s="405"/>
      <c r="L10" s="405"/>
      <c r="M10" s="222"/>
      <c r="N10" s="170"/>
      <c r="O10" s="170"/>
      <c r="P10" s="170"/>
      <c r="Q10" s="170"/>
      <c r="R10" s="400" t="s">
        <v>244</v>
      </c>
      <c r="S10" s="400"/>
      <c r="T10" s="400"/>
      <c r="U10" s="400"/>
      <c r="V10" s="400"/>
      <c r="W10" s="400"/>
      <c r="X10" s="400"/>
      <c r="Y10" s="400"/>
      <c r="Z10" s="400"/>
      <c r="AA10" s="400"/>
      <c r="AB10" s="400"/>
      <c r="AC10" s="170"/>
      <c r="AD10" s="171"/>
    </row>
    <row r="11" spans="1:30" ht="15.75" x14ac:dyDescent="0.25">
      <c r="A11" s="409" t="s">
        <v>233</v>
      </c>
      <c r="B11" s="410"/>
      <c r="C11" s="410"/>
      <c r="D11" s="410"/>
      <c r="E11" s="410"/>
      <c r="F11" s="410"/>
      <c r="G11" s="222"/>
      <c r="H11" s="222"/>
      <c r="I11" s="405" t="s">
        <v>246</v>
      </c>
      <c r="J11" s="405"/>
      <c r="K11" s="405"/>
      <c r="L11" s="405"/>
      <c r="M11" s="222"/>
      <c r="N11" s="170"/>
      <c r="O11" s="170"/>
      <c r="P11" s="170"/>
      <c r="Q11" s="170"/>
      <c r="R11" s="555" t="s">
        <v>562</v>
      </c>
      <c r="S11" s="555"/>
      <c r="T11" s="555"/>
      <c r="U11" s="555"/>
      <c r="V11" s="555"/>
      <c r="W11" s="555"/>
      <c r="X11" s="555"/>
      <c r="Y11" s="555"/>
      <c r="Z11" s="555"/>
      <c r="AA11" s="555"/>
      <c r="AB11" s="555"/>
      <c r="AC11" s="555"/>
      <c r="AD11" s="557"/>
    </row>
    <row r="12" spans="1:30" ht="15.75" x14ac:dyDescent="0.25">
      <c r="A12" s="223"/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170"/>
      <c r="O12" s="170"/>
      <c r="P12" s="170"/>
      <c r="Q12" s="170"/>
      <c r="R12" s="555" t="s">
        <v>515</v>
      </c>
      <c r="S12" s="555"/>
      <c r="T12" s="555"/>
      <c r="U12" s="555"/>
      <c r="V12" s="555"/>
      <c r="W12" s="555"/>
      <c r="X12" s="555"/>
      <c r="Y12" s="555"/>
      <c r="Z12" s="555"/>
      <c r="AA12" s="555"/>
      <c r="AB12" s="170"/>
      <c r="AC12" s="170"/>
      <c r="AD12" s="171"/>
    </row>
    <row r="13" spans="1:30" ht="15.75" x14ac:dyDescent="0.25">
      <c r="A13" s="226" t="s">
        <v>563</v>
      </c>
      <c r="B13" s="174" t="s">
        <v>456</v>
      </c>
      <c r="C13" s="204">
        <v>4</v>
      </c>
      <c r="D13" s="178"/>
      <c r="E13" s="411" t="s">
        <v>236</v>
      </c>
      <c r="F13" s="411"/>
      <c r="G13" s="411"/>
      <c r="H13" s="178"/>
      <c r="I13" s="179"/>
      <c r="J13" s="179" t="s">
        <v>242</v>
      </c>
      <c r="K13" s="175" t="s">
        <v>255</v>
      </c>
      <c r="L13" s="222"/>
      <c r="M13" s="222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1"/>
    </row>
    <row r="14" spans="1:30" ht="15.75" x14ac:dyDescent="0.25">
      <c r="A14" s="226"/>
      <c r="B14" s="177" t="s">
        <v>250</v>
      </c>
      <c r="C14" s="177" t="s">
        <v>234</v>
      </c>
      <c r="D14" s="177" t="s">
        <v>235</v>
      </c>
      <c r="E14" s="188" t="s">
        <v>237</v>
      </c>
      <c r="F14" s="188" t="s">
        <v>238</v>
      </c>
      <c r="G14" s="188" t="s">
        <v>239</v>
      </c>
      <c r="H14" s="178"/>
      <c r="I14" s="179" t="s">
        <v>24</v>
      </c>
      <c r="J14" s="179" t="s">
        <v>243</v>
      </c>
      <c r="K14" s="175" t="s">
        <v>427</v>
      </c>
      <c r="L14" s="222"/>
      <c r="M14" s="222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1"/>
    </row>
    <row r="15" spans="1:30" ht="15.75" x14ac:dyDescent="0.25">
      <c r="A15" s="227">
        <v>0</v>
      </c>
      <c r="B15" s="180">
        <v>0</v>
      </c>
      <c r="C15" s="181">
        <f>($C$13^B15)*(EXP(-$C$13))/FACT(B15)</f>
        <v>1.8315638888734179E-2</v>
      </c>
      <c r="D15" s="181">
        <f>C15</f>
        <v>1.8315638888734179E-2</v>
      </c>
      <c r="E15" s="186">
        <v>0</v>
      </c>
      <c r="F15" s="187">
        <f>D15-0.00001</f>
        <v>1.8305638888734179E-2</v>
      </c>
      <c r="G15" s="186">
        <v>0</v>
      </c>
      <c r="H15" s="182"/>
      <c r="I15" s="116">
        <v>1</v>
      </c>
      <c r="J15" s="167">
        <v>0.88019000000000003</v>
      </c>
      <c r="K15" s="176">
        <f>VLOOKUP(J15,$E$15:$G$24,3)</f>
        <v>6</v>
      </c>
      <c r="L15" s="222"/>
      <c r="M15" s="222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1"/>
    </row>
    <row r="16" spans="1:30" ht="15.75" x14ac:dyDescent="0.25">
      <c r="A16" s="227">
        <v>1</v>
      </c>
      <c r="B16" s="180">
        <v>1</v>
      </c>
      <c r="C16" s="181">
        <f t="shared" ref="C16:C24" si="0">($C$13^B16)*(EXP(-$C$13))/FACT(B16)</f>
        <v>7.3262555554936715E-2</v>
      </c>
      <c r="D16" s="181">
        <f>D15+C16</f>
        <v>9.1578194443670893E-2</v>
      </c>
      <c r="E16" s="187">
        <f>D15</f>
        <v>1.8315638888734179E-2</v>
      </c>
      <c r="F16" s="187">
        <f>D16-0.00001</f>
        <v>9.1568194443670897E-2</v>
      </c>
      <c r="G16" s="186">
        <v>1</v>
      </c>
      <c r="H16" s="182"/>
      <c r="I16" s="17">
        <v>2</v>
      </c>
      <c r="J16" s="168">
        <v>1.566E-2</v>
      </c>
      <c r="K16" s="169">
        <f t="shared" ref="K16:K44" si="1">VLOOKUP(J16,$E$15:$G$24,3)</f>
        <v>0</v>
      </c>
      <c r="L16" s="222"/>
      <c r="M16" s="222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1"/>
    </row>
    <row r="17" spans="1:30" ht="15.75" x14ac:dyDescent="0.25">
      <c r="A17" s="227">
        <v>2</v>
      </c>
      <c r="B17" s="180">
        <v>2</v>
      </c>
      <c r="C17" s="181">
        <f t="shared" si="0"/>
        <v>0.14652511110987343</v>
      </c>
      <c r="D17" s="181">
        <f>D16+C17</f>
        <v>0.23810330555354431</v>
      </c>
      <c r="E17" s="187">
        <f t="shared" ref="E17:E24" si="2">D16</f>
        <v>9.1578194443670893E-2</v>
      </c>
      <c r="F17" s="187">
        <f t="shared" ref="F17:F24" si="3">D17-0.00001</f>
        <v>0.2380933055535443</v>
      </c>
      <c r="G17" s="186">
        <v>2</v>
      </c>
      <c r="H17" s="182"/>
      <c r="I17" s="17">
        <v>3</v>
      </c>
      <c r="J17" s="168">
        <v>0.44550000000000001</v>
      </c>
      <c r="K17" s="169">
        <f t="shared" si="1"/>
        <v>4</v>
      </c>
      <c r="L17" s="222"/>
      <c r="M17" s="222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1"/>
    </row>
    <row r="18" spans="1:30" ht="15.75" x14ac:dyDescent="0.25">
      <c r="A18" s="227">
        <v>3</v>
      </c>
      <c r="B18" s="180">
        <v>3</v>
      </c>
      <c r="C18" s="181">
        <f t="shared" si="0"/>
        <v>0.19536681481316456</v>
      </c>
      <c r="D18" s="181">
        <f t="shared" ref="D18:D24" si="4">D17+C18</f>
        <v>0.43347012036670884</v>
      </c>
      <c r="E18" s="187">
        <f t="shared" si="2"/>
        <v>0.23810330555354431</v>
      </c>
      <c r="F18" s="187">
        <f t="shared" si="3"/>
        <v>0.43346012036670883</v>
      </c>
      <c r="G18" s="186">
        <v>3</v>
      </c>
      <c r="H18" s="182"/>
      <c r="I18" s="17">
        <v>4</v>
      </c>
      <c r="J18" s="168">
        <v>0.23422000000000001</v>
      </c>
      <c r="K18" s="169">
        <f t="shared" si="1"/>
        <v>2</v>
      </c>
      <c r="L18" s="222"/>
      <c r="M18" s="222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1"/>
    </row>
    <row r="19" spans="1:30" ht="15.75" x14ac:dyDescent="0.25">
      <c r="A19" s="227">
        <v>4</v>
      </c>
      <c r="B19" s="180">
        <v>4</v>
      </c>
      <c r="C19" s="181">
        <f t="shared" si="0"/>
        <v>0.19536681481316456</v>
      </c>
      <c r="D19" s="181">
        <f t="shared" si="4"/>
        <v>0.62883693517987338</v>
      </c>
      <c r="E19" s="187">
        <f t="shared" si="2"/>
        <v>0.43347012036670884</v>
      </c>
      <c r="F19" s="187">
        <f t="shared" si="3"/>
        <v>0.62882693517987343</v>
      </c>
      <c r="G19" s="186">
        <v>4</v>
      </c>
      <c r="H19" s="182"/>
      <c r="I19" s="17">
        <v>5</v>
      </c>
      <c r="J19" s="168">
        <v>0.24909999999999999</v>
      </c>
      <c r="K19" s="169">
        <f t="shared" si="1"/>
        <v>3</v>
      </c>
      <c r="L19" s="222"/>
      <c r="M19" s="222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1"/>
    </row>
    <row r="20" spans="1:30" ht="15.75" x14ac:dyDescent="0.25">
      <c r="A20" s="227">
        <v>5</v>
      </c>
      <c r="B20" s="180">
        <v>5</v>
      </c>
      <c r="C20" s="181">
        <f t="shared" si="0"/>
        <v>0.15629345185053165</v>
      </c>
      <c r="D20" s="181">
        <f t="shared" si="4"/>
        <v>0.78513038703040505</v>
      </c>
      <c r="E20" s="187">
        <f t="shared" si="2"/>
        <v>0.62883693517987338</v>
      </c>
      <c r="F20" s="187">
        <f t="shared" si="3"/>
        <v>0.7851203870304051</v>
      </c>
      <c r="G20" s="186">
        <v>5</v>
      </c>
      <c r="H20" s="182"/>
      <c r="I20" s="17">
        <v>6</v>
      </c>
      <c r="J20" s="168">
        <v>0.69821</v>
      </c>
      <c r="K20" s="169">
        <f t="shared" si="1"/>
        <v>5</v>
      </c>
      <c r="L20" s="222"/>
      <c r="M20" s="222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1"/>
    </row>
    <row r="21" spans="1:30" ht="15.75" x14ac:dyDescent="0.25">
      <c r="A21" s="227">
        <v>6</v>
      </c>
      <c r="B21" s="180">
        <v>6</v>
      </c>
      <c r="C21" s="181">
        <f t="shared" si="0"/>
        <v>0.10419563456702111</v>
      </c>
      <c r="D21" s="181">
        <f t="shared" si="4"/>
        <v>0.88932602159742613</v>
      </c>
      <c r="E21" s="187">
        <f t="shared" si="2"/>
        <v>0.78513038703040505</v>
      </c>
      <c r="F21" s="187">
        <f t="shared" si="3"/>
        <v>0.88931602159742618</v>
      </c>
      <c r="G21" s="186">
        <v>6</v>
      </c>
      <c r="H21" s="182"/>
      <c r="I21" s="17">
        <v>7</v>
      </c>
      <c r="J21" s="168">
        <v>0.18138000000000001</v>
      </c>
      <c r="K21" s="169">
        <f t="shared" si="1"/>
        <v>2</v>
      </c>
      <c r="L21" s="222"/>
      <c r="M21" s="222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1"/>
    </row>
    <row r="22" spans="1:30" ht="15.75" x14ac:dyDescent="0.25">
      <c r="A22" s="227">
        <v>7</v>
      </c>
      <c r="B22" s="180">
        <v>7</v>
      </c>
      <c r="C22" s="181">
        <f t="shared" si="0"/>
        <v>5.9540362609726345E-2</v>
      </c>
      <c r="D22" s="181">
        <f t="shared" si="4"/>
        <v>0.94886638420715252</v>
      </c>
      <c r="E22" s="187">
        <f t="shared" si="2"/>
        <v>0.88932602159742613</v>
      </c>
      <c r="F22" s="187">
        <f t="shared" si="3"/>
        <v>0.94885638420715257</v>
      </c>
      <c r="G22" s="186">
        <v>7</v>
      </c>
      <c r="H22" s="182"/>
      <c r="I22" s="17">
        <v>8</v>
      </c>
      <c r="J22" s="168">
        <v>0.53017000000000003</v>
      </c>
      <c r="K22" s="169">
        <f t="shared" si="1"/>
        <v>4</v>
      </c>
      <c r="L22" s="222"/>
      <c r="M22" s="222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1"/>
    </row>
    <row r="23" spans="1:30" ht="15.75" x14ac:dyDescent="0.25">
      <c r="A23" s="227">
        <v>8</v>
      </c>
      <c r="B23" s="180">
        <v>8</v>
      </c>
      <c r="C23" s="181">
        <f t="shared" si="0"/>
        <v>2.9770181304863173E-2</v>
      </c>
      <c r="D23" s="181">
        <f t="shared" si="4"/>
        <v>0.97863656551201572</v>
      </c>
      <c r="E23" s="187">
        <f t="shared" si="2"/>
        <v>0.94886638420715252</v>
      </c>
      <c r="F23" s="187">
        <f t="shared" si="3"/>
        <v>0.97862656551201577</v>
      </c>
      <c r="G23" s="186">
        <v>8</v>
      </c>
      <c r="H23" s="182"/>
      <c r="I23" s="17">
        <v>9</v>
      </c>
      <c r="J23" s="168">
        <v>0.77693999999999996</v>
      </c>
      <c r="K23" s="169">
        <f t="shared" si="1"/>
        <v>5</v>
      </c>
      <c r="L23" s="222"/>
      <c r="M23" s="222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1"/>
    </row>
    <row r="24" spans="1:30" ht="15.75" x14ac:dyDescent="0.25">
      <c r="A24" s="227">
        <v>9</v>
      </c>
      <c r="B24" s="180">
        <v>9</v>
      </c>
      <c r="C24" s="181">
        <f t="shared" si="0"/>
        <v>1.3231191691050298E-2</v>
      </c>
      <c r="D24" s="181">
        <f t="shared" si="4"/>
        <v>0.99186775720306597</v>
      </c>
      <c r="E24" s="187">
        <f t="shared" si="2"/>
        <v>0.97863656551201572</v>
      </c>
      <c r="F24" s="187">
        <f t="shared" si="3"/>
        <v>0.99185775720306601</v>
      </c>
      <c r="G24" s="186">
        <v>9</v>
      </c>
      <c r="H24" s="182"/>
      <c r="I24" s="17">
        <v>10</v>
      </c>
      <c r="J24" s="168">
        <v>0.47472999999999999</v>
      </c>
      <c r="K24" s="169">
        <f t="shared" si="1"/>
        <v>4</v>
      </c>
      <c r="L24" s="222"/>
      <c r="M24" s="222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1"/>
    </row>
    <row r="25" spans="1:30" ht="15.75" x14ac:dyDescent="0.25">
      <c r="A25" s="228"/>
      <c r="B25" s="222"/>
      <c r="C25" s="408" t="s">
        <v>450</v>
      </c>
      <c r="D25" s="408"/>
      <c r="E25" s="408"/>
      <c r="F25" s="408"/>
      <c r="G25" s="408"/>
      <c r="H25" s="222"/>
      <c r="I25" s="17">
        <v>11</v>
      </c>
      <c r="J25" s="168">
        <v>0.31280999999999998</v>
      </c>
      <c r="K25" s="169">
        <f t="shared" si="1"/>
        <v>3</v>
      </c>
      <c r="L25" s="222"/>
      <c r="M25" s="222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1"/>
    </row>
    <row r="26" spans="1:30" ht="15.75" x14ac:dyDescent="0.25">
      <c r="A26" s="223"/>
      <c r="B26" s="222"/>
      <c r="C26" s="408" t="s">
        <v>451</v>
      </c>
      <c r="D26" s="408"/>
      <c r="E26" s="408"/>
      <c r="F26" s="408"/>
      <c r="G26" s="408"/>
      <c r="H26" s="222"/>
      <c r="I26" s="17">
        <v>12</v>
      </c>
      <c r="J26" s="168">
        <v>0.76327999999999996</v>
      </c>
      <c r="K26" s="169">
        <f t="shared" si="1"/>
        <v>5</v>
      </c>
      <c r="L26" s="222"/>
      <c r="M26" s="222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1"/>
    </row>
    <row r="27" spans="1:30" ht="15.75" x14ac:dyDescent="0.25">
      <c r="A27" s="223"/>
      <c r="B27" s="222"/>
      <c r="C27" s="408" t="s">
        <v>240</v>
      </c>
      <c r="D27" s="408"/>
      <c r="E27" s="408"/>
      <c r="F27" s="408"/>
      <c r="G27" s="408"/>
      <c r="H27" s="222"/>
      <c r="I27" s="17">
        <v>13</v>
      </c>
      <c r="J27" s="168">
        <v>0.17321</v>
      </c>
      <c r="K27" s="169">
        <f t="shared" si="1"/>
        <v>2</v>
      </c>
      <c r="L27" s="222"/>
      <c r="M27" s="222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1"/>
    </row>
    <row r="28" spans="1:30" ht="15.75" x14ac:dyDescent="0.25">
      <c r="A28" s="223"/>
      <c r="B28" s="222"/>
      <c r="C28" s="222"/>
      <c r="D28" s="222"/>
      <c r="E28" s="222"/>
      <c r="F28" s="222"/>
      <c r="G28" s="222"/>
      <c r="H28" s="222"/>
      <c r="I28" s="17">
        <v>14</v>
      </c>
      <c r="J28" s="168">
        <v>0.85157000000000005</v>
      </c>
      <c r="K28" s="169">
        <f t="shared" si="1"/>
        <v>6</v>
      </c>
      <c r="L28" s="222"/>
      <c r="M28" s="222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1"/>
    </row>
    <row r="29" spans="1:30" ht="18.75" x14ac:dyDescent="0.3">
      <c r="A29" s="223"/>
      <c r="B29" s="222"/>
      <c r="C29" s="222"/>
      <c r="D29" s="222"/>
      <c r="E29" s="222"/>
      <c r="F29" s="222"/>
      <c r="G29" s="269" t="s">
        <v>447</v>
      </c>
      <c r="H29" s="222"/>
      <c r="I29" s="17">
        <v>15</v>
      </c>
      <c r="J29" s="168">
        <v>0.97458999999999996</v>
      </c>
      <c r="K29" s="169">
        <f t="shared" si="1"/>
        <v>8</v>
      </c>
      <c r="L29" s="222"/>
      <c r="M29" s="222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1"/>
    </row>
    <row r="30" spans="1:30" ht="15.75" x14ac:dyDescent="0.25">
      <c r="A30" s="223"/>
      <c r="B30" s="222"/>
      <c r="C30" s="222"/>
      <c r="D30" s="222"/>
      <c r="E30" s="222"/>
      <c r="F30" s="222"/>
      <c r="G30" s="222"/>
      <c r="H30" s="222"/>
      <c r="I30" s="17">
        <v>16</v>
      </c>
      <c r="J30" s="168">
        <v>0.15872</v>
      </c>
      <c r="K30" s="169">
        <f t="shared" si="1"/>
        <v>2</v>
      </c>
      <c r="L30" s="222"/>
      <c r="M30" s="222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1"/>
    </row>
    <row r="31" spans="1:30" ht="15.75" x14ac:dyDescent="0.25">
      <c r="A31" s="229"/>
      <c r="B31" s="230"/>
      <c r="C31" s="230"/>
      <c r="D31" s="230"/>
      <c r="E31" s="230"/>
      <c r="F31" s="230"/>
      <c r="G31" s="230"/>
      <c r="H31" s="230"/>
      <c r="I31" s="17">
        <v>17</v>
      </c>
      <c r="J31" s="168">
        <v>0.79027999999999998</v>
      </c>
      <c r="K31" s="169">
        <f t="shared" si="1"/>
        <v>6</v>
      </c>
      <c r="L31" s="230"/>
      <c r="M31" s="23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1"/>
    </row>
    <row r="32" spans="1:30" ht="15.75" x14ac:dyDescent="0.25">
      <c r="A32" s="229"/>
      <c r="B32" s="230"/>
      <c r="C32" s="230"/>
      <c r="D32" s="230"/>
      <c r="E32" s="230"/>
      <c r="F32" s="230"/>
      <c r="G32" s="230"/>
      <c r="H32" s="230"/>
      <c r="I32" s="17">
        <v>18</v>
      </c>
      <c r="J32" s="168">
        <v>0.58567999999999998</v>
      </c>
      <c r="K32" s="169">
        <f t="shared" si="1"/>
        <v>4</v>
      </c>
      <c r="L32" s="230"/>
      <c r="M32" s="23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1"/>
    </row>
    <row r="33" spans="1:30" ht="15.75" x14ac:dyDescent="0.25">
      <c r="A33" s="229"/>
      <c r="B33" s="230"/>
      <c r="C33" s="230"/>
      <c r="D33" s="230"/>
      <c r="E33" s="230"/>
      <c r="F33" s="230"/>
      <c r="G33" s="230"/>
      <c r="H33" s="230"/>
      <c r="I33" s="17">
        <v>19</v>
      </c>
      <c r="J33" s="168">
        <v>0.10442</v>
      </c>
      <c r="K33" s="169">
        <f t="shared" si="1"/>
        <v>2</v>
      </c>
      <c r="L33" s="230"/>
      <c r="M33" s="23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1"/>
    </row>
    <row r="34" spans="1:30" ht="15.75" x14ac:dyDescent="0.25">
      <c r="A34" s="229"/>
      <c r="B34" s="230"/>
      <c r="C34" s="230"/>
      <c r="D34" s="230"/>
      <c r="E34" s="230"/>
      <c r="F34" s="230"/>
      <c r="G34" s="230"/>
      <c r="H34" s="230"/>
      <c r="I34" s="17">
        <v>20</v>
      </c>
      <c r="J34" s="168">
        <v>0.84935000000000005</v>
      </c>
      <c r="K34" s="169">
        <f t="shared" si="1"/>
        <v>6</v>
      </c>
      <c r="L34" s="230"/>
      <c r="M34" s="23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1"/>
    </row>
    <row r="35" spans="1:30" ht="15.75" x14ac:dyDescent="0.25">
      <c r="A35" s="229"/>
      <c r="B35" s="230"/>
      <c r="C35" s="230"/>
      <c r="D35" s="230"/>
      <c r="E35" s="230"/>
      <c r="F35" s="230"/>
      <c r="G35" s="230"/>
      <c r="H35" s="230"/>
      <c r="I35" s="17">
        <v>21</v>
      </c>
      <c r="J35" s="168">
        <v>0.14088000000000001</v>
      </c>
      <c r="K35" s="169">
        <f t="shared" si="1"/>
        <v>2</v>
      </c>
      <c r="L35" s="230"/>
      <c r="M35" s="23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1"/>
    </row>
    <row r="36" spans="1:30" ht="15.75" x14ac:dyDescent="0.25">
      <c r="A36" s="229"/>
      <c r="B36" s="230"/>
      <c r="C36" s="230"/>
      <c r="D36" s="230"/>
      <c r="E36" s="230"/>
      <c r="F36" s="230"/>
      <c r="G36" s="230"/>
      <c r="H36" s="230"/>
      <c r="I36" s="17">
        <v>22</v>
      </c>
      <c r="J36" s="168">
        <v>0.95321</v>
      </c>
      <c r="K36" s="169">
        <f t="shared" si="1"/>
        <v>8</v>
      </c>
      <c r="L36" s="230"/>
      <c r="M36" s="23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1"/>
    </row>
    <row r="37" spans="1:30" ht="15.75" x14ac:dyDescent="0.25">
      <c r="A37" s="229"/>
      <c r="B37" s="230"/>
      <c r="C37" s="230"/>
      <c r="D37" s="230"/>
      <c r="E37" s="230"/>
      <c r="F37" s="230"/>
      <c r="G37" s="230"/>
      <c r="H37" s="230"/>
      <c r="I37" s="17">
        <v>23</v>
      </c>
      <c r="J37" s="168">
        <v>0.60702999999999996</v>
      </c>
      <c r="K37" s="169">
        <f t="shared" si="1"/>
        <v>4</v>
      </c>
      <c r="L37" s="230"/>
      <c r="M37" s="23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1"/>
    </row>
    <row r="38" spans="1:30" ht="15.75" x14ac:dyDescent="0.25">
      <c r="A38" s="229"/>
      <c r="B38" s="230"/>
      <c r="C38" s="230"/>
      <c r="D38" s="230"/>
      <c r="E38" s="230"/>
      <c r="F38" s="230"/>
      <c r="G38" s="230"/>
      <c r="H38" s="230"/>
      <c r="I38" s="17">
        <v>24</v>
      </c>
      <c r="J38" s="168">
        <v>0.61599000000000004</v>
      </c>
      <c r="K38" s="169">
        <f t="shared" si="1"/>
        <v>4</v>
      </c>
      <c r="L38" s="230"/>
      <c r="M38" s="23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1"/>
    </row>
    <row r="39" spans="1:30" ht="15.75" x14ac:dyDescent="0.25">
      <c r="A39" s="229"/>
      <c r="B39" s="230"/>
      <c r="C39" s="230"/>
      <c r="D39" s="230"/>
      <c r="E39" s="230"/>
      <c r="F39" s="230"/>
      <c r="G39" s="230"/>
      <c r="H39" s="230"/>
      <c r="I39" s="17">
        <v>25</v>
      </c>
      <c r="J39" s="168">
        <v>0.54861000000000004</v>
      </c>
      <c r="K39" s="169">
        <f t="shared" si="1"/>
        <v>4</v>
      </c>
      <c r="L39" s="230"/>
      <c r="M39" s="23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1"/>
    </row>
    <row r="40" spans="1:30" ht="15.75" x14ac:dyDescent="0.25">
      <c r="A40" s="229"/>
      <c r="B40" s="230"/>
      <c r="C40" s="230"/>
      <c r="D40" s="230"/>
      <c r="E40" s="230"/>
      <c r="F40" s="230"/>
      <c r="G40" s="230"/>
      <c r="H40" s="230"/>
      <c r="I40" s="17">
        <v>26</v>
      </c>
      <c r="J40" s="168">
        <v>8.9270000000000002E-2</v>
      </c>
      <c r="K40" s="169">
        <f t="shared" si="1"/>
        <v>1</v>
      </c>
      <c r="L40" s="230"/>
      <c r="M40" s="23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1"/>
    </row>
    <row r="41" spans="1:30" ht="15.75" x14ac:dyDescent="0.25">
      <c r="A41" s="229"/>
      <c r="B41" s="230"/>
      <c r="C41" s="230"/>
      <c r="D41" s="230"/>
      <c r="E41" s="230"/>
      <c r="F41" s="230"/>
      <c r="G41" s="230"/>
      <c r="H41" s="230"/>
      <c r="I41" s="17">
        <v>27</v>
      </c>
      <c r="J41" s="168">
        <v>0.15218000000000001</v>
      </c>
      <c r="K41" s="169">
        <f t="shared" si="1"/>
        <v>2</v>
      </c>
      <c r="L41" s="230"/>
      <c r="M41" s="23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1"/>
    </row>
    <row r="42" spans="1:30" ht="15.75" x14ac:dyDescent="0.25">
      <c r="A42" s="229"/>
      <c r="B42" s="230"/>
      <c r="C42" s="230"/>
      <c r="D42" s="230"/>
      <c r="E42" s="230"/>
      <c r="F42" s="230"/>
      <c r="G42" s="230"/>
      <c r="H42" s="230"/>
      <c r="I42" s="17">
        <v>28</v>
      </c>
      <c r="J42" s="168">
        <v>0.98555999999999999</v>
      </c>
      <c r="K42" s="169">
        <f t="shared" si="1"/>
        <v>9</v>
      </c>
      <c r="L42" s="230"/>
      <c r="M42" s="23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1"/>
    </row>
    <row r="43" spans="1:30" ht="15.75" x14ac:dyDescent="0.25">
      <c r="A43" s="229"/>
      <c r="B43" s="230"/>
      <c r="C43" s="230"/>
      <c r="D43" s="230"/>
      <c r="E43" s="230"/>
      <c r="F43" s="230"/>
      <c r="G43" s="230"/>
      <c r="H43" s="230"/>
      <c r="I43" s="17">
        <v>29</v>
      </c>
      <c r="J43" s="168">
        <v>0.42476000000000003</v>
      </c>
      <c r="K43" s="169">
        <f t="shared" si="1"/>
        <v>3</v>
      </c>
      <c r="L43" s="230"/>
      <c r="M43" s="23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1"/>
    </row>
    <row r="44" spans="1:30" ht="18.75" x14ac:dyDescent="0.3">
      <c r="A44" s="419" t="s">
        <v>449</v>
      </c>
      <c r="B44" s="420"/>
      <c r="C44" s="420"/>
      <c r="D44" s="420"/>
      <c r="E44" s="420"/>
      <c r="F44" s="230"/>
      <c r="G44" s="230"/>
      <c r="H44" s="230"/>
      <c r="I44" s="17">
        <v>30</v>
      </c>
      <c r="J44" s="168">
        <v>0.12403</v>
      </c>
      <c r="K44" s="169">
        <f t="shared" si="1"/>
        <v>2</v>
      </c>
      <c r="L44" s="230"/>
      <c r="M44" s="23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1"/>
    </row>
    <row r="45" spans="1:30" ht="15.75" x14ac:dyDescent="0.25">
      <c r="A45" s="540" t="s">
        <v>420</v>
      </c>
      <c r="B45" s="394"/>
      <c r="C45" s="394"/>
      <c r="D45" s="394"/>
      <c r="E45" s="394"/>
      <c r="F45" s="230"/>
      <c r="G45" s="230"/>
      <c r="H45" s="230"/>
      <c r="I45" s="230"/>
      <c r="J45" s="230"/>
      <c r="K45" s="72" t="s">
        <v>247</v>
      </c>
      <c r="L45" s="230"/>
      <c r="M45" s="23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1"/>
    </row>
    <row r="46" spans="1:30" ht="15.75" x14ac:dyDescent="0.25">
      <c r="A46" s="229"/>
      <c r="B46" s="230"/>
      <c r="C46" s="230"/>
      <c r="D46" s="230"/>
      <c r="E46" s="230"/>
      <c r="F46" s="230"/>
      <c r="G46" s="230"/>
      <c r="H46" s="230"/>
      <c r="I46" s="230"/>
      <c r="J46" s="230"/>
      <c r="K46" s="72" t="s">
        <v>248</v>
      </c>
      <c r="L46" s="230"/>
      <c r="M46" s="23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1"/>
    </row>
    <row r="47" spans="1:30" ht="15.75" x14ac:dyDescent="0.25">
      <c r="A47" s="229"/>
      <c r="B47" s="230"/>
      <c r="C47" s="230"/>
      <c r="D47" s="230"/>
      <c r="E47" s="230"/>
      <c r="F47" s="230"/>
      <c r="G47" s="230"/>
      <c r="H47" s="230"/>
      <c r="I47" s="230"/>
      <c r="J47" s="230"/>
      <c r="K47" s="72" t="s">
        <v>249</v>
      </c>
      <c r="L47" s="230"/>
      <c r="M47" s="23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1"/>
    </row>
    <row r="48" spans="1:30" ht="16.5" thickBot="1" x14ac:dyDescent="0.3">
      <c r="A48" s="231"/>
      <c r="B48" s="232"/>
      <c r="C48" s="232"/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27"/>
    </row>
    <row r="49" spans="1:30" ht="15.75" x14ac:dyDescent="0.25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30" ht="16.5" thickBot="1" x14ac:dyDescent="0.3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30" ht="16.5" thickBot="1" x14ac:dyDescent="0.3">
      <c r="A51" s="402" t="s">
        <v>253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4"/>
      <c r="L51" s="165"/>
      <c r="M51" s="165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</row>
    <row r="52" spans="1:30" ht="15.75" x14ac:dyDescent="0.25">
      <c r="A52" s="395" t="s">
        <v>256</v>
      </c>
      <c r="B52" s="395"/>
      <c r="C52" s="395"/>
      <c r="D52" s="395"/>
      <c r="E52" s="395"/>
      <c r="F52" s="395"/>
      <c r="G52" s="395"/>
      <c r="H52" s="173"/>
      <c r="I52" s="173"/>
      <c r="J52" s="173"/>
      <c r="K52" s="173"/>
      <c r="L52" s="165"/>
      <c r="M52" s="165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</row>
    <row r="53" spans="1:30" ht="16.5" thickBot="1" x14ac:dyDescent="0.3">
      <c r="A53" s="289"/>
      <c r="B53" s="289"/>
      <c r="C53" s="289"/>
      <c r="D53" s="289"/>
      <c r="E53" s="289"/>
      <c r="F53" s="289"/>
      <c r="G53" s="421" t="s">
        <v>422</v>
      </c>
      <c r="H53" s="422"/>
      <c r="I53" s="422"/>
      <c r="J53" s="422"/>
      <c r="K53" s="422"/>
      <c r="L53" s="165"/>
      <c r="M53" s="165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</row>
    <row r="54" spans="1:30" ht="15.75" x14ac:dyDescent="0.25">
      <c r="A54" s="290" t="s">
        <v>413</v>
      </c>
      <c r="B54" s="291"/>
      <c r="C54" s="291"/>
      <c r="D54" s="291"/>
      <c r="E54" s="291"/>
      <c r="F54" s="291"/>
      <c r="G54" s="234" t="s">
        <v>423</v>
      </c>
      <c r="H54" s="235" t="s">
        <v>380</v>
      </c>
      <c r="I54" s="432" t="s">
        <v>421</v>
      </c>
      <c r="J54" s="433"/>
      <c r="K54" s="433"/>
      <c r="L54" s="221"/>
      <c r="M54" s="221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201"/>
    </row>
    <row r="55" spans="1:30" ht="16.5" thickBot="1" x14ac:dyDescent="0.3">
      <c r="A55" s="293" t="s">
        <v>417</v>
      </c>
      <c r="B55" s="294"/>
      <c r="C55" s="294"/>
      <c r="D55" s="294"/>
      <c r="E55" s="294"/>
      <c r="F55" s="294"/>
      <c r="G55" s="417" t="s">
        <v>425</v>
      </c>
      <c r="H55" s="418"/>
      <c r="I55" s="431" t="s">
        <v>426</v>
      </c>
      <c r="J55" s="394"/>
      <c r="K55" s="394"/>
      <c r="L55" s="222"/>
      <c r="M55" s="222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200"/>
    </row>
    <row r="56" spans="1:30" ht="15.75" x14ac:dyDescent="0.25">
      <c r="A56" s="409"/>
      <c r="B56" s="410"/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94" t="s">
        <v>513</v>
      </c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198"/>
      <c r="AD56" s="200"/>
    </row>
    <row r="57" spans="1:30" ht="15.75" x14ac:dyDescent="0.25">
      <c r="A57" s="396" t="s">
        <v>431</v>
      </c>
      <c r="B57" s="397"/>
      <c r="C57" s="397"/>
      <c r="D57" s="397"/>
      <c r="E57" s="397"/>
      <c r="F57" s="225">
        <v>5.2018265000000003E-3</v>
      </c>
      <c r="G57" s="222"/>
      <c r="H57" s="222"/>
      <c r="I57" s="222"/>
      <c r="J57" s="222"/>
      <c r="K57" s="222"/>
      <c r="L57" s="222"/>
      <c r="M57" s="554" t="s">
        <v>446</v>
      </c>
      <c r="N57" s="554"/>
      <c r="O57" s="554"/>
      <c r="P57" s="554"/>
      <c r="Q57" s="554"/>
      <c r="R57" s="554"/>
      <c r="S57" s="554"/>
      <c r="T57" s="554"/>
      <c r="U57" s="554"/>
      <c r="V57" s="554"/>
      <c r="W57" s="554"/>
      <c r="X57" s="554"/>
      <c r="Y57" s="554"/>
      <c r="Z57" s="554"/>
      <c r="AA57" s="554"/>
      <c r="AB57" s="554"/>
      <c r="AC57" s="198"/>
      <c r="AD57" s="200"/>
    </row>
    <row r="58" spans="1:30" ht="15.75" x14ac:dyDescent="0.25">
      <c r="A58" s="396" t="s">
        <v>428</v>
      </c>
      <c r="B58" s="397"/>
      <c r="C58" s="397"/>
      <c r="D58" s="397"/>
      <c r="E58" s="397"/>
      <c r="F58" s="397"/>
      <c r="G58" s="222"/>
      <c r="H58" s="222"/>
      <c r="I58" s="405" t="s">
        <v>245</v>
      </c>
      <c r="J58" s="405"/>
      <c r="K58" s="405"/>
      <c r="L58" s="405"/>
      <c r="M58" s="400" t="s">
        <v>448</v>
      </c>
      <c r="N58" s="400"/>
      <c r="O58" s="400"/>
      <c r="P58" s="400"/>
      <c r="Q58" s="400"/>
      <c r="R58" s="400"/>
      <c r="S58" s="400"/>
      <c r="T58" s="400"/>
      <c r="U58" s="400"/>
      <c r="V58" s="400"/>
      <c r="W58" s="400"/>
      <c r="X58" s="400"/>
      <c r="Y58" s="400"/>
      <c r="Z58" s="400"/>
      <c r="AA58" s="400"/>
      <c r="AB58" s="400"/>
      <c r="AC58" s="198"/>
      <c r="AD58" s="200"/>
    </row>
    <row r="59" spans="1:30" ht="15.75" x14ac:dyDescent="0.25">
      <c r="A59" s="409"/>
      <c r="B59" s="410"/>
      <c r="C59" s="410"/>
      <c r="D59" s="410"/>
      <c r="E59" s="410"/>
      <c r="F59" s="410"/>
      <c r="G59" s="222"/>
      <c r="H59" s="222"/>
      <c r="I59" s="405" t="s">
        <v>442</v>
      </c>
      <c r="J59" s="405"/>
      <c r="K59" s="405"/>
      <c r="L59" s="405"/>
      <c r="M59" s="555" t="s">
        <v>516</v>
      </c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55"/>
      <c r="AB59" s="555"/>
      <c r="AC59" s="198"/>
      <c r="AD59" s="200"/>
    </row>
    <row r="60" spans="1:30" ht="16.5" thickBot="1" x14ac:dyDescent="0.3">
      <c r="A60" s="398" t="s">
        <v>565</v>
      </c>
      <c r="B60" s="399"/>
      <c r="C60" s="399"/>
      <c r="D60" s="399"/>
      <c r="E60" s="399"/>
      <c r="F60" s="399"/>
      <c r="G60" s="222"/>
      <c r="H60" s="222"/>
      <c r="I60" s="222"/>
      <c r="J60" s="222"/>
      <c r="K60" s="222"/>
      <c r="L60" s="222"/>
      <c r="M60" s="555" t="s">
        <v>517</v>
      </c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55"/>
      <c r="AB60" s="555"/>
      <c r="AC60" s="198"/>
      <c r="AD60" s="200"/>
    </row>
    <row r="61" spans="1:30" ht="15.75" x14ac:dyDescent="0.25">
      <c r="A61" s="423"/>
      <c r="B61" s="424"/>
      <c r="C61" s="424"/>
      <c r="D61" s="424"/>
      <c r="E61" s="424"/>
      <c r="F61" s="424"/>
      <c r="G61" s="191"/>
      <c r="H61" s="198"/>
      <c r="I61" s="20"/>
      <c r="J61" s="179" t="s">
        <v>242</v>
      </c>
      <c r="K61" s="175" t="s">
        <v>443</v>
      </c>
      <c r="L61" s="222"/>
      <c r="M61" s="222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200"/>
    </row>
    <row r="62" spans="1:30" ht="15.75" x14ac:dyDescent="0.25">
      <c r="A62" s="425" t="s">
        <v>432</v>
      </c>
      <c r="B62" s="426"/>
      <c r="C62" s="426"/>
      <c r="D62" s="426"/>
      <c r="E62" s="426"/>
      <c r="F62" s="426"/>
      <c r="G62" s="198"/>
      <c r="H62" s="198"/>
      <c r="I62" s="24" t="s">
        <v>24</v>
      </c>
      <c r="J62" s="179" t="s">
        <v>444</v>
      </c>
      <c r="K62" s="175" t="s">
        <v>445</v>
      </c>
      <c r="L62" s="222"/>
      <c r="M62" s="222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  <c r="AD62" s="200"/>
    </row>
    <row r="63" spans="1:30" ht="15.75" x14ac:dyDescent="0.25">
      <c r="A63" s="423"/>
      <c r="B63" s="424"/>
      <c r="C63" s="424"/>
      <c r="D63" s="424"/>
      <c r="E63" s="424"/>
      <c r="F63" s="424"/>
      <c r="G63" s="198"/>
      <c r="H63" s="198"/>
      <c r="I63" s="17">
        <v>1</v>
      </c>
      <c r="J63" s="29">
        <v>0.22826460065297183</v>
      </c>
      <c r="K63" s="268">
        <f>-(1/$F$57)*LN(1-J63)</f>
        <v>49.81202942242173</v>
      </c>
      <c r="L63" s="222"/>
      <c r="M63" s="222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200"/>
    </row>
    <row r="64" spans="1:30" ht="15.75" x14ac:dyDescent="0.25">
      <c r="A64" s="423" t="s">
        <v>433</v>
      </c>
      <c r="B64" s="424"/>
      <c r="C64" s="424"/>
      <c r="D64" s="424"/>
      <c r="E64" s="424"/>
      <c r="F64" s="424"/>
      <c r="G64" s="198"/>
      <c r="H64" s="198"/>
      <c r="I64" s="17">
        <v>2</v>
      </c>
      <c r="J64" s="29">
        <v>0.45046430328237563</v>
      </c>
      <c r="K64" s="268">
        <f t="shared" ref="K64:K102" si="5">-(1/$F$57)*LN(1-J64)</f>
        <v>115.09064077183884</v>
      </c>
      <c r="L64" s="222"/>
      <c r="M64" s="222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200"/>
    </row>
    <row r="65" spans="1:30" ht="15.75" x14ac:dyDescent="0.25">
      <c r="A65" s="423"/>
      <c r="B65" s="424"/>
      <c r="C65" s="424"/>
      <c r="D65" s="424"/>
      <c r="E65" s="424"/>
      <c r="F65" s="424"/>
      <c r="G65" s="198"/>
      <c r="H65" s="198"/>
      <c r="I65" s="17">
        <v>3</v>
      </c>
      <c r="J65" s="29">
        <v>0.86528563632531008</v>
      </c>
      <c r="K65" s="268">
        <f t="shared" si="5"/>
        <v>385.36436513115206</v>
      </c>
      <c r="L65" s="222"/>
      <c r="M65" s="222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200"/>
    </row>
    <row r="66" spans="1:30" ht="15.75" x14ac:dyDescent="0.25">
      <c r="A66" s="423" t="s">
        <v>434</v>
      </c>
      <c r="B66" s="424"/>
      <c r="C66" s="424"/>
      <c r="D66" s="424"/>
      <c r="E66" s="424"/>
      <c r="F66" s="424"/>
      <c r="G66" s="198"/>
      <c r="H66" s="198"/>
      <c r="I66" s="17">
        <v>4</v>
      </c>
      <c r="J66" s="29">
        <v>0.30908341786355553</v>
      </c>
      <c r="K66" s="268">
        <f t="shared" si="5"/>
        <v>71.078145916431239</v>
      </c>
      <c r="L66" s="222"/>
      <c r="M66" s="222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200"/>
    </row>
    <row r="67" spans="1:30" ht="15.75" x14ac:dyDescent="0.25">
      <c r="A67" s="427"/>
      <c r="B67" s="428"/>
      <c r="C67" s="428"/>
      <c r="D67" s="428"/>
      <c r="E67" s="428"/>
      <c r="F67" s="428"/>
      <c r="G67" s="198"/>
      <c r="H67" s="198"/>
      <c r="I67" s="17">
        <v>5</v>
      </c>
      <c r="J67" s="29">
        <v>0.42588546244637904</v>
      </c>
      <c r="K67" s="268">
        <f t="shared" si="5"/>
        <v>106.67913660562097</v>
      </c>
      <c r="L67" s="222"/>
      <c r="M67" s="222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200"/>
    </row>
    <row r="68" spans="1:30" ht="15.75" x14ac:dyDescent="0.25">
      <c r="A68" s="423" t="s">
        <v>435</v>
      </c>
      <c r="B68" s="424"/>
      <c r="C68" s="424"/>
      <c r="D68" s="424"/>
      <c r="E68" s="424"/>
      <c r="F68" s="424"/>
      <c r="G68" s="198"/>
      <c r="H68" s="198"/>
      <c r="I68" s="17">
        <v>6</v>
      </c>
      <c r="J68" s="29">
        <v>0.51771166836387539</v>
      </c>
      <c r="K68" s="268">
        <f t="shared" si="5"/>
        <v>140.18405753550044</v>
      </c>
      <c r="L68" s="222"/>
      <c r="M68" s="222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200"/>
    </row>
    <row r="69" spans="1:30" ht="15.75" x14ac:dyDescent="0.25">
      <c r="A69" s="427"/>
      <c r="B69" s="428"/>
      <c r="C69" s="428"/>
      <c r="D69" s="428"/>
      <c r="E69" s="428"/>
      <c r="F69" s="428"/>
      <c r="G69" s="198"/>
      <c r="H69" s="198"/>
      <c r="I69" s="17">
        <v>7</v>
      </c>
      <c r="J69" s="29">
        <v>0.3559906177344957</v>
      </c>
      <c r="K69" s="268">
        <f t="shared" si="5"/>
        <v>84.593744956440062</v>
      </c>
      <c r="L69" s="222"/>
      <c r="M69" s="222"/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198"/>
      <c r="Z69" s="198"/>
      <c r="AA69" s="198"/>
      <c r="AB69" s="198"/>
      <c r="AC69" s="198"/>
      <c r="AD69" s="200"/>
    </row>
    <row r="70" spans="1:30" ht="15.75" x14ac:dyDescent="0.25">
      <c r="A70" s="423" t="s">
        <v>436</v>
      </c>
      <c r="B70" s="424"/>
      <c r="C70" s="424"/>
      <c r="D70" s="424"/>
      <c r="E70" s="424"/>
      <c r="F70" s="424"/>
      <c r="G70" s="198"/>
      <c r="H70" s="198"/>
      <c r="I70" s="17">
        <v>8</v>
      </c>
      <c r="J70" s="29">
        <v>0.49251050181184031</v>
      </c>
      <c r="K70" s="268">
        <f t="shared" si="5"/>
        <v>130.39251914795761</v>
      </c>
      <c r="L70" s="222"/>
      <c r="M70" s="222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8"/>
      <c r="AA70" s="198"/>
      <c r="AB70" s="198"/>
      <c r="AC70" s="198"/>
      <c r="AD70" s="200"/>
    </row>
    <row r="71" spans="1:30" ht="15.75" x14ac:dyDescent="0.25">
      <c r="A71" s="427"/>
      <c r="B71" s="428"/>
      <c r="C71" s="428"/>
      <c r="D71" s="428"/>
      <c r="E71" s="428"/>
      <c r="F71" s="428"/>
      <c r="G71" s="198"/>
      <c r="H71" s="198"/>
      <c r="I71" s="17">
        <v>9</v>
      </c>
      <c r="J71" s="29">
        <v>0.17377662039705033</v>
      </c>
      <c r="K71" s="268">
        <f t="shared" si="5"/>
        <v>36.696746165514632</v>
      </c>
      <c r="L71" s="222"/>
      <c r="M71" s="222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8"/>
      <c r="AA71" s="198"/>
      <c r="AB71" s="198"/>
      <c r="AC71" s="198"/>
      <c r="AD71" s="200"/>
    </row>
    <row r="72" spans="1:30" ht="15.75" x14ac:dyDescent="0.25">
      <c r="A72" s="423" t="s">
        <v>437</v>
      </c>
      <c r="B72" s="424"/>
      <c r="C72" s="424"/>
      <c r="D72" s="424"/>
      <c r="E72" s="424"/>
      <c r="F72" s="424"/>
      <c r="G72" s="198"/>
      <c r="H72" s="198"/>
      <c r="I72" s="17">
        <v>10</v>
      </c>
      <c r="J72" s="29">
        <v>0.79556807907722582</v>
      </c>
      <c r="K72" s="268">
        <f t="shared" si="5"/>
        <v>305.18516216324554</v>
      </c>
      <c r="L72" s="222"/>
      <c r="M72" s="222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  <c r="Y72" s="198"/>
      <c r="Z72" s="198"/>
      <c r="AA72" s="198"/>
      <c r="AB72" s="198"/>
      <c r="AC72" s="198"/>
      <c r="AD72" s="200"/>
    </row>
    <row r="73" spans="1:30" ht="15.75" x14ac:dyDescent="0.25">
      <c r="A73" s="427"/>
      <c r="B73" s="428"/>
      <c r="C73" s="428"/>
      <c r="D73" s="428"/>
      <c r="E73" s="428"/>
      <c r="F73" s="428"/>
      <c r="G73" s="191"/>
      <c r="H73" s="198"/>
      <c r="I73" s="17">
        <v>11</v>
      </c>
      <c r="J73" s="29">
        <v>0.6283301823598052</v>
      </c>
      <c r="K73" s="268">
        <f t="shared" si="5"/>
        <v>190.26959200509361</v>
      </c>
      <c r="L73" s="222"/>
      <c r="M73" s="222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200"/>
    </row>
    <row r="74" spans="1:30" ht="15.75" x14ac:dyDescent="0.25">
      <c r="A74" s="434" t="s">
        <v>439</v>
      </c>
      <c r="B74" s="428"/>
      <c r="C74" s="428"/>
      <c r="D74" s="428"/>
      <c r="E74" s="428"/>
      <c r="F74" s="428"/>
      <c r="G74" s="191"/>
      <c r="H74" s="198"/>
      <c r="I74" s="17">
        <v>12</v>
      </c>
      <c r="J74" s="29">
        <v>0.81831823372072288</v>
      </c>
      <c r="K74" s="268">
        <f t="shared" si="5"/>
        <v>327.86534870153866</v>
      </c>
      <c r="L74" s="222"/>
      <c r="M74" s="222"/>
      <c r="N74" s="198"/>
      <c r="O74" s="198"/>
      <c r="P74" s="198"/>
      <c r="Q74" s="198"/>
      <c r="R74" s="198"/>
      <c r="S74" s="198"/>
      <c r="T74" s="198"/>
      <c r="U74" s="198"/>
      <c r="V74" s="198"/>
      <c r="W74" s="198"/>
      <c r="X74" s="198"/>
      <c r="Y74" s="198"/>
      <c r="Z74" s="198"/>
      <c r="AA74" s="198"/>
      <c r="AB74" s="198"/>
      <c r="AC74" s="198"/>
      <c r="AD74" s="200"/>
    </row>
    <row r="75" spans="1:30" ht="15.75" x14ac:dyDescent="0.25">
      <c r="A75" s="266"/>
      <c r="B75" s="267"/>
      <c r="C75" s="265"/>
      <c r="D75" s="265"/>
      <c r="E75" s="265"/>
      <c r="F75" s="265"/>
      <c r="G75" s="191"/>
      <c r="H75" s="198"/>
      <c r="I75" s="17">
        <v>13</v>
      </c>
      <c r="J75" s="29">
        <v>0.20424287940790564</v>
      </c>
      <c r="K75" s="268">
        <f t="shared" si="5"/>
        <v>43.919431873040445</v>
      </c>
      <c r="L75" s="222"/>
      <c r="M75" s="222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  <c r="AA75" s="198"/>
      <c r="AB75" s="198"/>
      <c r="AC75" s="198"/>
      <c r="AD75" s="200"/>
    </row>
    <row r="76" spans="1:30" ht="15.75" x14ac:dyDescent="0.25">
      <c r="A76" s="264"/>
      <c r="B76" s="265"/>
      <c r="C76" s="224" t="s">
        <v>440</v>
      </c>
      <c r="D76" s="265"/>
      <c r="E76" s="265"/>
      <c r="F76" s="265"/>
      <c r="G76" s="222"/>
      <c r="H76" s="222"/>
      <c r="I76" s="17">
        <v>14</v>
      </c>
      <c r="J76" s="29">
        <v>4.8494550778017453E-2</v>
      </c>
      <c r="K76" s="268">
        <f t="shared" si="5"/>
        <v>9.5562328504792085</v>
      </c>
      <c r="L76" s="222"/>
      <c r="M76" s="222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  <c r="AA76" s="198"/>
      <c r="AB76" s="198"/>
      <c r="AC76" s="198"/>
      <c r="AD76" s="200"/>
    </row>
    <row r="77" spans="1:30" ht="15.75" x14ac:dyDescent="0.25">
      <c r="A77" s="264"/>
      <c r="B77" s="265"/>
      <c r="C77" s="265"/>
      <c r="D77" s="265"/>
      <c r="E77" s="265"/>
      <c r="F77" s="265"/>
      <c r="G77" s="222"/>
      <c r="H77" s="222"/>
      <c r="I77" s="17">
        <v>15</v>
      </c>
      <c r="J77" s="29">
        <v>0.48799992446566609</v>
      </c>
      <c r="K77" s="268">
        <f t="shared" si="5"/>
        <v>128.69143298313469</v>
      </c>
      <c r="L77" s="222"/>
      <c r="M77" s="222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8"/>
      <c r="AB77" s="198"/>
      <c r="AC77" s="198"/>
      <c r="AD77" s="200"/>
    </row>
    <row r="78" spans="1:30" ht="15.75" x14ac:dyDescent="0.25">
      <c r="A78" s="293" t="s">
        <v>441</v>
      </c>
      <c r="B78" s="294"/>
      <c r="C78" s="294"/>
      <c r="D78" s="294"/>
      <c r="E78" s="294"/>
      <c r="F78" s="294"/>
      <c r="G78" s="222"/>
      <c r="H78" s="222"/>
      <c r="I78" s="17">
        <v>16</v>
      </c>
      <c r="J78" s="29">
        <v>0.12217102609988462</v>
      </c>
      <c r="K78" s="268">
        <f t="shared" si="5"/>
        <v>25.049565737674744</v>
      </c>
      <c r="L78" s="222"/>
      <c r="M78" s="222"/>
      <c r="N78" s="198"/>
      <c r="O78" s="198"/>
      <c r="P78" s="198"/>
      <c r="Q78" s="198"/>
      <c r="R78" s="198"/>
      <c r="S78" s="198"/>
      <c r="T78" s="198"/>
      <c r="U78" s="198"/>
      <c r="V78" s="198"/>
      <c r="W78" s="198"/>
      <c r="X78" s="198"/>
      <c r="Y78" s="198"/>
      <c r="Z78" s="198"/>
      <c r="AA78" s="198"/>
      <c r="AB78" s="198"/>
      <c r="AC78" s="198"/>
      <c r="AD78" s="200"/>
    </row>
    <row r="79" spans="1:30" ht="15.75" x14ac:dyDescent="0.25">
      <c r="A79" s="266"/>
      <c r="B79" s="267"/>
      <c r="C79" s="267"/>
      <c r="D79" s="267"/>
      <c r="E79" s="267"/>
      <c r="F79" s="198"/>
      <c r="G79" s="230"/>
      <c r="H79" s="230"/>
      <c r="I79" s="17">
        <v>17</v>
      </c>
      <c r="J79" s="29">
        <v>0.84531923096537187</v>
      </c>
      <c r="K79" s="268">
        <f t="shared" si="5"/>
        <v>358.79548087145042</v>
      </c>
      <c r="L79" s="230"/>
      <c r="M79" s="230"/>
      <c r="N79" s="198"/>
      <c r="O79" s="198"/>
      <c r="P79" s="198"/>
      <c r="Q79" s="198"/>
      <c r="R79" s="198"/>
      <c r="S79" s="198"/>
      <c r="T79" s="198"/>
      <c r="U79" s="198"/>
      <c r="V79" s="198"/>
      <c r="W79" s="198"/>
      <c r="X79" s="198"/>
      <c r="Y79" s="198"/>
      <c r="Z79" s="198"/>
      <c r="AA79" s="198"/>
      <c r="AB79" s="198"/>
      <c r="AC79" s="198"/>
      <c r="AD79" s="200"/>
    </row>
    <row r="80" spans="1:30" ht="15.75" x14ac:dyDescent="0.25">
      <c r="A80" s="266"/>
      <c r="B80" s="267"/>
      <c r="C80" s="267"/>
      <c r="D80" s="267"/>
      <c r="E80" s="267"/>
      <c r="F80" s="198"/>
      <c r="G80" s="230"/>
      <c r="H80" s="230"/>
      <c r="I80" s="17">
        <v>18</v>
      </c>
      <c r="J80" s="29">
        <v>0.80353043513867972</v>
      </c>
      <c r="K80" s="268">
        <f t="shared" si="5"/>
        <v>312.82237996035815</v>
      </c>
      <c r="L80" s="230"/>
      <c r="M80" s="230"/>
      <c r="N80" s="198"/>
      <c r="O80" s="198"/>
      <c r="P80" s="198"/>
      <c r="Q80" s="198"/>
      <c r="R80" s="198"/>
      <c r="S80" s="198"/>
      <c r="T80" s="198"/>
      <c r="U80" s="198"/>
      <c r="V80" s="198"/>
      <c r="W80" s="198"/>
      <c r="X80" s="198"/>
      <c r="Y80" s="198"/>
      <c r="Z80" s="198"/>
      <c r="AA80" s="198"/>
      <c r="AB80" s="198"/>
      <c r="AC80" s="198"/>
      <c r="AD80" s="200"/>
    </row>
    <row r="81" spans="1:30" ht="18.75" x14ac:dyDescent="0.3">
      <c r="A81" s="266"/>
      <c r="B81" s="267"/>
      <c r="C81" s="267"/>
      <c r="D81" s="267"/>
      <c r="E81" s="267"/>
      <c r="F81" s="198"/>
      <c r="G81" s="269" t="s">
        <v>447</v>
      </c>
      <c r="H81" s="230"/>
      <c r="I81" s="17">
        <v>19</v>
      </c>
      <c r="J81" s="29">
        <v>0.74371320570873067</v>
      </c>
      <c r="K81" s="268">
        <f t="shared" si="5"/>
        <v>261.72694751720189</v>
      </c>
      <c r="L81" s="230"/>
      <c r="M81" s="230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200"/>
    </row>
    <row r="82" spans="1:30" ht="15.75" x14ac:dyDescent="0.25">
      <c r="A82" s="266"/>
      <c r="B82" s="267"/>
      <c r="C82" s="267"/>
      <c r="D82" s="267"/>
      <c r="E82" s="267"/>
      <c r="F82" s="198"/>
      <c r="G82" s="230"/>
      <c r="H82" s="230"/>
      <c r="I82" s="17">
        <v>20</v>
      </c>
      <c r="J82" s="29">
        <v>0.54425254529924882</v>
      </c>
      <c r="K82" s="268">
        <f t="shared" si="5"/>
        <v>151.06548638202995</v>
      </c>
      <c r="L82" s="230"/>
      <c r="M82" s="230"/>
      <c r="N82" s="198"/>
      <c r="O82" s="198"/>
      <c r="P82" s="198"/>
      <c r="Q82" s="198"/>
      <c r="R82" s="198"/>
      <c r="S82" s="198"/>
      <c r="T82" s="198"/>
      <c r="U82" s="198"/>
      <c r="V82" s="198"/>
      <c r="W82" s="198"/>
      <c r="X82" s="198"/>
      <c r="Y82" s="198"/>
      <c r="Z82" s="198"/>
      <c r="AA82" s="198"/>
      <c r="AB82" s="198"/>
      <c r="AC82" s="198"/>
      <c r="AD82" s="200"/>
    </row>
    <row r="83" spans="1:30" ht="15.75" x14ac:dyDescent="0.25">
      <c r="A83" s="266"/>
      <c r="B83" s="267"/>
      <c r="C83" s="267"/>
      <c r="D83" s="267"/>
      <c r="E83" s="267"/>
      <c r="F83" s="198"/>
      <c r="G83" s="230"/>
      <c r="H83" s="230"/>
      <c r="I83" s="17">
        <v>21</v>
      </c>
      <c r="J83" s="29">
        <v>0.39624335553875611</v>
      </c>
      <c r="K83" s="268">
        <f t="shared" si="5"/>
        <v>97.001326122100039</v>
      </c>
      <c r="L83" s="230"/>
      <c r="M83" s="230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200"/>
    </row>
    <row r="84" spans="1:30" ht="15.75" x14ac:dyDescent="0.25">
      <c r="A84" s="266"/>
      <c r="B84" s="267"/>
      <c r="C84" s="267"/>
      <c r="D84" s="267"/>
      <c r="E84" s="267"/>
      <c r="F84" s="198"/>
      <c r="G84" s="230"/>
      <c r="H84" s="230"/>
      <c r="I84" s="17">
        <v>22</v>
      </c>
      <c r="J84" s="29">
        <v>0.51953142924152496</v>
      </c>
      <c r="K84" s="268">
        <f t="shared" si="5"/>
        <v>140.91078627146564</v>
      </c>
      <c r="L84" s="230"/>
      <c r="M84" s="230"/>
      <c r="N84" s="198"/>
      <c r="O84" s="198"/>
      <c r="P84" s="198"/>
      <c r="Q84" s="198"/>
      <c r="R84" s="198"/>
      <c r="S84" s="198"/>
      <c r="T84" s="198"/>
      <c r="U84" s="198"/>
      <c r="V84" s="198"/>
      <c r="W84" s="198"/>
      <c r="X84" s="198"/>
      <c r="Y84" s="198"/>
      <c r="Z84" s="198"/>
      <c r="AA84" s="198"/>
      <c r="AB84" s="198"/>
      <c r="AC84" s="198"/>
      <c r="AD84" s="200"/>
    </row>
    <row r="85" spans="1:30" ht="15.75" x14ac:dyDescent="0.25">
      <c r="A85" s="266"/>
      <c r="B85" s="267"/>
      <c r="C85" s="267"/>
      <c r="D85" s="267"/>
      <c r="E85" s="267"/>
      <c r="F85" s="198"/>
      <c r="G85" s="230"/>
      <c r="H85" s="230"/>
      <c r="I85" s="17">
        <v>23</v>
      </c>
      <c r="J85" s="29">
        <v>0.26024201686578796</v>
      </c>
      <c r="K85" s="268">
        <f t="shared" si="5"/>
        <v>57.947376002450163</v>
      </c>
      <c r="L85" s="230"/>
      <c r="M85" s="230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  <c r="AD85" s="200"/>
    </row>
    <row r="86" spans="1:30" ht="15.75" x14ac:dyDescent="0.25">
      <c r="A86" s="266"/>
      <c r="B86" s="267"/>
      <c r="C86" s="267"/>
      <c r="D86" s="267"/>
      <c r="E86" s="267"/>
      <c r="F86" s="198"/>
      <c r="G86" s="230"/>
      <c r="H86" s="230"/>
      <c r="I86" s="17">
        <v>24</v>
      </c>
      <c r="J86" s="29">
        <v>0.94584349767362419</v>
      </c>
      <c r="K86" s="268">
        <f t="shared" si="5"/>
        <v>560.5487289604938</v>
      </c>
      <c r="L86" s="230"/>
      <c r="M86" s="230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  <c r="AD86" s="200"/>
    </row>
    <row r="87" spans="1:30" ht="15.75" x14ac:dyDescent="0.25">
      <c r="A87" s="266"/>
      <c r="B87" s="267"/>
      <c r="C87" s="267"/>
      <c r="D87" s="267"/>
      <c r="E87" s="267"/>
      <c r="F87" s="198"/>
      <c r="G87" s="230"/>
      <c r="H87" s="230"/>
      <c r="I87" s="17">
        <v>25</v>
      </c>
      <c r="J87" s="29">
        <v>0.15258629472590468</v>
      </c>
      <c r="K87" s="268">
        <f t="shared" si="5"/>
        <v>31.828487089534132</v>
      </c>
      <c r="L87" s="230"/>
      <c r="M87" s="230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98"/>
      <c r="AA87" s="198"/>
      <c r="AB87" s="198"/>
      <c r="AC87" s="198"/>
      <c r="AD87" s="200"/>
    </row>
    <row r="88" spans="1:30" ht="15.75" x14ac:dyDescent="0.25">
      <c r="A88" s="266"/>
      <c r="B88" s="267"/>
      <c r="C88" s="267"/>
      <c r="D88" s="267"/>
      <c r="E88" s="267"/>
      <c r="F88" s="198"/>
      <c r="G88" s="230"/>
      <c r="H88" s="230"/>
      <c r="I88" s="17">
        <v>26</v>
      </c>
      <c r="J88" s="29">
        <v>7.4049312312910676E-2</v>
      </c>
      <c r="K88" s="268">
        <f t="shared" si="5"/>
        <v>14.789862520722581</v>
      </c>
      <c r="L88" s="230"/>
      <c r="M88" s="230"/>
      <c r="N88" s="198"/>
      <c r="O88" s="198"/>
      <c r="P88" s="198"/>
      <c r="Q88" s="198"/>
      <c r="R88" s="198"/>
      <c r="S88" s="198"/>
      <c r="T88" s="198"/>
      <c r="U88" s="198"/>
      <c r="V88" s="198"/>
      <c r="W88" s="198"/>
      <c r="X88" s="198"/>
      <c r="Y88" s="198"/>
      <c r="Z88" s="198"/>
      <c r="AA88" s="198"/>
      <c r="AB88" s="198"/>
      <c r="AC88" s="198"/>
      <c r="AD88" s="200"/>
    </row>
    <row r="89" spans="1:30" ht="15.75" x14ac:dyDescent="0.25">
      <c r="A89" s="266"/>
      <c r="B89" s="267"/>
      <c r="C89" s="267"/>
      <c r="D89" s="267"/>
      <c r="E89" s="267"/>
      <c r="F89" s="198"/>
      <c r="G89" s="230"/>
      <c r="H89" s="230"/>
      <c r="I89" s="17">
        <v>27</v>
      </c>
      <c r="J89" s="29">
        <v>0.69609171044156737</v>
      </c>
      <c r="K89" s="268">
        <f t="shared" si="5"/>
        <v>228.9636730818122</v>
      </c>
      <c r="L89" s="230"/>
      <c r="M89" s="230"/>
      <c r="N89" s="198"/>
      <c r="O89" s="198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8"/>
      <c r="AB89" s="198"/>
      <c r="AC89" s="198"/>
      <c r="AD89" s="200"/>
    </row>
    <row r="90" spans="1:30" ht="15.75" x14ac:dyDescent="0.25">
      <c r="A90" s="266"/>
      <c r="B90" s="267"/>
      <c r="C90" s="267"/>
      <c r="D90" s="267"/>
      <c r="E90" s="267"/>
      <c r="F90" s="198"/>
      <c r="G90" s="230"/>
      <c r="H90" s="230"/>
      <c r="I90" s="17">
        <v>28</v>
      </c>
      <c r="J90" s="29">
        <v>0.40377444968485465</v>
      </c>
      <c r="K90" s="268">
        <f t="shared" si="5"/>
        <v>99.414358279944111</v>
      </c>
      <c r="L90" s="230"/>
      <c r="M90" s="230"/>
      <c r="N90" s="198"/>
      <c r="O90" s="198"/>
      <c r="P90" s="198"/>
      <c r="Q90" s="198"/>
      <c r="R90" s="198"/>
      <c r="S90" s="198"/>
      <c r="T90" s="198"/>
      <c r="U90" s="198"/>
      <c r="V90" s="198"/>
      <c r="W90" s="198"/>
      <c r="X90" s="198"/>
      <c r="Y90" s="198"/>
      <c r="Z90" s="198"/>
      <c r="AA90" s="198"/>
      <c r="AB90" s="198"/>
      <c r="AC90" s="198"/>
      <c r="AD90" s="200"/>
    </row>
    <row r="91" spans="1:30" ht="15.75" x14ac:dyDescent="0.25">
      <c r="A91" s="266"/>
      <c r="B91" s="267"/>
      <c r="C91" s="267"/>
      <c r="D91" s="267"/>
      <c r="E91" s="267"/>
      <c r="F91" s="198"/>
      <c r="G91" s="230"/>
      <c r="H91" s="230"/>
      <c r="I91" s="17">
        <v>29</v>
      </c>
      <c r="J91" s="29">
        <v>0.97194604391987893</v>
      </c>
      <c r="K91" s="268">
        <f t="shared" si="5"/>
        <v>686.99438941950802</v>
      </c>
      <c r="L91" s="230"/>
      <c r="M91" s="230"/>
      <c r="N91" s="198"/>
      <c r="O91" s="198"/>
      <c r="P91" s="198"/>
      <c r="Q91" s="198"/>
      <c r="R91" s="198"/>
      <c r="S91" s="198"/>
      <c r="T91" s="198"/>
      <c r="U91" s="198"/>
      <c r="V91" s="198"/>
      <c r="W91" s="198"/>
      <c r="X91" s="198"/>
      <c r="Y91" s="198"/>
      <c r="Z91" s="198"/>
      <c r="AA91" s="198"/>
      <c r="AB91" s="198"/>
      <c r="AC91" s="198"/>
      <c r="AD91" s="200"/>
    </row>
    <row r="92" spans="1:30" ht="15.75" x14ac:dyDescent="0.25">
      <c r="A92" s="266"/>
      <c r="B92" s="267"/>
      <c r="C92" s="267"/>
      <c r="D92" s="267"/>
      <c r="E92" s="267"/>
      <c r="F92" s="198"/>
      <c r="G92" s="230"/>
      <c r="H92" s="230"/>
      <c r="I92" s="17">
        <v>30</v>
      </c>
      <c r="J92" s="29">
        <v>0.1708944549034207</v>
      </c>
      <c r="K92" s="268">
        <f t="shared" si="5"/>
        <v>36.027309982547422</v>
      </c>
      <c r="L92" s="230"/>
      <c r="M92" s="230"/>
      <c r="N92" s="198"/>
      <c r="O92" s="198"/>
      <c r="P92" s="198"/>
      <c r="Q92" s="198"/>
      <c r="R92" s="198"/>
      <c r="S92" s="198"/>
      <c r="T92" s="198"/>
      <c r="U92" s="198"/>
      <c r="V92" s="198"/>
      <c r="W92" s="198"/>
      <c r="X92" s="198"/>
      <c r="Y92" s="198"/>
      <c r="Z92" s="198"/>
      <c r="AA92" s="198"/>
      <c r="AB92" s="198"/>
      <c r="AC92" s="198"/>
      <c r="AD92" s="200"/>
    </row>
    <row r="93" spans="1:30" ht="18.75" x14ac:dyDescent="0.3">
      <c r="A93" s="429" t="s">
        <v>438</v>
      </c>
      <c r="B93" s="430"/>
      <c r="C93" s="430"/>
      <c r="D93" s="430"/>
      <c r="E93" s="430"/>
      <c r="F93" s="198"/>
      <c r="G93" s="230"/>
      <c r="H93" s="230"/>
      <c r="I93" s="17">
        <v>31</v>
      </c>
      <c r="J93" s="29">
        <v>0.56307550860762701</v>
      </c>
      <c r="K93" s="268">
        <f t="shared" si="5"/>
        <v>159.17387621290678</v>
      </c>
      <c r="L93" s="230"/>
      <c r="M93" s="230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98"/>
      <c r="AA93" s="198"/>
      <c r="AB93" s="198"/>
      <c r="AC93" s="198"/>
      <c r="AD93" s="200"/>
    </row>
    <row r="94" spans="1:30" ht="18.75" x14ac:dyDescent="0.3">
      <c r="A94" s="419" t="s">
        <v>420</v>
      </c>
      <c r="B94" s="420"/>
      <c r="C94" s="420"/>
      <c r="D94" s="420"/>
      <c r="E94" s="420"/>
      <c r="F94" s="198"/>
      <c r="G94" s="230"/>
      <c r="H94" s="230"/>
      <c r="I94" s="17">
        <v>32</v>
      </c>
      <c r="J94" s="29">
        <v>2.4350290649599593E-2</v>
      </c>
      <c r="K94" s="268">
        <f t="shared" si="5"/>
        <v>4.7390395171243762</v>
      </c>
      <c r="L94" s="230"/>
      <c r="M94" s="230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98"/>
      <c r="AA94" s="198"/>
      <c r="AB94" s="198"/>
      <c r="AC94" s="198"/>
      <c r="AD94" s="200"/>
    </row>
    <row r="95" spans="1:30" ht="15.75" x14ac:dyDescent="0.25">
      <c r="A95" s="409"/>
      <c r="B95" s="410"/>
      <c r="C95" s="410"/>
      <c r="D95" s="410"/>
      <c r="E95" s="410"/>
      <c r="F95" s="230"/>
      <c r="G95" s="230"/>
      <c r="H95" s="230"/>
      <c r="I95" s="17">
        <v>33</v>
      </c>
      <c r="J95" s="29">
        <v>1.4942719723481157E-2</v>
      </c>
      <c r="K95" s="268">
        <f t="shared" si="5"/>
        <v>2.8942693370971289</v>
      </c>
      <c r="L95" s="230"/>
      <c r="M95" s="230"/>
      <c r="N95" s="198"/>
      <c r="O95" s="198"/>
      <c r="P95" s="198"/>
      <c r="Q95" s="198"/>
      <c r="R95" s="198"/>
      <c r="S95" s="198"/>
      <c r="T95" s="198"/>
      <c r="U95" s="198"/>
      <c r="V95" s="198"/>
      <c r="W95" s="198"/>
      <c r="X95" s="198"/>
      <c r="Y95" s="198"/>
      <c r="Z95" s="198"/>
      <c r="AA95" s="198"/>
      <c r="AB95" s="198"/>
      <c r="AC95" s="198"/>
      <c r="AD95" s="200"/>
    </row>
    <row r="96" spans="1:30" ht="15.75" x14ac:dyDescent="0.25">
      <c r="A96" s="229"/>
      <c r="B96" s="230"/>
      <c r="C96" s="230"/>
      <c r="D96" s="230"/>
      <c r="E96" s="230"/>
      <c r="F96" s="230"/>
      <c r="G96" s="230"/>
      <c r="H96" s="230"/>
      <c r="I96" s="17">
        <v>34</v>
      </c>
      <c r="J96" s="29">
        <v>0.36323079435026817</v>
      </c>
      <c r="K96" s="268">
        <f t="shared" si="5"/>
        <v>86.767216012174217</v>
      </c>
      <c r="L96" s="230"/>
      <c r="M96" s="230"/>
      <c r="N96" s="198"/>
      <c r="O96" s="198"/>
      <c r="P96" s="198"/>
      <c r="Q96" s="198"/>
      <c r="R96" s="198"/>
      <c r="S96" s="198"/>
      <c r="T96" s="198"/>
      <c r="U96" s="198"/>
      <c r="V96" s="198"/>
      <c r="W96" s="198"/>
      <c r="X96" s="198"/>
      <c r="Y96" s="198"/>
      <c r="Z96" s="198"/>
      <c r="AA96" s="198"/>
      <c r="AB96" s="198"/>
      <c r="AC96" s="198"/>
      <c r="AD96" s="200"/>
    </row>
    <row r="97" spans="1:30" x14ac:dyDescent="0.25">
      <c r="A97" s="199"/>
      <c r="B97" s="198"/>
      <c r="C97" s="198"/>
      <c r="D97" s="198"/>
      <c r="E97" s="198"/>
      <c r="F97" s="198"/>
      <c r="G97" s="198"/>
      <c r="H97" s="198"/>
      <c r="I97" s="17">
        <v>35</v>
      </c>
      <c r="J97" s="29">
        <v>0.18693798752203938</v>
      </c>
      <c r="K97" s="268">
        <f t="shared" si="5"/>
        <v>39.783698328375309</v>
      </c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200"/>
    </row>
    <row r="98" spans="1:30" x14ac:dyDescent="0.25">
      <c r="A98" s="199"/>
      <c r="B98" s="198"/>
      <c r="C98" s="198"/>
      <c r="D98" s="198"/>
      <c r="E98" s="198"/>
      <c r="F98" s="198"/>
      <c r="G98" s="198"/>
      <c r="H98" s="198"/>
      <c r="I98" s="17">
        <v>36</v>
      </c>
      <c r="J98" s="29">
        <v>0.38371867399416248</v>
      </c>
      <c r="K98" s="268">
        <f t="shared" si="5"/>
        <v>93.05418426431784</v>
      </c>
      <c r="L98" s="198"/>
      <c r="M98" s="198"/>
      <c r="N98" s="198"/>
      <c r="O98" s="198"/>
      <c r="P98" s="198"/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/>
      <c r="AD98" s="200"/>
    </row>
    <row r="99" spans="1:30" x14ac:dyDescent="0.25">
      <c r="A99" s="199"/>
      <c r="B99" s="198"/>
      <c r="C99" s="198"/>
      <c r="D99" s="198"/>
      <c r="E99" s="198"/>
      <c r="F99" s="198"/>
      <c r="G99" s="198"/>
      <c r="H99" s="198"/>
      <c r="I99" s="17">
        <v>37</v>
      </c>
      <c r="J99" s="29">
        <v>0.75881567839743458</v>
      </c>
      <c r="K99" s="268">
        <f t="shared" si="5"/>
        <v>273.40277840668927</v>
      </c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200"/>
    </row>
    <row r="100" spans="1:30" x14ac:dyDescent="0.25">
      <c r="A100" s="199"/>
      <c r="B100" s="198"/>
      <c r="C100" s="198"/>
      <c r="D100" s="198"/>
      <c r="E100" s="198"/>
      <c r="F100" s="198"/>
      <c r="G100" s="198"/>
      <c r="H100" s="198"/>
      <c r="I100" s="17">
        <v>38</v>
      </c>
      <c r="J100" s="29">
        <v>0.85197821632360615</v>
      </c>
      <c r="K100" s="268">
        <f t="shared" si="5"/>
        <v>367.25481502435821</v>
      </c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200"/>
    </row>
    <row r="101" spans="1:30" x14ac:dyDescent="0.25">
      <c r="A101" s="199"/>
      <c r="B101" s="198"/>
      <c r="C101" s="198"/>
      <c r="D101" s="198"/>
      <c r="E101" s="198"/>
      <c r="F101" s="198"/>
      <c r="G101" s="198"/>
      <c r="H101" s="198"/>
      <c r="I101" s="17">
        <v>39</v>
      </c>
      <c r="J101" s="29">
        <v>0.82850053102940346</v>
      </c>
      <c r="K101" s="268">
        <f t="shared" si="5"/>
        <v>338.95307903143203</v>
      </c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200"/>
    </row>
    <row r="102" spans="1:30" x14ac:dyDescent="0.25">
      <c r="A102" s="199"/>
      <c r="B102" s="198"/>
      <c r="C102" s="198"/>
      <c r="D102" s="198"/>
      <c r="E102" s="198"/>
      <c r="F102" s="198"/>
      <c r="G102" s="198"/>
      <c r="H102" s="198"/>
      <c r="I102" s="17">
        <v>40</v>
      </c>
      <c r="J102" s="29">
        <v>0.52023831972676804</v>
      </c>
      <c r="K102" s="268">
        <f t="shared" si="5"/>
        <v>141.19382832311351</v>
      </c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98"/>
      <c r="AA102" s="198"/>
      <c r="AB102" s="198"/>
      <c r="AC102" s="198"/>
      <c r="AD102" s="200"/>
    </row>
    <row r="103" spans="1:30" x14ac:dyDescent="0.25">
      <c r="A103" s="199"/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198"/>
      <c r="AD103" s="200"/>
    </row>
    <row r="104" spans="1:30" x14ac:dyDescent="0.25">
      <c r="A104" s="199"/>
      <c r="B104" s="198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  <c r="AD104" s="200"/>
    </row>
    <row r="105" spans="1:30" x14ac:dyDescent="0.25">
      <c r="A105" s="199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  <c r="AD105" s="200"/>
    </row>
    <row r="106" spans="1:30" x14ac:dyDescent="0.25">
      <c r="A106" s="199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198"/>
      <c r="X106" s="198"/>
      <c r="Y106" s="198"/>
      <c r="Z106" s="198"/>
      <c r="AA106" s="198"/>
      <c r="AB106" s="198"/>
      <c r="AC106" s="198"/>
      <c r="AD106" s="200"/>
    </row>
    <row r="107" spans="1:30" x14ac:dyDescent="0.25">
      <c r="A107" s="199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98"/>
      <c r="AA107" s="198"/>
      <c r="AB107" s="198"/>
      <c r="AC107" s="198"/>
      <c r="AD107" s="200"/>
    </row>
    <row r="108" spans="1:30" x14ac:dyDescent="0.25">
      <c r="A108" s="199"/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98"/>
      <c r="AA108" s="198"/>
      <c r="AB108" s="198"/>
      <c r="AC108" s="198"/>
      <c r="AD108" s="200"/>
    </row>
    <row r="109" spans="1:30" ht="15.75" thickBot="1" x14ac:dyDescent="0.3">
      <c r="A109" s="130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27"/>
    </row>
  </sheetData>
  <mergeCells count="64">
    <mergeCell ref="A78:F78"/>
    <mergeCell ref="M59:AB59"/>
    <mergeCell ref="M58:AB58"/>
    <mergeCell ref="M60:AB60"/>
    <mergeCell ref="A94:E94"/>
    <mergeCell ref="A61:F61"/>
    <mergeCell ref="A62:F62"/>
    <mergeCell ref="A63:F63"/>
    <mergeCell ref="A64:F64"/>
    <mergeCell ref="A66:F66"/>
    <mergeCell ref="A65:F65"/>
    <mergeCell ref="A67:F67"/>
    <mergeCell ref="A68:F68"/>
    <mergeCell ref="A69:F69"/>
    <mergeCell ref="A70:F70"/>
    <mergeCell ref="A71:F71"/>
    <mergeCell ref="A93:E93"/>
    <mergeCell ref="A72:F72"/>
    <mergeCell ref="A73:F73"/>
    <mergeCell ref="A74:F74"/>
    <mergeCell ref="A95:E95"/>
    <mergeCell ref="A9:G9"/>
    <mergeCell ref="G5:J5"/>
    <mergeCell ref="I6:J6"/>
    <mergeCell ref="G7:H7"/>
    <mergeCell ref="C27:G27"/>
    <mergeCell ref="A54:F54"/>
    <mergeCell ref="A55:F55"/>
    <mergeCell ref="A56:B56"/>
    <mergeCell ref="I58:L58"/>
    <mergeCell ref="A59:F59"/>
    <mergeCell ref="I59:L59"/>
    <mergeCell ref="A44:E44"/>
    <mergeCell ref="A45:E45"/>
    <mergeCell ref="G55:H55"/>
    <mergeCell ref="G53:K53"/>
    <mergeCell ref="A1:I1"/>
    <mergeCell ref="A5:F5"/>
    <mergeCell ref="A51:K51"/>
    <mergeCell ref="A52:G52"/>
    <mergeCell ref="A53:F53"/>
    <mergeCell ref="A3:K3"/>
    <mergeCell ref="I10:L10"/>
    <mergeCell ref="I11:L11"/>
    <mergeCell ref="I7:J7"/>
    <mergeCell ref="A6:F6"/>
    <mergeCell ref="A7:F7"/>
    <mergeCell ref="C25:G25"/>
    <mergeCell ref="A8:B8"/>
    <mergeCell ref="C26:G26"/>
    <mergeCell ref="A11:F11"/>
    <mergeCell ref="E13:G13"/>
    <mergeCell ref="A4:G4"/>
    <mergeCell ref="A57:E57"/>
    <mergeCell ref="A60:F60"/>
    <mergeCell ref="R10:AB10"/>
    <mergeCell ref="M9:AB9"/>
    <mergeCell ref="A58:F58"/>
    <mergeCell ref="I55:K55"/>
    <mergeCell ref="I54:K54"/>
    <mergeCell ref="M56:AB56"/>
    <mergeCell ref="O7:AB7"/>
    <mergeCell ref="R11:AD11"/>
    <mergeCell ref="R12:AA12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52D6-C921-47B1-B988-7A7801BED4E7}">
  <dimension ref="A1:K157"/>
  <sheetViews>
    <sheetView workbookViewId="0">
      <selection activeCell="C15" sqref="C15"/>
    </sheetView>
  </sheetViews>
  <sheetFormatPr baseColWidth="10" defaultRowHeight="15" x14ac:dyDescent="0.25"/>
  <cols>
    <col min="1" max="1" width="11.42578125" style="13"/>
    <col min="2" max="2" width="50.140625" style="13" customWidth="1"/>
    <col min="3" max="3" width="35.28515625" style="13" customWidth="1"/>
    <col min="4" max="4" width="26.28515625" style="13" customWidth="1"/>
    <col min="5" max="5" width="34" style="13" customWidth="1"/>
    <col min="6" max="6" width="17.140625" style="13" customWidth="1"/>
    <col min="7" max="7" width="16.85546875" style="13" customWidth="1"/>
    <col min="8" max="8" width="26.5703125" style="13" customWidth="1"/>
    <col min="9" max="9" width="10" style="13" customWidth="1"/>
    <col min="10" max="10" width="26.28515625" style="13" customWidth="1"/>
    <col min="11" max="11" width="67.5703125" style="13" customWidth="1"/>
    <col min="12" max="12" width="18.7109375" style="13" customWidth="1"/>
    <col min="13" max="16384" width="11.42578125" style="13"/>
  </cols>
  <sheetData>
    <row r="1" spans="1:6" ht="19.5" x14ac:dyDescent="0.3">
      <c r="A1" s="468" t="s">
        <v>20</v>
      </c>
      <c r="B1" s="468"/>
      <c r="C1" s="468"/>
      <c r="D1" s="468"/>
      <c r="E1" s="468"/>
      <c r="F1" s="468"/>
    </row>
    <row r="2" spans="1:6" ht="15.75" thickBot="1" x14ac:dyDescent="0.3">
      <c r="A2" s="469" t="s">
        <v>21</v>
      </c>
      <c r="B2" s="469"/>
      <c r="C2" s="469"/>
      <c r="D2" s="469"/>
      <c r="E2" s="469"/>
      <c r="F2" s="469"/>
    </row>
    <row r="3" spans="1:6" ht="15.75" thickBot="1" x14ac:dyDescent="0.3">
      <c r="A3" s="470" t="s">
        <v>22</v>
      </c>
      <c r="B3" s="471"/>
      <c r="D3" s="472" t="s">
        <v>23</v>
      </c>
      <c r="E3" s="473"/>
    </row>
    <row r="4" spans="1:6" ht="15.75" thickBot="1" x14ac:dyDescent="0.3">
      <c r="A4" s="15" t="s">
        <v>24</v>
      </c>
      <c r="B4" s="16" t="s">
        <v>25</v>
      </c>
      <c r="D4" s="474" t="s">
        <v>26</v>
      </c>
      <c r="E4" s="454"/>
    </row>
    <row r="5" spans="1:6" x14ac:dyDescent="0.25">
      <c r="A5" s="17">
        <v>1</v>
      </c>
      <c r="B5" s="17">
        <f ca="1">RAND()</f>
        <v>0.60990731239964735</v>
      </c>
      <c r="D5" s="18" t="s">
        <v>24</v>
      </c>
      <c r="E5" s="19" t="s">
        <v>27</v>
      </c>
    </row>
    <row r="6" spans="1:6" x14ac:dyDescent="0.25">
      <c r="A6" s="17">
        <v>2</v>
      </c>
      <c r="B6" s="17">
        <f ca="1">RAND()</f>
        <v>0.99720090122907412</v>
      </c>
      <c r="D6" s="17">
        <v>1</v>
      </c>
      <c r="E6" s="17">
        <v>0.22826460065297183</v>
      </c>
    </row>
    <row r="7" spans="1:6" x14ac:dyDescent="0.25">
      <c r="A7" s="17">
        <v>3</v>
      </c>
      <c r="B7" s="17">
        <f t="shared" ref="B7:B44" ca="1" si="0">RAND()</f>
        <v>0.25891131857031935</v>
      </c>
      <c r="D7" s="17">
        <v>2</v>
      </c>
      <c r="E7" s="17">
        <v>0.45046430328237563</v>
      </c>
    </row>
    <row r="8" spans="1:6" x14ac:dyDescent="0.25">
      <c r="A8" s="17">
        <v>4</v>
      </c>
      <c r="B8" s="17">
        <f t="shared" ca="1" si="0"/>
        <v>0.81704990048001436</v>
      </c>
      <c r="D8" s="17">
        <v>3</v>
      </c>
      <c r="E8" s="17">
        <v>0.86528563632531008</v>
      </c>
    </row>
    <row r="9" spans="1:6" x14ac:dyDescent="0.25">
      <c r="A9" s="17">
        <v>5</v>
      </c>
      <c r="B9" s="17">
        <f t="shared" ca="1" si="0"/>
        <v>0.12521949244513841</v>
      </c>
      <c r="D9" s="17">
        <v>4</v>
      </c>
      <c r="E9" s="17">
        <v>0.30908341786355553</v>
      </c>
    </row>
    <row r="10" spans="1:6" x14ac:dyDescent="0.25">
      <c r="A10" s="17">
        <v>6</v>
      </c>
      <c r="B10" s="17">
        <f t="shared" ca="1" si="0"/>
        <v>0.13979053493996918</v>
      </c>
      <c r="D10" s="17">
        <v>5</v>
      </c>
      <c r="E10" s="17">
        <v>0.42588546244637904</v>
      </c>
    </row>
    <row r="11" spans="1:6" x14ac:dyDescent="0.25">
      <c r="A11" s="17">
        <v>7</v>
      </c>
      <c r="B11" s="17">
        <f t="shared" ca="1" si="0"/>
        <v>0.34309156818157549</v>
      </c>
      <c r="D11" s="17">
        <v>6</v>
      </c>
      <c r="E11" s="17">
        <v>0.51771166836387539</v>
      </c>
    </row>
    <row r="12" spans="1:6" x14ac:dyDescent="0.25">
      <c r="A12" s="17">
        <v>8</v>
      </c>
      <c r="B12" s="17">
        <f t="shared" ca="1" si="0"/>
        <v>0.68805088086147648</v>
      </c>
      <c r="D12" s="17">
        <v>7</v>
      </c>
      <c r="E12" s="17">
        <v>0.3559906177344957</v>
      </c>
    </row>
    <row r="13" spans="1:6" x14ac:dyDescent="0.25">
      <c r="A13" s="17">
        <v>9</v>
      </c>
      <c r="B13" s="17">
        <f t="shared" ca="1" si="0"/>
        <v>6.2916014348495031E-2</v>
      </c>
      <c r="D13" s="17">
        <v>8</v>
      </c>
      <c r="E13" s="17">
        <v>0.49251050181184031</v>
      </c>
    </row>
    <row r="14" spans="1:6" x14ac:dyDescent="0.25">
      <c r="A14" s="17">
        <v>10</v>
      </c>
      <c r="B14" s="17">
        <f t="shared" ca="1" si="0"/>
        <v>0.81497187725932407</v>
      </c>
      <c r="D14" s="17">
        <v>9</v>
      </c>
      <c r="E14" s="17">
        <v>0.17377662039705033</v>
      </c>
    </row>
    <row r="15" spans="1:6" x14ac:dyDescent="0.25">
      <c r="A15" s="17">
        <v>11</v>
      </c>
      <c r="B15" s="17">
        <f t="shared" ca="1" si="0"/>
        <v>0.43937162079724823</v>
      </c>
      <c r="D15" s="17">
        <v>10</v>
      </c>
      <c r="E15" s="17">
        <v>0.79556807907722582</v>
      </c>
    </row>
    <row r="16" spans="1:6" x14ac:dyDescent="0.25">
      <c r="A16" s="17">
        <v>12</v>
      </c>
      <c r="B16" s="17">
        <f t="shared" ca="1" si="0"/>
        <v>5.5016221069733473E-2</v>
      </c>
      <c r="D16" s="17">
        <v>11</v>
      </c>
      <c r="E16" s="17">
        <v>0.6283301823598052</v>
      </c>
    </row>
    <row r="17" spans="1:5" x14ac:dyDescent="0.25">
      <c r="A17" s="17">
        <v>13</v>
      </c>
      <c r="B17" s="17">
        <f t="shared" ca="1" si="0"/>
        <v>1.6238440406840193E-2</v>
      </c>
      <c r="D17" s="17">
        <v>12</v>
      </c>
      <c r="E17" s="17">
        <v>0.81831823372072288</v>
      </c>
    </row>
    <row r="18" spans="1:5" x14ac:dyDescent="0.25">
      <c r="A18" s="17">
        <v>14</v>
      </c>
      <c r="B18" s="17">
        <f t="shared" ca="1" si="0"/>
        <v>0.47094020531693692</v>
      </c>
      <c r="D18" s="17">
        <v>13</v>
      </c>
      <c r="E18" s="17">
        <v>0.20424287940790564</v>
      </c>
    </row>
    <row r="19" spans="1:5" x14ac:dyDescent="0.25">
      <c r="A19" s="17">
        <v>15</v>
      </c>
      <c r="B19" s="17">
        <f t="shared" ca="1" si="0"/>
        <v>0.32471792863258264</v>
      </c>
      <c r="D19" s="17">
        <v>14</v>
      </c>
      <c r="E19" s="17">
        <v>4.8494550778017453E-2</v>
      </c>
    </row>
    <row r="20" spans="1:5" x14ac:dyDescent="0.25">
      <c r="A20" s="17">
        <v>16</v>
      </c>
      <c r="B20" s="17">
        <f t="shared" ca="1" si="0"/>
        <v>0.40409922378741248</v>
      </c>
      <c r="D20" s="17">
        <v>15</v>
      </c>
      <c r="E20" s="17">
        <v>0.48799992446566609</v>
      </c>
    </row>
    <row r="21" spans="1:5" x14ac:dyDescent="0.25">
      <c r="A21" s="17">
        <v>17</v>
      </c>
      <c r="B21" s="17">
        <f t="shared" ca="1" si="0"/>
        <v>0.96424244612167931</v>
      </c>
      <c r="D21" s="17">
        <v>16</v>
      </c>
      <c r="E21" s="17">
        <v>0.12217102609988462</v>
      </c>
    </row>
    <row r="22" spans="1:5" x14ac:dyDescent="0.25">
      <c r="A22" s="17">
        <v>18</v>
      </c>
      <c r="B22" s="17">
        <f t="shared" ca="1" si="0"/>
        <v>0.97060294493380861</v>
      </c>
      <c r="D22" s="17">
        <v>17</v>
      </c>
      <c r="E22" s="17">
        <v>0.84531923096537187</v>
      </c>
    </row>
    <row r="23" spans="1:5" x14ac:dyDescent="0.25">
      <c r="A23" s="17">
        <v>19</v>
      </c>
      <c r="B23" s="17">
        <f t="shared" ca="1" si="0"/>
        <v>0.99613628755484007</v>
      </c>
      <c r="D23" s="17">
        <v>18</v>
      </c>
      <c r="E23" s="17">
        <v>0.80353043513867972</v>
      </c>
    </row>
    <row r="24" spans="1:5" x14ac:dyDescent="0.25">
      <c r="A24" s="17">
        <v>20</v>
      </c>
      <c r="B24" s="17">
        <f t="shared" ca="1" si="0"/>
        <v>0.79098088753818707</v>
      </c>
      <c r="D24" s="17">
        <v>19</v>
      </c>
      <c r="E24" s="17">
        <v>0.74371320570873067</v>
      </c>
    </row>
    <row r="25" spans="1:5" x14ac:dyDescent="0.25">
      <c r="A25" s="17">
        <v>21</v>
      </c>
      <c r="B25" s="17">
        <f t="shared" ca="1" si="0"/>
        <v>0.35826317693735865</v>
      </c>
      <c r="D25" s="17">
        <v>20</v>
      </c>
      <c r="E25" s="17">
        <v>0.54425254529924882</v>
      </c>
    </row>
    <row r="26" spans="1:5" x14ac:dyDescent="0.25">
      <c r="A26" s="17">
        <v>22</v>
      </c>
      <c r="B26" s="17">
        <f t="shared" ca="1" si="0"/>
        <v>0.1689352710690436</v>
      </c>
      <c r="D26" s="17">
        <v>21</v>
      </c>
      <c r="E26" s="17">
        <v>0.39624335553875611</v>
      </c>
    </row>
    <row r="27" spans="1:5" x14ac:dyDescent="0.25">
      <c r="A27" s="17">
        <v>23</v>
      </c>
      <c r="B27" s="17">
        <f t="shared" ca="1" si="0"/>
        <v>0.54763492947553138</v>
      </c>
      <c r="D27" s="17">
        <v>22</v>
      </c>
      <c r="E27" s="17">
        <v>0.51953142924152496</v>
      </c>
    </row>
    <row r="28" spans="1:5" x14ac:dyDescent="0.25">
      <c r="A28" s="17">
        <v>24</v>
      </c>
      <c r="B28" s="17">
        <f t="shared" ca="1" si="0"/>
        <v>0.42233665231919781</v>
      </c>
      <c r="D28" s="17">
        <v>23</v>
      </c>
      <c r="E28" s="17">
        <v>0.26024201686578796</v>
      </c>
    </row>
    <row r="29" spans="1:5" x14ac:dyDescent="0.25">
      <c r="A29" s="17">
        <v>25</v>
      </c>
      <c r="B29" s="17">
        <f t="shared" ca="1" si="0"/>
        <v>0.71693092051741147</v>
      </c>
      <c r="D29" s="17">
        <v>24</v>
      </c>
      <c r="E29" s="17">
        <v>0.94584349767362419</v>
      </c>
    </row>
    <row r="30" spans="1:5" x14ac:dyDescent="0.25">
      <c r="A30" s="17">
        <v>26</v>
      </c>
      <c r="B30" s="17">
        <f t="shared" ca="1" si="0"/>
        <v>0.10181407004185072</v>
      </c>
      <c r="D30" s="17">
        <v>25</v>
      </c>
      <c r="E30" s="17">
        <v>0.15258629472590468</v>
      </c>
    </row>
    <row r="31" spans="1:5" x14ac:dyDescent="0.25">
      <c r="A31" s="17">
        <v>27</v>
      </c>
      <c r="B31" s="17">
        <f t="shared" ca="1" si="0"/>
        <v>0.75103933486720886</v>
      </c>
      <c r="D31" s="17">
        <v>26</v>
      </c>
      <c r="E31" s="17">
        <v>7.4049312312910676E-2</v>
      </c>
    </row>
    <row r="32" spans="1:5" x14ac:dyDescent="0.25">
      <c r="A32" s="17">
        <v>28</v>
      </c>
      <c r="B32" s="17">
        <f t="shared" ca="1" si="0"/>
        <v>0.87310045816539539</v>
      </c>
      <c r="D32" s="17">
        <v>27</v>
      </c>
      <c r="E32" s="17">
        <v>0.69609171044156737</v>
      </c>
    </row>
    <row r="33" spans="1:5" x14ac:dyDescent="0.25">
      <c r="A33" s="17">
        <v>29</v>
      </c>
      <c r="B33" s="17">
        <f t="shared" ca="1" si="0"/>
        <v>4.515624391839046E-2</v>
      </c>
      <c r="D33" s="17">
        <v>28</v>
      </c>
      <c r="E33" s="17">
        <v>0.40377444968485465</v>
      </c>
    </row>
    <row r="34" spans="1:5" x14ac:dyDescent="0.25">
      <c r="A34" s="17">
        <v>30</v>
      </c>
      <c r="B34" s="17">
        <f t="shared" ca="1" si="0"/>
        <v>0.45317928441157529</v>
      </c>
      <c r="D34" s="17">
        <v>29</v>
      </c>
      <c r="E34" s="17">
        <v>0.97194604391987893</v>
      </c>
    </row>
    <row r="35" spans="1:5" x14ac:dyDescent="0.25">
      <c r="A35" s="17">
        <v>31</v>
      </c>
      <c r="B35" s="17">
        <f t="shared" ca="1" si="0"/>
        <v>0.88402234489369658</v>
      </c>
      <c r="D35" s="17">
        <v>30</v>
      </c>
      <c r="E35" s="17">
        <v>0.1708944549034207</v>
      </c>
    </row>
    <row r="36" spans="1:5" x14ac:dyDescent="0.25">
      <c r="A36" s="17">
        <v>32</v>
      </c>
      <c r="B36" s="17">
        <f t="shared" ca="1" si="0"/>
        <v>0.63055921522066105</v>
      </c>
      <c r="D36" s="17">
        <v>31</v>
      </c>
      <c r="E36" s="17">
        <v>0.56307550860762701</v>
      </c>
    </row>
    <row r="37" spans="1:5" x14ac:dyDescent="0.25">
      <c r="A37" s="17">
        <v>33</v>
      </c>
      <c r="B37" s="17">
        <f t="shared" ca="1" si="0"/>
        <v>0.17238928159582267</v>
      </c>
      <c r="D37" s="17">
        <v>32</v>
      </c>
      <c r="E37" s="17">
        <v>2.4350290649599593E-2</v>
      </c>
    </row>
    <row r="38" spans="1:5" x14ac:dyDescent="0.25">
      <c r="A38" s="17">
        <v>34</v>
      </c>
      <c r="B38" s="17">
        <f t="shared" ca="1" si="0"/>
        <v>8.3318323760358526E-3</v>
      </c>
      <c r="D38" s="17">
        <v>33</v>
      </c>
      <c r="E38" s="17">
        <v>1.4942719723481157E-2</v>
      </c>
    </row>
    <row r="39" spans="1:5" x14ac:dyDescent="0.25">
      <c r="A39" s="17">
        <v>35</v>
      </c>
      <c r="B39" s="17">
        <f t="shared" ca="1" si="0"/>
        <v>0.44345287665001409</v>
      </c>
      <c r="D39" s="17">
        <v>34</v>
      </c>
      <c r="E39" s="17">
        <v>0.36323079435026817</v>
      </c>
    </row>
    <row r="40" spans="1:5" x14ac:dyDescent="0.25">
      <c r="A40" s="17">
        <v>36</v>
      </c>
      <c r="B40" s="17">
        <f t="shared" ca="1" si="0"/>
        <v>0.24562640746478948</v>
      </c>
      <c r="D40" s="17">
        <v>35</v>
      </c>
      <c r="E40" s="17">
        <v>0.18693798752203938</v>
      </c>
    </row>
    <row r="41" spans="1:5" x14ac:dyDescent="0.25">
      <c r="A41" s="17">
        <v>37</v>
      </c>
      <c r="B41" s="17">
        <f t="shared" ca="1" si="0"/>
        <v>0.94164370280075649</v>
      </c>
      <c r="D41" s="17">
        <v>36</v>
      </c>
      <c r="E41" s="17">
        <v>0.38371867399416248</v>
      </c>
    </row>
    <row r="42" spans="1:5" x14ac:dyDescent="0.25">
      <c r="A42" s="17">
        <v>38</v>
      </c>
      <c r="B42" s="17">
        <f t="shared" ca="1" si="0"/>
        <v>0.59508785235248807</v>
      </c>
      <c r="D42" s="17">
        <v>37</v>
      </c>
      <c r="E42" s="17">
        <v>0.75881567839743458</v>
      </c>
    </row>
    <row r="43" spans="1:5" x14ac:dyDescent="0.25">
      <c r="A43" s="17">
        <v>39</v>
      </c>
      <c r="B43" s="17">
        <f t="shared" ca="1" si="0"/>
        <v>0.11997733956348078</v>
      </c>
      <c r="D43" s="17">
        <v>38</v>
      </c>
      <c r="E43" s="17">
        <v>0.85197821632360615</v>
      </c>
    </row>
    <row r="44" spans="1:5" x14ac:dyDescent="0.25">
      <c r="A44" s="17">
        <v>40</v>
      </c>
      <c r="B44" s="17">
        <f t="shared" ca="1" si="0"/>
        <v>0.24507853374739774</v>
      </c>
      <c r="D44" s="17">
        <v>39</v>
      </c>
      <c r="E44" s="17">
        <v>0.82850053102940346</v>
      </c>
    </row>
    <row r="45" spans="1:5" x14ac:dyDescent="0.25">
      <c r="D45" s="17">
        <v>40</v>
      </c>
      <c r="E45" s="17">
        <v>0.52023831972676804</v>
      </c>
    </row>
    <row r="51" spans="1:11" ht="24" thickBot="1" x14ac:dyDescent="0.4">
      <c r="A51" s="475" t="s">
        <v>28</v>
      </c>
      <c r="B51" s="475"/>
      <c r="C51" s="475"/>
      <c r="D51" s="475"/>
      <c r="E51" s="475"/>
      <c r="F51" s="475"/>
      <c r="G51" s="475"/>
      <c r="H51" s="475"/>
      <c r="I51" s="475"/>
      <c r="J51" s="475"/>
      <c r="K51" s="475"/>
    </row>
    <row r="52" spans="1:11" ht="19.5" thickBot="1" x14ac:dyDescent="0.35">
      <c r="A52" s="20"/>
      <c r="B52" s="21" t="s">
        <v>241</v>
      </c>
      <c r="C52" s="476" t="s">
        <v>30</v>
      </c>
      <c r="E52" s="478" t="s">
        <v>31</v>
      </c>
      <c r="F52" s="479"/>
      <c r="H52" s="480" t="s">
        <v>32</v>
      </c>
      <c r="I52" s="481"/>
      <c r="J52" s="22">
        <v>40</v>
      </c>
      <c r="K52" s="23" t="s">
        <v>33</v>
      </c>
    </row>
    <row r="53" spans="1:11" x14ac:dyDescent="0.25">
      <c r="A53" s="24" t="s">
        <v>24</v>
      </c>
      <c r="B53" s="25" t="s">
        <v>34</v>
      </c>
      <c r="C53" s="477"/>
      <c r="E53" s="26" t="s">
        <v>35</v>
      </c>
      <c r="F53" s="27">
        <f>K61</f>
        <v>5.0000000000000044E-2</v>
      </c>
      <c r="K53" s="28">
        <v>0.95</v>
      </c>
    </row>
    <row r="54" spans="1:11" x14ac:dyDescent="0.25">
      <c r="A54" s="17">
        <v>1</v>
      </c>
      <c r="B54" s="29">
        <v>0.22826460065297183</v>
      </c>
      <c r="C54" s="17" t="s">
        <v>36</v>
      </c>
      <c r="E54" s="30" t="s">
        <v>37</v>
      </c>
      <c r="F54" s="27">
        <f xml:space="preserve"> (1 - (F53/2))</f>
        <v>0.97499999999999998</v>
      </c>
      <c r="K54" s="31"/>
    </row>
    <row r="55" spans="1:11" x14ac:dyDescent="0.25">
      <c r="A55" s="17">
        <v>2</v>
      </c>
      <c r="B55" s="29">
        <v>0.45046430328237563</v>
      </c>
      <c r="C55" s="17" t="s">
        <v>38</v>
      </c>
      <c r="E55" s="30"/>
      <c r="F55" s="27"/>
      <c r="K55" s="31" t="s">
        <v>39</v>
      </c>
    </row>
    <row r="56" spans="1:11" x14ac:dyDescent="0.25">
      <c r="A56" s="17">
        <v>3</v>
      </c>
      <c r="B56" s="29">
        <v>0.86528563632531008</v>
      </c>
      <c r="C56" s="17" t="s">
        <v>40</v>
      </c>
      <c r="E56" s="30" t="s">
        <v>41</v>
      </c>
      <c r="F56" s="27">
        <f>NORMSINV(F54)</f>
        <v>1.9599639845400536</v>
      </c>
      <c r="K56" s="31"/>
    </row>
    <row r="57" spans="1:11" x14ac:dyDescent="0.25">
      <c r="A57" s="17">
        <v>4</v>
      </c>
      <c r="B57" s="29">
        <v>0.30908341786355553</v>
      </c>
      <c r="C57" s="17" t="s">
        <v>38</v>
      </c>
      <c r="E57" s="32" t="s">
        <v>42</v>
      </c>
      <c r="F57" s="33">
        <f>1/2-(F56*(1/(SQRT(12*J52))))</f>
        <v>0.41054029281414217</v>
      </c>
      <c r="K57" s="34" t="s">
        <v>43</v>
      </c>
    </row>
    <row r="58" spans="1:11" ht="15.75" thickBot="1" x14ac:dyDescent="0.3">
      <c r="A58" s="17">
        <v>5</v>
      </c>
      <c r="B58" s="29">
        <v>0.42588546244637904</v>
      </c>
      <c r="C58" s="17" t="s">
        <v>40</v>
      </c>
      <c r="E58" s="35" t="s">
        <v>44</v>
      </c>
      <c r="F58" s="36">
        <f>AVERAGE(B54:B93)</f>
        <v>0.47369761018829337</v>
      </c>
      <c r="K58" s="37">
        <f>K53</f>
        <v>0.95</v>
      </c>
    </row>
    <row r="59" spans="1:11" ht="15.75" thickBot="1" x14ac:dyDescent="0.3">
      <c r="A59" s="17">
        <v>6</v>
      </c>
      <c r="B59" s="29">
        <v>0.51771166836387539</v>
      </c>
      <c r="C59" s="17" t="s">
        <v>45</v>
      </c>
      <c r="E59" s="38" t="s">
        <v>46</v>
      </c>
      <c r="F59" s="39">
        <f>1/2+(F56*(1/(SQRT(12*J52))))</f>
        <v>0.58945970718585783</v>
      </c>
      <c r="G59" s="460" t="s">
        <v>47</v>
      </c>
      <c r="H59" s="460"/>
      <c r="I59" s="460"/>
      <c r="J59" s="461"/>
      <c r="K59" s="33"/>
    </row>
    <row r="60" spans="1:11" x14ac:dyDescent="0.25">
      <c r="A60" s="17">
        <v>7</v>
      </c>
      <c r="B60" s="29">
        <v>0.3559906177344957</v>
      </c>
      <c r="C60" s="17" t="s">
        <v>45</v>
      </c>
      <c r="E60" s="40"/>
      <c r="J60" s="41"/>
      <c r="K60" s="42" t="s">
        <v>48</v>
      </c>
    </row>
    <row r="61" spans="1:11" ht="15.75" thickBot="1" x14ac:dyDescent="0.3">
      <c r="A61" s="17">
        <v>8</v>
      </c>
      <c r="B61" s="29">
        <v>0.49251050181184031</v>
      </c>
      <c r="C61" s="17" t="s">
        <v>40</v>
      </c>
      <c r="E61" s="40"/>
      <c r="J61" s="41"/>
      <c r="K61" s="43">
        <f xml:space="preserve"> 1 - K58</f>
        <v>5.0000000000000044E-2</v>
      </c>
    </row>
    <row r="62" spans="1:11" x14ac:dyDescent="0.25">
      <c r="A62" s="17">
        <v>9</v>
      </c>
      <c r="B62" s="29">
        <v>0.17377662039705033</v>
      </c>
      <c r="C62" s="17" t="s">
        <v>38</v>
      </c>
      <c r="E62" s="40"/>
      <c r="J62" s="41"/>
    </row>
    <row r="63" spans="1:11" ht="15.75" thickBot="1" x14ac:dyDescent="0.3">
      <c r="A63" s="17">
        <v>10</v>
      </c>
      <c r="B63" s="29">
        <v>0.79556807907722582</v>
      </c>
      <c r="C63" s="17" t="s">
        <v>45</v>
      </c>
      <c r="E63" s="40"/>
      <c r="J63" s="41"/>
    </row>
    <row r="64" spans="1:11" x14ac:dyDescent="0.25">
      <c r="A64" s="17">
        <v>11</v>
      </c>
      <c r="B64" s="29">
        <v>0.6283301823598052</v>
      </c>
      <c r="C64" s="17" t="s">
        <v>38</v>
      </c>
      <c r="E64" s="482" t="s">
        <v>49</v>
      </c>
      <c r="F64" s="483"/>
      <c r="G64" s="483"/>
      <c r="H64" s="483"/>
      <c r="I64" s="483"/>
      <c r="J64" s="484"/>
    </row>
    <row r="65" spans="1:10" x14ac:dyDescent="0.25">
      <c r="A65" s="17">
        <v>12</v>
      </c>
      <c r="B65" s="29">
        <v>0.81831823372072288</v>
      </c>
      <c r="C65" s="17" t="s">
        <v>38</v>
      </c>
      <c r="E65" s="317" t="s">
        <v>50</v>
      </c>
      <c r="F65" s="318"/>
      <c r="G65" s="44" t="s">
        <v>51</v>
      </c>
      <c r="H65" s="44"/>
      <c r="I65" s="44"/>
      <c r="J65" s="45"/>
    </row>
    <row r="66" spans="1:10" ht="15.75" thickBot="1" x14ac:dyDescent="0.3">
      <c r="A66" s="17">
        <v>13</v>
      </c>
      <c r="B66" s="29">
        <v>0.20424287940790564</v>
      </c>
      <c r="C66" s="17" t="s">
        <v>45</v>
      </c>
      <c r="E66" s="38"/>
      <c r="F66" s="46"/>
      <c r="G66" s="46" t="s">
        <v>52</v>
      </c>
      <c r="H66" s="453"/>
      <c r="I66" s="453"/>
      <c r="J66" s="454"/>
    </row>
    <row r="67" spans="1:10" x14ac:dyDescent="0.25">
      <c r="A67" s="17">
        <v>14</v>
      </c>
      <c r="B67" s="29">
        <v>4.8494550778017453E-2</v>
      </c>
      <c r="C67" s="17" t="s">
        <v>38</v>
      </c>
      <c r="E67" s="380"/>
      <c r="F67" s="381"/>
      <c r="G67" s="381"/>
      <c r="H67" s="381"/>
      <c r="I67" s="47"/>
      <c r="J67" s="48"/>
    </row>
    <row r="68" spans="1:10" x14ac:dyDescent="0.25">
      <c r="A68" s="17">
        <v>15</v>
      </c>
      <c r="B68" s="29">
        <v>0.48799992446566609</v>
      </c>
      <c r="C68" s="17" t="s">
        <v>45</v>
      </c>
      <c r="E68" s="49"/>
      <c r="F68" s="50"/>
      <c r="G68" s="50"/>
      <c r="H68" s="50"/>
      <c r="I68" s="50"/>
      <c r="J68" s="48"/>
    </row>
    <row r="69" spans="1:10" x14ac:dyDescent="0.25">
      <c r="A69" s="17">
        <v>16</v>
      </c>
      <c r="B69" s="29">
        <v>0.12217102609988462</v>
      </c>
      <c r="C69" s="17" t="s">
        <v>45</v>
      </c>
      <c r="E69" s="455" t="s">
        <v>53</v>
      </c>
      <c r="F69" s="456"/>
      <c r="G69" s="456"/>
      <c r="H69" s="440" t="s">
        <v>54</v>
      </c>
      <c r="I69" s="440"/>
      <c r="J69" s="441"/>
    </row>
    <row r="70" spans="1:10" x14ac:dyDescent="0.25">
      <c r="A70" s="17">
        <v>17</v>
      </c>
      <c r="B70" s="29">
        <v>0.84531923096537187</v>
      </c>
      <c r="C70" s="17" t="s">
        <v>40</v>
      </c>
      <c r="E70" s="293" t="s">
        <v>55</v>
      </c>
      <c r="F70" s="294"/>
      <c r="G70" s="294"/>
      <c r="H70" s="294"/>
      <c r="I70" s="294"/>
      <c r="J70" s="295"/>
    </row>
    <row r="71" spans="1:10" ht="15.75" thickBot="1" x14ac:dyDescent="0.3">
      <c r="A71" s="17">
        <v>18</v>
      </c>
      <c r="B71" s="29">
        <v>0.80353043513867972</v>
      </c>
      <c r="C71" s="17" t="s">
        <v>38</v>
      </c>
      <c r="E71" s="296" t="s">
        <v>56</v>
      </c>
      <c r="F71" s="297"/>
      <c r="G71" s="297"/>
      <c r="H71" s="297"/>
      <c r="I71" s="297"/>
      <c r="J71" s="298"/>
    </row>
    <row r="72" spans="1:10" x14ac:dyDescent="0.25">
      <c r="A72" s="17">
        <v>19</v>
      </c>
      <c r="B72" s="29">
        <v>0.74371320570873067</v>
      </c>
      <c r="C72" s="17" t="s">
        <v>38</v>
      </c>
    </row>
    <row r="73" spans="1:10" x14ac:dyDescent="0.25">
      <c r="A73" s="17">
        <v>20</v>
      </c>
      <c r="B73" s="29">
        <v>0.54425254529924882</v>
      </c>
      <c r="C73" s="17" t="s">
        <v>45</v>
      </c>
    </row>
    <row r="74" spans="1:10" x14ac:dyDescent="0.25">
      <c r="A74" s="17">
        <v>21</v>
      </c>
      <c r="B74" s="29">
        <v>0.39624335553875611</v>
      </c>
      <c r="C74" s="17" t="s">
        <v>40</v>
      </c>
    </row>
    <row r="75" spans="1:10" x14ac:dyDescent="0.25">
      <c r="A75" s="17">
        <v>22</v>
      </c>
      <c r="B75" s="29">
        <v>0.51953142924152496</v>
      </c>
      <c r="C75" s="17" t="s">
        <v>38</v>
      </c>
    </row>
    <row r="76" spans="1:10" x14ac:dyDescent="0.25">
      <c r="A76" s="17">
        <v>23</v>
      </c>
      <c r="B76" s="29">
        <v>0.26024201686578796</v>
      </c>
      <c r="C76" s="17" t="s">
        <v>38</v>
      </c>
    </row>
    <row r="77" spans="1:10" ht="15.75" thickBot="1" x14ac:dyDescent="0.3">
      <c r="A77" s="17">
        <v>24</v>
      </c>
      <c r="B77" s="29">
        <v>0.94584349767362419</v>
      </c>
      <c r="C77" s="17" t="s">
        <v>38</v>
      </c>
    </row>
    <row r="78" spans="1:10" ht="19.5" thickBot="1" x14ac:dyDescent="0.35">
      <c r="A78" s="17">
        <v>25</v>
      </c>
      <c r="B78" s="29">
        <v>0.15258629472590468</v>
      </c>
      <c r="C78" s="17" t="s">
        <v>38</v>
      </c>
      <c r="E78" s="457" t="s">
        <v>57</v>
      </c>
      <c r="F78" s="458"/>
      <c r="G78" s="458"/>
      <c r="H78" s="458"/>
      <c r="I78" s="458"/>
      <c r="J78" s="459"/>
    </row>
    <row r="79" spans="1:10" x14ac:dyDescent="0.25">
      <c r="A79" s="17">
        <v>26</v>
      </c>
      <c r="B79" s="29">
        <v>7.4049312312910676E-2</v>
      </c>
      <c r="C79" s="17" t="s">
        <v>38</v>
      </c>
      <c r="E79" s="26" t="s">
        <v>58</v>
      </c>
      <c r="F79" s="27">
        <f>K61/2</f>
        <v>2.5000000000000022E-2</v>
      </c>
      <c r="J79" s="41"/>
    </row>
    <row r="80" spans="1:10" x14ac:dyDescent="0.25">
      <c r="A80" s="17">
        <v>27</v>
      </c>
      <c r="B80" s="29">
        <v>0.69609171044156737</v>
      </c>
      <c r="C80" s="17" t="s">
        <v>45</v>
      </c>
      <c r="E80" s="30" t="s">
        <v>37</v>
      </c>
      <c r="F80" s="27">
        <f>1-F79</f>
        <v>0.97499999999999998</v>
      </c>
      <c r="J80" s="41"/>
    </row>
    <row r="81" spans="1:10" x14ac:dyDescent="0.25">
      <c r="A81" s="17">
        <v>28</v>
      </c>
      <c r="B81" s="29">
        <v>0.40377444968485465</v>
      </c>
      <c r="C81" s="17" t="s">
        <v>38</v>
      </c>
      <c r="E81" s="30"/>
      <c r="F81" s="27"/>
      <c r="J81" s="41"/>
    </row>
    <row r="82" spans="1:10" x14ac:dyDescent="0.25">
      <c r="A82" s="17">
        <v>29</v>
      </c>
      <c r="B82" s="29">
        <v>0.97194604391987893</v>
      </c>
      <c r="C82" s="17" t="s">
        <v>38</v>
      </c>
      <c r="E82" s="30"/>
      <c r="F82" s="27"/>
      <c r="J82" s="41"/>
    </row>
    <row r="83" spans="1:10" ht="15.75" thickBot="1" x14ac:dyDescent="0.3">
      <c r="A83" s="17">
        <v>30</v>
      </c>
      <c r="B83" s="29">
        <v>0.1708944549034207</v>
      </c>
      <c r="C83" s="17" t="s">
        <v>40</v>
      </c>
      <c r="E83" s="30" t="s">
        <v>59</v>
      </c>
      <c r="F83" s="27">
        <f>CHIINV(F79,(J52-1))</f>
        <v>58.120059734686272</v>
      </c>
      <c r="J83" s="41"/>
    </row>
    <row r="84" spans="1:10" x14ac:dyDescent="0.25">
      <c r="A84" s="17">
        <v>31</v>
      </c>
      <c r="B84" s="29">
        <v>0.56307550860762701</v>
      </c>
      <c r="C84" s="17" t="s">
        <v>40</v>
      </c>
      <c r="E84" s="30" t="s">
        <v>59</v>
      </c>
      <c r="F84" s="27">
        <f>CHIINV(F80,(J52-1))</f>
        <v>23.654324557593021</v>
      </c>
      <c r="G84" s="460" t="s">
        <v>47</v>
      </c>
      <c r="H84" s="460"/>
      <c r="I84" s="460"/>
      <c r="J84" s="461"/>
    </row>
    <row r="85" spans="1:10" x14ac:dyDescent="0.25">
      <c r="A85" s="17">
        <v>32</v>
      </c>
      <c r="B85" s="29">
        <v>2.4350290649599593E-2</v>
      </c>
      <c r="C85" s="17" t="s">
        <v>40</v>
      </c>
      <c r="E85" s="32" t="s">
        <v>42</v>
      </c>
      <c r="F85" s="27">
        <f>F84/(12*(J52-1))</f>
        <v>5.0543428541865429E-2</v>
      </c>
      <c r="J85" s="41"/>
    </row>
    <row r="86" spans="1:10" x14ac:dyDescent="0.25">
      <c r="A86" s="17">
        <v>33</v>
      </c>
      <c r="B86" s="29">
        <v>1.4942719723481157E-2</v>
      </c>
      <c r="C86" s="17" t="s">
        <v>38</v>
      </c>
      <c r="E86" s="35" t="s">
        <v>60</v>
      </c>
      <c r="F86" s="51">
        <f>_xlfn.VAR.S(B54:B93)</f>
        <v>7.9663255507336259E-2</v>
      </c>
      <c r="G86" s="289"/>
      <c r="H86" s="289"/>
      <c r="I86" s="289"/>
      <c r="J86" s="346"/>
    </row>
    <row r="87" spans="1:10" ht="15.75" thickBot="1" x14ac:dyDescent="0.3">
      <c r="A87" s="17">
        <v>34</v>
      </c>
      <c r="B87" s="29">
        <v>0.36323079435026817</v>
      </c>
      <c r="C87" s="17" t="s">
        <v>36</v>
      </c>
      <c r="E87" s="38" t="s">
        <v>46</v>
      </c>
      <c r="F87" s="52">
        <f>F83/(12*(J52-1))</f>
        <v>0.12418816182625272</v>
      </c>
      <c r="J87" s="41"/>
    </row>
    <row r="88" spans="1:10" ht="15.75" thickBot="1" x14ac:dyDescent="0.3">
      <c r="A88" s="17">
        <v>35</v>
      </c>
      <c r="B88" s="29">
        <v>0.18693798752203938</v>
      </c>
      <c r="C88" s="17" t="s">
        <v>40</v>
      </c>
      <c r="E88" s="40"/>
      <c r="J88" s="41"/>
    </row>
    <row r="89" spans="1:10" x14ac:dyDescent="0.25">
      <c r="A89" s="17">
        <v>36</v>
      </c>
      <c r="B89" s="29">
        <v>0.38371867399416248</v>
      </c>
      <c r="C89" s="17" t="s">
        <v>38</v>
      </c>
      <c r="E89" s="462" t="s">
        <v>61</v>
      </c>
      <c r="F89" s="463"/>
      <c r="G89" s="463"/>
      <c r="H89" s="463"/>
      <c r="I89" s="463"/>
      <c r="J89" s="464"/>
    </row>
    <row r="90" spans="1:10" x14ac:dyDescent="0.25">
      <c r="A90" s="17">
        <v>37</v>
      </c>
      <c r="B90" s="29">
        <v>0.75881567839743458</v>
      </c>
      <c r="C90" s="17" t="s">
        <v>38</v>
      </c>
      <c r="E90" s="465" t="s">
        <v>62</v>
      </c>
      <c r="F90" s="466"/>
      <c r="G90" s="466"/>
      <c r="H90" s="466"/>
      <c r="I90" s="466"/>
      <c r="J90" s="467"/>
    </row>
    <row r="91" spans="1:10" x14ac:dyDescent="0.25">
      <c r="A91" s="17">
        <v>38</v>
      </c>
      <c r="B91" s="29">
        <v>0.85197821632360615</v>
      </c>
      <c r="C91" s="17" t="s">
        <v>38</v>
      </c>
      <c r="E91" s="49"/>
      <c r="F91" s="50"/>
      <c r="G91" s="50"/>
      <c r="H91" s="50"/>
      <c r="I91" s="50"/>
      <c r="J91" s="48"/>
    </row>
    <row r="92" spans="1:10" x14ac:dyDescent="0.25">
      <c r="A92" s="17">
        <v>39</v>
      </c>
      <c r="B92" s="29">
        <v>0.82850053102940346</v>
      </c>
      <c r="C92" s="17" t="s">
        <v>38</v>
      </c>
      <c r="E92" s="49"/>
      <c r="F92" s="50"/>
      <c r="G92" s="50"/>
      <c r="H92" s="50"/>
      <c r="I92" s="50"/>
      <c r="J92" s="48"/>
    </row>
    <row r="93" spans="1:10" x14ac:dyDescent="0.25">
      <c r="A93" s="17">
        <v>40</v>
      </c>
      <c r="B93" s="29">
        <v>0.52023831972676804</v>
      </c>
      <c r="C93" s="17" t="s">
        <v>38</v>
      </c>
      <c r="E93" s="49"/>
      <c r="F93" s="50"/>
      <c r="G93" s="50"/>
      <c r="H93" s="50"/>
      <c r="I93" s="50"/>
      <c r="J93" s="48"/>
    </row>
    <row r="94" spans="1:10" ht="15.75" thickBot="1" x14ac:dyDescent="0.3">
      <c r="E94" s="53"/>
      <c r="F94" s="54"/>
      <c r="G94" s="54"/>
      <c r="H94" s="54"/>
      <c r="I94" s="54"/>
      <c r="J94" s="55"/>
    </row>
    <row r="95" spans="1:10" x14ac:dyDescent="0.25">
      <c r="E95" s="380" t="s">
        <v>63</v>
      </c>
      <c r="F95" s="381"/>
      <c r="G95" s="381"/>
      <c r="H95" s="381"/>
      <c r="I95" s="381"/>
      <c r="J95" s="452"/>
    </row>
    <row r="96" spans="1:10" x14ac:dyDescent="0.25">
      <c r="E96" s="49"/>
      <c r="F96" s="50"/>
      <c r="G96" s="50"/>
      <c r="H96" s="50"/>
      <c r="I96" s="50"/>
      <c r="J96" s="48"/>
    </row>
    <row r="97" spans="3:10" x14ac:dyDescent="0.25">
      <c r="E97" s="49"/>
      <c r="F97" s="50"/>
      <c r="G97" s="50"/>
      <c r="H97" s="50"/>
      <c r="I97" s="50"/>
      <c r="J97" s="48"/>
    </row>
    <row r="98" spans="3:10" x14ac:dyDescent="0.25">
      <c r="E98" s="49"/>
      <c r="F98" s="50"/>
      <c r="G98" s="50"/>
      <c r="H98" s="440" t="s">
        <v>64</v>
      </c>
      <c r="I98" s="440"/>
      <c r="J98" s="441"/>
    </row>
    <row r="99" spans="3:10" x14ac:dyDescent="0.25">
      <c r="E99" s="49"/>
      <c r="F99" s="50"/>
      <c r="G99" s="50"/>
      <c r="H99" s="47"/>
      <c r="I99" s="47"/>
      <c r="J99" s="56"/>
    </row>
    <row r="100" spans="3:10" x14ac:dyDescent="0.25">
      <c r="E100" s="293" t="s">
        <v>65</v>
      </c>
      <c r="F100" s="294"/>
      <c r="G100" s="294"/>
      <c r="H100" s="294"/>
      <c r="I100" s="294"/>
      <c r="J100" s="295"/>
    </row>
    <row r="101" spans="3:10" ht="15.75" thickBot="1" x14ac:dyDescent="0.3">
      <c r="E101" s="296" t="s">
        <v>66</v>
      </c>
      <c r="F101" s="297"/>
      <c r="G101" s="297"/>
      <c r="H101" s="297"/>
      <c r="I101" s="297"/>
      <c r="J101" s="298"/>
    </row>
    <row r="102" spans="3:10" ht="15.75" thickBot="1" x14ac:dyDescent="0.3"/>
    <row r="103" spans="3:10" ht="19.5" thickBot="1" x14ac:dyDescent="0.35">
      <c r="E103" s="442" t="s">
        <v>67</v>
      </c>
      <c r="F103" s="443"/>
      <c r="G103" s="443"/>
      <c r="H103" s="443"/>
      <c r="I103" s="443"/>
      <c r="J103" s="444"/>
    </row>
    <row r="104" spans="3:10" ht="15.75" thickBot="1" x14ac:dyDescent="0.3">
      <c r="E104" s="57" t="s">
        <v>68</v>
      </c>
      <c r="F104" s="58">
        <f>ROUNDUP(SQRT(J52),0)</f>
        <v>7</v>
      </c>
      <c r="G104" s="59"/>
      <c r="H104" s="58" t="s">
        <v>69</v>
      </c>
      <c r="I104" s="60"/>
      <c r="J104" s="61">
        <f>J52/F104</f>
        <v>5.7142857142857144</v>
      </c>
    </row>
    <row r="105" spans="3:10" x14ac:dyDescent="0.25">
      <c r="E105" s="62" t="s">
        <v>70</v>
      </c>
      <c r="F105" s="63" t="s">
        <v>71</v>
      </c>
      <c r="G105" s="63" t="s">
        <v>72</v>
      </c>
      <c r="H105" s="64" t="s">
        <v>73</v>
      </c>
      <c r="I105" s="65"/>
      <c r="J105" s="66"/>
    </row>
    <row r="106" spans="3:10" x14ac:dyDescent="0.25">
      <c r="E106" s="17" t="s">
        <v>74</v>
      </c>
      <c r="F106" s="17">
        <f>COUNTIFS(B54:B93,"&gt;0",B54:B93,"&lt;0,14285")</f>
        <v>5</v>
      </c>
      <c r="G106" s="17">
        <v>5.7142900000000001</v>
      </c>
      <c r="H106" s="17">
        <f>((G106-F106)^2)/G106</f>
        <v>8.928671875246097E-2</v>
      </c>
      <c r="J106" s="41"/>
    </row>
    <row r="107" spans="3:10" x14ac:dyDescent="0.25">
      <c r="E107" s="67" t="s">
        <v>75</v>
      </c>
      <c r="F107" s="17">
        <f>COUNTIFS(B54:B93,"&gt;0,14285",B54:B93,"&lt;0,285714")</f>
        <v>7</v>
      </c>
      <c r="G107" s="17">
        <v>5.7142900000000001</v>
      </c>
      <c r="H107" s="17">
        <f t="shared" ref="H107:H112" si="1">((G107-F107)^2)/G107</f>
        <v>0.28928356875482336</v>
      </c>
      <c r="J107" s="41"/>
    </row>
    <row r="108" spans="3:10" x14ac:dyDescent="0.25">
      <c r="E108" s="67" t="s">
        <v>76</v>
      </c>
      <c r="F108" s="17">
        <f>COUNTIFS(B54:B93,"&gt;0,285714",B54:B93,"&lt;0,428564")</f>
        <v>7</v>
      </c>
      <c r="G108" s="17">
        <v>5.7142900000000001</v>
      </c>
      <c r="H108" s="17">
        <f t="shared" si="1"/>
        <v>0.28928356875482336</v>
      </c>
      <c r="J108" s="41"/>
    </row>
    <row r="109" spans="3:10" x14ac:dyDescent="0.25">
      <c r="E109" s="67" t="s">
        <v>77</v>
      </c>
      <c r="F109" s="17">
        <f>COUNTIFS(B54:B93,"&gt;0,428564",B54:B93,"&lt;0,571414")</f>
        <v>8</v>
      </c>
      <c r="G109" s="17">
        <v>5.7142900000000001</v>
      </c>
      <c r="H109" s="17">
        <f t="shared" si="1"/>
        <v>0.91428160000629988</v>
      </c>
      <c r="J109" s="41"/>
    </row>
    <row r="110" spans="3:10" x14ac:dyDescent="0.25">
      <c r="E110" s="67" t="s">
        <v>78</v>
      </c>
      <c r="F110" s="17">
        <f>COUNTIFS(B54:B93,"&gt;0,571414",B54:B93,"&lt;0,714264")</f>
        <v>2</v>
      </c>
      <c r="G110" s="17">
        <v>5.7142900000000001</v>
      </c>
      <c r="H110" s="17">
        <f t="shared" si="1"/>
        <v>2.4142894750003938</v>
      </c>
      <c r="J110" s="41"/>
    </row>
    <row r="111" spans="3:10" x14ac:dyDescent="0.25">
      <c r="C111" s="68"/>
      <c r="E111" s="67" t="s">
        <v>79</v>
      </c>
      <c r="F111" s="17">
        <f>COUNTIFS(B54:B93,"&gt;0,714264",B54:B93,"&lt;0,857114")</f>
        <v>8</v>
      </c>
      <c r="G111" s="17">
        <v>5.7142900000000001</v>
      </c>
      <c r="H111" s="17">
        <f t="shared" si="1"/>
        <v>0.91428160000629988</v>
      </c>
      <c r="J111" s="41"/>
    </row>
    <row r="112" spans="3:10" ht="15.75" thickBot="1" x14ac:dyDescent="0.3">
      <c r="E112" s="69" t="s">
        <v>80</v>
      </c>
      <c r="F112" s="70">
        <f>COUNTIFS(B54:B93,"&gt;0,857114",B54:B93,"&lt;1")</f>
        <v>3</v>
      </c>
      <c r="G112" s="70">
        <v>5.7142900000000001</v>
      </c>
      <c r="H112" s="17">
        <f t="shared" si="1"/>
        <v>1.289288818750886</v>
      </c>
      <c r="J112" s="41"/>
    </row>
    <row r="113" spans="5:11" ht="66.75" customHeight="1" x14ac:dyDescent="0.25">
      <c r="E113" s="71" t="s">
        <v>81</v>
      </c>
      <c r="F113" s="72">
        <f>SUM(F106:F112)</f>
        <v>40</v>
      </c>
      <c r="G113" s="73"/>
      <c r="H113" s="73">
        <f>SUM(H106:H112)</f>
        <v>6.1999953500259872</v>
      </c>
      <c r="I113" s="74" t="s">
        <v>82</v>
      </c>
      <c r="J113" s="75">
        <f>F53</f>
        <v>5.0000000000000044E-2</v>
      </c>
    </row>
    <row r="114" spans="5:11" ht="39" customHeight="1" x14ac:dyDescent="0.25">
      <c r="E114" s="30"/>
      <c r="G114" s="76" t="s">
        <v>59</v>
      </c>
      <c r="H114" s="77">
        <f>_xlfn.CHISQ.INV.RT(J113,F104-1)</f>
        <v>12.591587243743977</v>
      </c>
      <c r="J114" s="41"/>
    </row>
    <row r="115" spans="5:11" x14ac:dyDescent="0.25">
      <c r="E115" s="317" t="s">
        <v>83</v>
      </c>
      <c r="F115" s="318"/>
      <c r="G115" s="44"/>
      <c r="H115" s="44"/>
      <c r="I115" s="44"/>
      <c r="J115" s="45"/>
    </row>
    <row r="116" spans="5:11" x14ac:dyDescent="0.25">
      <c r="E116" s="78"/>
      <c r="F116" s="44"/>
      <c r="G116" s="44"/>
      <c r="H116" s="44"/>
      <c r="I116" s="44"/>
      <c r="J116" s="45"/>
    </row>
    <row r="117" spans="5:11" x14ac:dyDescent="0.25">
      <c r="E117" s="78"/>
      <c r="F117" s="44"/>
      <c r="G117" s="44"/>
      <c r="H117" s="44"/>
      <c r="I117" s="44"/>
      <c r="J117" s="45"/>
    </row>
    <row r="118" spans="5:11" x14ac:dyDescent="0.25">
      <c r="E118" s="78"/>
      <c r="F118" s="44"/>
      <c r="G118" s="44"/>
      <c r="H118" s="44"/>
      <c r="I118" s="44"/>
      <c r="J118" s="45"/>
    </row>
    <row r="119" spans="5:11" x14ac:dyDescent="0.25">
      <c r="E119" s="317" t="s">
        <v>84</v>
      </c>
      <c r="F119" s="318"/>
      <c r="G119" s="318"/>
      <c r="H119" s="318"/>
      <c r="I119" s="318"/>
      <c r="J119" s="337"/>
    </row>
    <row r="120" spans="5:11" x14ac:dyDescent="0.25">
      <c r="E120" s="317" t="s">
        <v>85</v>
      </c>
      <c r="F120" s="318"/>
      <c r="G120" s="318"/>
      <c r="H120" s="318"/>
      <c r="I120" s="318"/>
      <c r="J120" s="337"/>
    </row>
    <row r="121" spans="5:11" x14ac:dyDescent="0.25">
      <c r="E121" s="78"/>
      <c r="F121" s="44"/>
      <c r="G121" s="44"/>
      <c r="H121" s="44"/>
      <c r="I121" s="44"/>
      <c r="J121" s="45"/>
    </row>
    <row r="122" spans="5:11" x14ac:dyDescent="0.25">
      <c r="E122" s="78"/>
      <c r="F122" s="44"/>
      <c r="G122" s="44"/>
      <c r="H122" s="440" t="s">
        <v>86</v>
      </c>
      <c r="I122" s="440"/>
      <c r="J122" s="441"/>
    </row>
    <row r="123" spans="5:11" x14ac:dyDescent="0.25">
      <c r="E123" s="445" t="s">
        <v>87</v>
      </c>
      <c r="F123" s="446"/>
      <c r="G123" s="446"/>
      <c r="H123" s="446"/>
      <c r="I123" s="446"/>
      <c r="J123" s="447"/>
    </row>
    <row r="124" spans="5:11" ht="15.75" thickBot="1" x14ac:dyDescent="0.3">
      <c r="E124" s="448" t="s">
        <v>88</v>
      </c>
      <c r="F124" s="449"/>
      <c r="G124" s="449"/>
      <c r="H124" s="54"/>
      <c r="I124" s="54"/>
      <c r="J124" s="55"/>
    </row>
    <row r="126" spans="5:11" ht="15.75" thickBot="1" x14ac:dyDescent="0.3"/>
    <row r="127" spans="5:11" ht="19.5" thickBot="1" x14ac:dyDescent="0.35">
      <c r="E127" s="450" t="s">
        <v>89</v>
      </c>
      <c r="F127" s="451"/>
      <c r="G127" s="451"/>
      <c r="H127" s="451"/>
      <c r="I127" s="451"/>
      <c r="J127" s="451"/>
      <c r="K127" s="66"/>
    </row>
    <row r="128" spans="5:11" x14ac:dyDescent="0.25">
      <c r="E128" s="438" t="s">
        <v>90</v>
      </c>
      <c r="F128" s="439"/>
      <c r="G128" s="79"/>
      <c r="H128" s="79"/>
      <c r="I128" s="79"/>
      <c r="J128" s="80"/>
      <c r="K128" s="41"/>
    </row>
    <row r="129" spans="5:11" x14ac:dyDescent="0.25">
      <c r="E129" s="81"/>
      <c r="F129" s="82"/>
      <c r="G129" s="405" t="s">
        <v>91</v>
      </c>
      <c r="H129" s="405"/>
      <c r="I129" s="405"/>
      <c r="J129" s="436"/>
      <c r="K129" s="41"/>
    </row>
    <row r="130" spans="5:11" x14ac:dyDescent="0.25">
      <c r="E130" s="81"/>
      <c r="F130" s="82"/>
      <c r="G130" s="405" t="s">
        <v>92</v>
      </c>
      <c r="H130" s="405"/>
      <c r="I130" s="405"/>
      <c r="J130" s="436"/>
      <c r="K130" s="41"/>
    </row>
    <row r="131" spans="5:11" ht="15.75" thickBot="1" x14ac:dyDescent="0.3">
      <c r="E131" s="83"/>
      <c r="F131" s="84"/>
      <c r="G131" s="85" t="s">
        <v>82</v>
      </c>
      <c r="H131" s="86">
        <f>F53</f>
        <v>5.0000000000000044E-2</v>
      </c>
      <c r="I131" s="87"/>
      <c r="J131" s="88"/>
      <c r="K131" s="41"/>
    </row>
    <row r="132" spans="5:11" x14ac:dyDescent="0.25">
      <c r="E132" s="89" t="s">
        <v>68</v>
      </c>
      <c r="F132" s="89">
        <v>7</v>
      </c>
      <c r="G132" s="90" t="s">
        <v>93</v>
      </c>
      <c r="H132" s="90">
        <v>40</v>
      </c>
      <c r="K132" s="41"/>
    </row>
    <row r="133" spans="5:11" x14ac:dyDescent="0.25">
      <c r="E133" s="91" t="s">
        <v>94</v>
      </c>
      <c r="F133" s="91"/>
      <c r="G133" s="91" t="s">
        <v>95</v>
      </c>
      <c r="H133" s="91" t="s">
        <v>96</v>
      </c>
      <c r="I133" s="91"/>
      <c r="J133" s="91" t="s">
        <v>97</v>
      </c>
      <c r="K133" s="91" t="s">
        <v>73</v>
      </c>
    </row>
    <row r="134" spans="5:11" x14ac:dyDescent="0.25">
      <c r="E134" s="17" t="s">
        <v>98</v>
      </c>
      <c r="F134" s="17" t="s">
        <v>40</v>
      </c>
      <c r="G134" s="17">
        <v>0.3024</v>
      </c>
      <c r="H134" s="92">
        <f>G134*$H$132</f>
        <v>12.096</v>
      </c>
      <c r="I134" s="17"/>
      <c r="J134" s="17">
        <f>COUNTIF(C54:C93,"TD")</f>
        <v>9</v>
      </c>
      <c r="K134" s="17">
        <f>((H134-J134)^2)/H134</f>
        <v>0.79242857142857148</v>
      </c>
    </row>
    <row r="135" spans="5:11" x14ac:dyDescent="0.25">
      <c r="E135" s="17" t="s">
        <v>99</v>
      </c>
      <c r="F135" s="17" t="s">
        <v>38</v>
      </c>
      <c r="G135" s="17">
        <v>0.504</v>
      </c>
      <c r="H135" s="92">
        <f t="shared" ref="H135:H140" si="2">G135*$H$132</f>
        <v>20.16</v>
      </c>
      <c r="I135" s="17"/>
      <c r="J135" s="17">
        <f>COUNTIF(C54:C93,"1P")</f>
        <v>21</v>
      </c>
      <c r="K135" s="17">
        <f t="shared" ref="K135:K140" si="3">((H135-J135)^2)/H135</f>
        <v>3.4999999999999989E-2</v>
      </c>
    </row>
    <row r="136" spans="5:11" x14ac:dyDescent="0.25">
      <c r="E136" s="17" t="s">
        <v>100</v>
      </c>
      <c r="F136" s="17" t="s">
        <v>45</v>
      </c>
      <c r="G136" s="17">
        <v>0.108</v>
      </c>
      <c r="H136" s="92">
        <f t="shared" si="2"/>
        <v>4.32</v>
      </c>
      <c r="I136" s="17"/>
      <c r="J136" s="17">
        <f>COUNTIF(C54:C93,"2P")</f>
        <v>8</v>
      </c>
      <c r="K136" s="17">
        <f t="shared" si="3"/>
        <v>3.1348148148148138</v>
      </c>
    </row>
    <row r="137" spans="5:11" x14ac:dyDescent="0.25">
      <c r="E137" s="17" t="s">
        <v>101</v>
      </c>
      <c r="F137" s="17" t="s">
        <v>102</v>
      </c>
      <c r="G137" s="17">
        <v>8.9999999999999993E-3</v>
      </c>
      <c r="H137" s="92">
        <f t="shared" si="2"/>
        <v>0.36</v>
      </c>
      <c r="I137" s="17"/>
      <c r="J137" s="17">
        <f>COUNTIF(C54:C93,"TP")</f>
        <v>0</v>
      </c>
      <c r="K137" s="17">
        <f t="shared" si="3"/>
        <v>0.36</v>
      </c>
    </row>
    <row r="138" spans="5:11" x14ac:dyDescent="0.25">
      <c r="E138" s="17" t="s">
        <v>103</v>
      </c>
      <c r="F138" s="17" t="s">
        <v>36</v>
      </c>
      <c r="G138" s="17">
        <v>7.1999999999999995E-2</v>
      </c>
      <c r="H138" s="92">
        <f>G138*$H$132</f>
        <v>2.88</v>
      </c>
      <c r="I138" s="17"/>
      <c r="J138" s="17">
        <f>COUNTIF(C54:C93,"T")</f>
        <v>2</v>
      </c>
      <c r="K138" s="17">
        <f t="shared" si="3"/>
        <v>0.26888888888888884</v>
      </c>
    </row>
    <row r="139" spans="5:11" x14ac:dyDescent="0.25">
      <c r="E139" s="17" t="s">
        <v>104</v>
      </c>
      <c r="F139" s="17" t="s">
        <v>105</v>
      </c>
      <c r="G139" s="17">
        <v>4.4999999999999997E-3</v>
      </c>
      <c r="H139" s="92">
        <f t="shared" si="2"/>
        <v>0.18</v>
      </c>
      <c r="I139" s="17"/>
      <c r="J139" s="17">
        <f>COUNTIF(C54:C93,"P")</f>
        <v>0</v>
      </c>
      <c r="K139" s="17">
        <f>((H139-J139)^2)/H139</f>
        <v>0.18</v>
      </c>
    </row>
    <row r="140" spans="5:11" x14ac:dyDescent="0.25">
      <c r="E140" s="17" t="s">
        <v>106</v>
      </c>
      <c r="F140" s="17" t="s">
        <v>107</v>
      </c>
      <c r="G140" s="17">
        <v>1E-4</v>
      </c>
      <c r="H140" s="92">
        <f t="shared" si="2"/>
        <v>4.0000000000000001E-3</v>
      </c>
      <c r="I140" s="17"/>
      <c r="J140" s="17">
        <f>COUNTIF(C54:C93,"Q")</f>
        <v>0</v>
      </c>
      <c r="K140" s="17">
        <f t="shared" si="3"/>
        <v>4.0000000000000001E-3</v>
      </c>
    </row>
    <row r="141" spans="5:11" x14ac:dyDescent="0.25">
      <c r="E141" s="11"/>
      <c r="F141" s="11"/>
      <c r="G141" s="11"/>
      <c r="H141" s="93" t="s">
        <v>81</v>
      </c>
      <c r="I141" s="93"/>
      <c r="J141" s="93">
        <f>SUM(J134:J140)</f>
        <v>40</v>
      </c>
      <c r="K141" s="94">
        <f>SUM(K134:K140)</f>
        <v>4.7751322751322736</v>
      </c>
    </row>
    <row r="142" spans="5:11" x14ac:dyDescent="0.25">
      <c r="E142" s="40"/>
      <c r="K142" s="48"/>
    </row>
    <row r="143" spans="5:11" x14ac:dyDescent="0.25">
      <c r="E143" s="40"/>
      <c r="K143" s="48"/>
    </row>
    <row r="144" spans="5:11" ht="21" customHeight="1" x14ac:dyDescent="0.25">
      <c r="E144" s="40"/>
      <c r="K144" s="48"/>
    </row>
    <row r="145" spans="5:11" ht="29.25" customHeight="1" x14ac:dyDescent="0.25">
      <c r="E145" s="40"/>
      <c r="I145" s="95"/>
      <c r="J145" s="95">
        <f>_xlfn.CHISQ.INV.RT(H131,F132-1)</f>
        <v>12.591587243743977</v>
      </c>
      <c r="K145" s="41"/>
    </row>
    <row r="146" spans="5:11" x14ac:dyDescent="0.25">
      <c r="E146" s="40"/>
      <c r="K146" s="41"/>
    </row>
    <row r="147" spans="5:11" x14ac:dyDescent="0.25">
      <c r="E147" s="437" t="s">
        <v>108</v>
      </c>
      <c r="F147" s="405"/>
      <c r="G147" s="405"/>
      <c r="H147" s="405"/>
      <c r="I147" s="405"/>
      <c r="J147" s="405"/>
      <c r="K147" s="41"/>
    </row>
    <row r="148" spans="5:11" x14ac:dyDescent="0.25">
      <c r="E148" s="81"/>
      <c r="F148" s="82"/>
      <c r="G148" s="82"/>
      <c r="H148" s="82"/>
      <c r="I148" s="82"/>
      <c r="J148" s="82"/>
      <c r="K148" s="41"/>
    </row>
    <row r="149" spans="5:11" x14ac:dyDescent="0.25">
      <c r="E149" s="81"/>
      <c r="F149" s="82"/>
      <c r="G149" s="82"/>
      <c r="H149" s="82"/>
      <c r="I149" s="82"/>
      <c r="J149" s="82"/>
      <c r="K149" s="41"/>
    </row>
    <row r="150" spans="5:11" x14ac:dyDescent="0.25">
      <c r="E150" s="81"/>
      <c r="F150" s="82"/>
      <c r="G150" s="82"/>
      <c r="H150" s="96" t="s">
        <v>109</v>
      </c>
      <c r="I150" s="82"/>
      <c r="J150" s="82"/>
      <c r="K150" s="41"/>
    </row>
    <row r="151" spans="5:11" ht="15.75" thickBot="1" x14ac:dyDescent="0.3">
      <c r="E151" s="296" t="s">
        <v>110</v>
      </c>
      <c r="F151" s="297"/>
      <c r="G151" s="297"/>
      <c r="H151" s="297"/>
      <c r="I151" s="297"/>
      <c r="J151" s="297"/>
      <c r="K151" s="298"/>
    </row>
    <row r="152" spans="5:11" x14ac:dyDescent="0.25">
      <c r="E152" s="289"/>
      <c r="F152" s="289"/>
      <c r="G152" s="289"/>
      <c r="H152" s="289"/>
    </row>
    <row r="153" spans="5:11" x14ac:dyDescent="0.25">
      <c r="E153" s="289"/>
      <c r="F153" s="289"/>
      <c r="G153" s="289"/>
      <c r="H153" s="289"/>
    </row>
    <row r="156" spans="5:11" ht="17.25" x14ac:dyDescent="0.3">
      <c r="E156" s="435" t="s">
        <v>111</v>
      </c>
      <c r="F156" s="435"/>
      <c r="G156" s="435"/>
      <c r="H156" s="435"/>
      <c r="I156" s="435"/>
      <c r="J156" s="435"/>
      <c r="K156" s="435"/>
    </row>
    <row r="157" spans="5:11" ht="17.25" x14ac:dyDescent="0.3">
      <c r="E157" s="435" t="s">
        <v>112</v>
      </c>
      <c r="F157" s="435"/>
      <c r="G157" s="435"/>
      <c r="H157" s="435"/>
      <c r="I157" s="435"/>
      <c r="J157" s="435"/>
      <c r="K157" s="435"/>
    </row>
  </sheetData>
  <mergeCells count="44">
    <mergeCell ref="E65:F65"/>
    <mergeCell ref="A1:F1"/>
    <mergeCell ref="A2:F2"/>
    <mergeCell ref="A3:B3"/>
    <mergeCell ref="D3:E3"/>
    <mergeCell ref="D4:E4"/>
    <mergeCell ref="A51:K51"/>
    <mergeCell ref="C52:C53"/>
    <mergeCell ref="E52:F52"/>
    <mergeCell ref="H52:I52"/>
    <mergeCell ref="G59:J59"/>
    <mergeCell ref="E64:J64"/>
    <mergeCell ref="E95:J95"/>
    <mergeCell ref="H66:J66"/>
    <mergeCell ref="E67:H67"/>
    <mergeCell ref="E69:G69"/>
    <mergeCell ref="H69:J69"/>
    <mergeCell ref="E70:J70"/>
    <mergeCell ref="E71:J71"/>
    <mergeCell ref="E78:J78"/>
    <mergeCell ref="G84:J84"/>
    <mergeCell ref="G86:J86"/>
    <mergeCell ref="E89:J89"/>
    <mergeCell ref="E90:J90"/>
    <mergeCell ref="E128:F128"/>
    <mergeCell ref="H98:J98"/>
    <mergeCell ref="E100:J100"/>
    <mergeCell ref="E101:J101"/>
    <mergeCell ref="E103:J103"/>
    <mergeCell ref="E115:F115"/>
    <mergeCell ref="E119:J119"/>
    <mergeCell ref="E120:J120"/>
    <mergeCell ref="H122:J122"/>
    <mergeCell ref="E123:J123"/>
    <mergeCell ref="E124:G124"/>
    <mergeCell ref="E127:J127"/>
    <mergeCell ref="E156:K156"/>
    <mergeCell ref="E157:K157"/>
    <mergeCell ref="G129:J129"/>
    <mergeCell ref="G130:J130"/>
    <mergeCell ref="E147:J147"/>
    <mergeCell ref="E151:K151"/>
    <mergeCell ref="E152:H152"/>
    <mergeCell ref="E153:H15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0392-4171-428B-931D-A14C99C2D1A4}">
  <dimension ref="A1:K201"/>
  <sheetViews>
    <sheetView topLeftCell="C130" zoomScale="55" zoomScaleNormal="55" workbookViewId="0">
      <selection activeCell="K84" sqref="K84"/>
    </sheetView>
  </sheetViews>
  <sheetFormatPr baseColWidth="10" defaultRowHeight="15" x14ac:dyDescent="0.25"/>
  <cols>
    <col min="1" max="1" width="21.42578125" style="13" customWidth="1"/>
    <col min="2" max="2" width="55.7109375" style="13" bestFit="1" customWidth="1"/>
    <col min="3" max="3" width="29.7109375" style="13" customWidth="1"/>
    <col min="4" max="4" width="25.42578125" style="13" customWidth="1"/>
    <col min="5" max="5" width="25.28515625" style="13" customWidth="1"/>
    <col min="6" max="6" width="29.28515625" style="13" customWidth="1"/>
    <col min="7" max="7" width="87.42578125" style="12" customWidth="1"/>
    <col min="8" max="8" width="20.85546875" style="13" bestFit="1" customWidth="1"/>
    <col min="9" max="9" width="10.140625" style="13" customWidth="1"/>
    <col min="10" max="10" width="22.140625" style="13" customWidth="1"/>
    <col min="11" max="11" width="55" style="13" customWidth="1"/>
    <col min="12" max="12" width="17.85546875" style="13" customWidth="1"/>
    <col min="13" max="16384" width="11.42578125" style="13"/>
  </cols>
  <sheetData>
    <row r="1" spans="1:7" ht="15.75" thickBot="1" x14ac:dyDescent="0.3">
      <c r="A1" s="496" t="s">
        <v>113</v>
      </c>
      <c r="B1" s="497"/>
      <c r="C1" s="497"/>
      <c r="D1" s="497"/>
      <c r="E1" s="497"/>
      <c r="F1" s="497"/>
      <c r="G1" s="498"/>
    </row>
    <row r="2" spans="1:7" ht="15.75" thickBot="1" x14ac:dyDescent="0.3">
      <c r="A2" s="499" t="s">
        <v>114</v>
      </c>
      <c r="B2" s="500"/>
      <c r="C2" s="500"/>
      <c r="D2" s="500"/>
      <c r="E2" s="500"/>
      <c r="F2" s="500"/>
      <c r="G2" s="97" t="s">
        <v>115</v>
      </c>
    </row>
    <row r="3" spans="1:7" ht="15.75" thickTop="1" x14ac:dyDescent="0.25">
      <c r="A3" s="501" t="s">
        <v>116</v>
      </c>
      <c r="B3" s="502"/>
      <c r="C3" s="502"/>
      <c r="D3" s="502"/>
      <c r="E3" s="502"/>
      <c r="F3" s="11"/>
      <c r="G3" s="98"/>
    </row>
    <row r="4" spans="1:7" x14ac:dyDescent="0.25">
      <c r="A4" s="503" t="s">
        <v>117</v>
      </c>
      <c r="B4" s="504"/>
      <c r="C4" s="504"/>
      <c r="D4" s="504"/>
      <c r="E4" s="99">
        <v>10</v>
      </c>
      <c r="F4" s="11"/>
      <c r="G4" s="98"/>
    </row>
    <row r="5" spans="1:7" x14ac:dyDescent="0.25">
      <c r="A5" s="503" t="s">
        <v>118</v>
      </c>
      <c r="B5" s="504"/>
      <c r="C5" s="504"/>
      <c r="D5" s="504"/>
      <c r="E5" s="99">
        <v>11</v>
      </c>
      <c r="F5" s="11"/>
      <c r="G5" s="98"/>
    </row>
    <row r="6" spans="1:7" ht="15.75" thickBot="1" x14ac:dyDescent="0.3">
      <c r="A6" s="505" t="s">
        <v>119</v>
      </c>
      <c r="B6" s="506"/>
      <c r="C6" s="506"/>
      <c r="D6" s="506"/>
      <c r="E6" s="100">
        <v>5</v>
      </c>
      <c r="F6" s="101"/>
      <c r="G6" s="102"/>
    </row>
    <row r="8" spans="1:7" x14ac:dyDescent="0.25">
      <c r="A8" s="507" t="s">
        <v>120</v>
      </c>
      <c r="B8" s="507"/>
      <c r="C8" s="507"/>
      <c r="D8" s="507"/>
      <c r="E8" s="507"/>
      <c r="F8" s="507"/>
      <c r="G8" s="507"/>
    </row>
    <row r="9" spans="1:7" x14ac:dyDescent="0.25">
      <c r="A9" s="507" t="s">
        <v>121</v>
      </c>
      <c r="B9" s="507"/>
      <c r="C9" s="507"/>
      <c r="D9" s="507"/>
      <c r="E9" s="507"/>
      <c r="F9" s="507"/>
      <c r="G9" s="507"/>
    </row>
    <row r="10" spans="1:7" x14ac:dyDescent="0.25">
      <c r="A10" s="103"/>
      <c r="B10" s="495" t="s">
        <v>122</v>
      </c>
      <c r="C10" s="495"/>
      <c r="D10" s="495"/>
      <c r="E10" s="495"/>
      <c r="F10" s="495"/>
      <c r="G10" s="96"/>
    </row>
    <row r="11" spans="1:7" x14ac:dyDescent="0.25">
      <c r="A11" s="103"/>
      <c r="B11" s="495" t="s">
        <v>123</v>
      </c>
      <c r="C11" s="495"/>
      <c r="D11" s="495"/>
      <c r="E11" s="495"/>
      <c r="F11" s="495"/>
      <c r="G11" s="96"/>
    </row>
    <row r="12" spans="1:7" x14ac:dyDescent="0.25">
      <c r="A12" s="103"/>
      <c r="B12" s="495" t="s">
        <v>124</v>
      </c>
      <c r="C12" s="495"/>
      <c r="D12" s="495"/>
      <c r="E12" s="495"/>
      <c r="F12" s="495"/>
      <c r="G12" s="96"/>
    </row>
    <row r="13" spans="1:7" x14ac:dyDescent="0.25">
      <c r="A13" s="103"/>
      <c r="B13" s="495" t="s">
        <v>125</v>
      </c>
      <c r="C13" s="495"/>
      <c r="D13" s="495"/>
      <c r="E13" s="495"/>
      <c r="F13" s="495"/>
      <c r="G13" s="96"/>
    </row>
    <row r="18" spans="1:5" ht="17.25" x14ac:dyDescent="0.3">
      <c r="A18" s="490" t="s">
        <v>126</v>
      </c>
      <c r="B18" s="490"/>
      <c r="C18" s="490"/>
      <c r="D18" s="490"/>
      <c r="E18" s="490"/>
    </row>
    <row r="19" spans="1:5" x14ac:dyDescent="0.25">
      <c r="A19" s="104" t="s">
        <v>24</v>
      </c>
      <c r="B19" s="105" t="s">
        <v>127</v>
      </c>
      <c r="C19" s="105" t="s">
        <v>128</v>
      </c>
      <c r="D19" s="105" t="s">
        <v>129</v>
      </c>
      <c r="E19" s="105" t="s">
        <v>130</v>
      </c>
    </row>
    <row r="20" spans="1:5" x14ac:dyDescent="0.25">
      <c r="A20" s="17">
        <v>1</v>
      </c>
      <c r="B20" s="11">
        <f ca="1">RANDBETWEEN(5,404)</f>
        <v>357</v>
      </c>
      <c r="C20" s="11">
        <f ca="1">RANDBETWEEN(1,10)</f>
        <v>6</v>
      </c>
      <c r="D20" s="11">
        <f ca="1">RANDBETWEEN(1,11)</f>
        <v>2</v>
      </c>
      <c r="E20" s="11">
        <f ca="1">RANDBETWEEN(1,5)</f>
        <v>5</v>
      </c>
    </row>
    <row r="21" spans="1:5" x14ac:dyDescent="0.25">
      <c r="A21" s="17">
        <v>2</v>
      </c>
      <c r="B21" s="11">
        <f t="shared" ref="B21:B49" ca="1" si="0">RANDBETWEEN(5,404)</f>
        <v>296</v>
      </c>
      <c r="C21" s="11">
        <f t="shared" ref="C21:C49" ca="1" si="1">RANDBETWEEN(1,10)</f>
        <v>6</v>
      </c>
      <c r="D21" s="11">
        <f t="shared" ref="D21:D49" ca="1" si="2">RANDBETWEEN(1,11)</f>
        <v>7</v>
      </c>
      <c r="E21" s="11">
        <f t="shared" ref="E21:E49" ca="1" si="3">RANDBETWEEN(1,5)</f>
        <v>5</v>
      </c>
    </row>
    <row r="22" spans="1:5" x14ac:dyDescent="0.25">
      <c r="A22" s="17">
        <v>3</v>
      </c>
      <c r="B22" s="11">
        <f t="shared" ca="1" si="0"/>
        <v>224</v>
      </c>
      <c r="C22" s="11">
        <f t="shared" ca="1" si="1"/>
        <v>1</v>
      </c>
      <c r="D22" s="11">
        <f t="shared" ca="1" si="2"/>
        <v>10</v>
      </c>
      <c r="E22" s="11">
        <f t="shared" ca="1" si="3"/>
        <v>1</v>
      </c>
    </row>
    <row r="23" spans="1:5" x14ac:dyDescent="0.25">
      <c r="A23" s="17">
        <v>4</v>
      </c>
      <c r="B23" s="11">
        <f t="shared" ca="1" si="0"/>
        <v>363</v>
      </c>
      <c r="C23" s="11">
        <f t="shared" ca="1" si="1"/>
        <v>8</v>
      </c>
      <c r="D23" s="11">
        <f t="shared" ca="1" si="2"/>
        <v>5</v>
      </c>
      <c r="E23" s="11">
        <f t="shared" ca="1" si="3"/>
        <v>1</v>
      </c>
    </row>
    <row r="24" spans="1:5" x14ac:dyDescent="0.25">
      <c r="A24" s="17">
        <v>5</v>
      </c>
      <c r="B24" s="11">
        <f t="shared" ca="1" si="0"/>
        <v>151</v>
      </c>
      <c r="C24" s="11">
        <f t="shared" ca="1" si="1"/>
        <v>8</v>
      </c>
      <c r="D24" s="11">
        <f t="shared" ca="1" si="2"/>
        <v>6</v>
      </c>
      <c r="E24" s="11">
        <f t="shared" ca="1" si="3"/>
        <v>3</v>
      </c>
    </row>
    <row r="25" spans="1:5" x14ac:dyDescent="0.25">
      <c r="A25" s="17">
        <v>6</v>
      </c>
      <c r="B25" s="11">
        <f t="shared" ca="1" si="0"/>
        <v>185</v>
      </c>
      <c r="C25" s="11">
        <f t="shared" ca="1" si="1"/>
        <v>2</v>
      </c>
      <c r="D25" s="11">
        <f t="shared" ca="1" si="2"/>
        <v>3</v>
      </c>
      <c r="E25" s="11">
        <f t="shared" ca="1" si="3"/>
        <v>3</v>
      </c>
    </row>
    <row r="26" spans="1:5" x14ac:dyDescent="0.25">
      <c r="A26" s="17">
        <v>7</v>
      </c>
      <c r="B26" s="11">
        <f t="shared" ca="1" si="0"/>
        <v>236</v>
      </c>
      <c r="C26" s="11">
        <f t="shared" ca="1" si="1"/>
        <v>5</v>
      </c>
      <c r="D26" s="11">
        <f t="shared" ca="1" si="2"/>
        <v>5</v>
      </c>
      <c r="E26" s="11">
        <f t="shared" ca="1" si="3"/>
        <v>3</v>
      </c>
    </row>
    <row r="27" spans="1:5" x14ac:dyDescent="0.25">
      <c r="A27" s="17">
        <v>8</v>
      </c>
      <c r="B27" s="11">
        <f t="shared" ca="1" si="0"/>
        <v>398</v>
      </c>
      <c r="C27" s="11">
        <f t="shared" ca="1" si="1"/>
        <v>5</v>
      </c>
      <c r="D27" s="11">
        <f t="shared" ca="1" si="2"/>
        <v>8</v>
      </c>
      <c r="E27" s="11">
        <f t="shared" ca="1" si="3"/>
        <v>5</v>
      </c>
    </row>
    <row r="28" spans="1:5" x14ac:dyDescent="0.25">
      <c r="A28" s="17">
        <v>9</v>
      </c>
      <c r="B28" s="11">
        <f t="shared" ca="1" si="0"/>
        <v>57</v>
      </c>
      <c r="C28" s="11">
        <f t="shared" ca="1" si="1"/>
        <v>7</v>
      </c>
      <c r="D28" s="11">
        <f t="shared" ca="1" si="2"/>
        <v>8</v>
      </c>
      <c r="E28" s="11">
        <f t="shared" ca="1" si="3"/>
        <v>5</v>
      </c>
    </row>
    <row r="29" spans="1:5" x14ac:dyDescent="0.25">
      <c r="A29" s="17">
        <v>10</v>
      </c>
      <c r="B29" s="11">
        <f t="shared" ca="1" si="0"/>
        <v>67</v>
      </c>
      <c r="C29" s="11">
        <f t="shared" ca="1" si="1"/>
        <v>4</v>
      </c>
      <c r="D29" s="11">
        <f t="shared" ca="1" si="2"/>
        <v>5</v>
      </c>
      <c r="E29" s="11">
        <f t="shared" ca="1" si="3"/>
        <v>3</v>
      </c>
    </row>
    <row r="30" spans="1:5" x14ac:dyDescent="0.25">
      <c r="A30" s="17">
        <v>11</v>
      </c>
      <c r="B30" s="11">
        <f t="shared" ca="1" si="0"/>
        <v>73</v>
      </c>
      <c r="C30" s="11">
        <f t="shared" ca="1" si="1"/>
        <v>9</v>
      </c>
      <c r="D30" s="11">
        <f t="shared" ca="1" si="2"/>
        <v>10</v>
      </c>
      <c r="E30" s="11">
        <f t="shared" ca="1" si="3"/>
        <v>3</v>
      </c>
    </row>
    <row r="31" spans="1:5" x14ac:dyDescent="0.25">
      <c r="A31" s="17">
        <v>12</v>
      </c>
      <c r="B31" s="11">
        <f t="shared" ca="1" si="0"/>
        <v>44</v>
      </c>
      <c r="C31" s="11">
        <f t="shared" ca="1" si="1"/>
        <v>3</v>
      </c>
      <c r="D31" s="11">
        <f t="shared" ca="1" si="2"/>
        <v>4</v>
      </c>
      <c r="E31" s="11">
        <f t="shared" ca="1" si="3"/>
        <v>2</v>
      </c>
    </row>
    <row r="32" spans="1:5" x14ac:dyDescent="0.25">
      <c r="A32" s="17">
        <v>13</v>
      </c>
      <c r="B32" s="11">
        <f t="shared" ca="1" si="0"/>
        <v>228</v>
      </c>
      <c r="C32" s="11">
        <f t="shared" ca="1" si="1"/>
        <v>7</v>
      </c>
      <c r="D32" s="11">
        <f t="shared" ca="1" si="2"/>
        <v>10</v>
      </c>
      <c r="E32" s="11">
        <f t="shared" ca="1" si="3"/>
        <v>2</v>
      </c>
    </row>
    <row r="33" spans="1:5" x14ac:dyDescent="0.25">
      <c r="A33" s="17">
        <v>14</v>
      </c>
      <c r="B33" s="11">
        <f t="shared" ca="1" si="0"/>
        <v>312</v>
      </c>
      <c r="C33" s="11">
        <f t="shared" ca="1" si="1"/>
        <v>4</v>
      </c>
      <c r="D33" s="11">
        <f t="shared" ca="1" si="2"/>
        <v>5</v>
      </c>
      <c r="E33" s="11">
        <f t="shared" ca="1" si="3"/>
        <v>1</v>
      </c>
    </row>
    <row r="34" spans="1:5" x14ac:dyDescent="0.25">
      <c r="A34" s="17">
        <v>15</v>
      </c>
      <c r="B34" s="11">
        <f t="shared" ca="1" si="0"/>
        <v>61</v>
      </c>
      <c r="C34" s="11">
        <f t="shared" ca="1" si="1"/>
        <v>4</v>
      </c>
      <c r="D34" s="11">
        <f t="shared" ca="1" si="2"/>
        <v>11</v>
      </c>
      <c r="E34" s="11">
        <f t="shared" ca="1" si="3"/>
        <v>4</v>
      </c>
    </row>
    <row r="35" spans="1:5" x14ac:dyDescent="0.25">
      <c r="A35" s="17">
        <v>16</v>
      </c>
      <c r="B35" s="11">
        <f t="shared" ca="1" si="0"/>
        <v>392</v>
      </c>
      <c r="C35" s="11">
        <f t="shared" ca="1" si="1"/>
        <v>6</v>
      </c>
      <c r="D35" s="11">
        <f t="shared" ca="1" si="2"/>
        <v>2</v>
      </c>
      <c r="E35" s="11">
        <f t="shared" ca="1" si="3"/>
        <v>4</v>
      </c>
    </row>
    <row r="36" spans="1:5" x14ac:dyDescent="0.25">
      <c r="A36" s="17">
        <v>17</v>
      </c>
      <c r="B36" s="11">
        <f t="shared" ca="1" si="0"/>
        <v>300</v>
      </c>
      <c r="C36" s="11">
        <f t="shared" ca="1" si="1"/>
        <v>7</v>
      </c>
      <c r="D36" s="11">
        <f t="shared" ca="1" si="2"/>
        <v>3</v>
      </c>
      <c r="E36" s="11">
        <f t="shared" ca="1" si="3"/>
        <v>3</v>
      </c>
    </row>
    <row r="37" spans="1:5" x14ac:dyDescent="0.25">
      <c r="A37" s="17">
        <v>18</v>
      </c>
      <c r="B37" s="11">
        <f t="shared" ca="1" si="0"/>
        <v>27</v>
      </c>
      <c r="C37" s="11">
        <f t="shared" ca="1" si="1"/>
        <v>10</v>
      </c>
      <c r="D37" s="11">
        <f t="shared" ca="1" si="2"/>
        <v>3</v>
      </c>
      <c r="E37" s="11">
        <f t="shared" ca="1" si="3"/>
        <v>4</v>
      </c>
    </row>
    <row r="38" spans="1:5" x14ac:dyDescent="0.25">
      <c r="A38" s="17">
        <v>19</v>
      </c>
      <c r="B38" s="11">
        <f t="shared" ca="1" si="0"/>
        <v>402</v>
      </c>
      <c r="C38" s="11">
        <f t="shared" ca="1" si="1"/>
        <v>9</v>
      </c>
      <c r="D38" s="11">
        <f t="shared" ca="1" si="2"/>
        <v>11</v>
      </c>
      <c r="E38" s="11">
        <f t="shared" ca="1" si="3"/>
        <v>1</v>
      </c>
    </row>
    <row r="39" spans="1:5" x14ac:dyDescent="0.25">
      <c r="A39" s="17">
        <v>20</v>
      </c>
      <c r="B39" s="11">
        <f t="shared" ca="1" si="0"/>
        <v>252</v>
      </c>
      <c r="C39" s="11">
        <f t="shared" ca="1" si="1"/>
        <v>9</v>
      </c>
      <c r="D39" s="11">
        <f t="shared" ca="1" si="2"/>
        <v>10</v>
      </c>
      <c r="E39" s="11">
        <f t="shared" ca="1" si="3"/>
        <v>5</v>
      </c>
    </row>
    <row r="40" spans="1:5" x14ac:dyDescent="0.25">
      <c r="A40" s="17">
        <v>21</v>
      </c>
      <c r="B40" s="11">
        <f t="shared" ca="1" si="0"/>
        <v>98</v>
      </c>
      <c r="C40" s="11">
        <f t="shared" ca="1" si="1"/>
        <v>7</v>
      </c>
      <c r="D40" s="11">
        <f t="shared" ca="1" si="2"/>
        <v>5</v>
      </c>
      <c r="E40" s="11">
        <f t="shared" ca="1" si="3"/>
        <v>2</v>
      </c>
    </row>
    <row r="41" spans="1:5" x14ac:dyDescent="0.25">
      <c r="A41" s="17">
        <v>22</v>
      </c>
      <c r="B41" s="11">
        <f t="shared" ca="1" si="0"/>
        <v>33</v>
      </c>
      <c r="C41" s="11">
        <f t="shared" ca="1" si="1"/>
        <v>6</v>
      </c>
      <c r="D41" s="11">
        <f t="shared" ca="1" si="2"/>
        <v>8</v>
      </c>
      <c r="E41" s="11">
        <f t="shared" ca="1" si="3"/>
        <v>1</v>
      </c>
    </row>
    <row r="42" spans="1:5" x14ac:dyDescent="0.25">
      <c r="A42" s="17">
        <v>23</v>
      </c>
      <c r="B42" s="11">
        <f t="shared" ca="1" si="0"/>
        <v>66</v>
      </c>
      <c r="C42" s="11">
        <f t="shared" ca="1" si="1"/>
        <v>4</v>
      </c>
      <c r="D42" s="11">
        <f t="shared" ca="1" si="2"/>
        <v>7</v>
      </c>
      <c r="E42" s="11">
        <f t="shared" ca="1" si="3"/>
        <v>4</v>
      </c>
    </row>
    <row r="43" spans="1:5" x14ac:dyDescent="0.25">
      <c r="A43" s="17">
        <v>24</v>
      </c>
      <c r="B43" s="11">
        <f t="shared" ca="1" si="0"/>
        <v>155</v>
      </c>
      <c r="C43" s="11">
        <f t="shared" ca="1" si="1"/>
        <v>10</v>
      </c>
      <c r="D43" s="11">
        <f t="shared" ca="1" si="2"/>
        <v>5</v>
      </c>
      <c r="E43" s="11">
        <f t="shared" ca="1" si="3"/>
        <v>4</v>
      </c>
    </row>
    <row r="44" spans="1:5" x14ac:dyDescent="0.25">
      <c r="A44" s="17">
        <v>25</v>
      </c>
      <c r="B44" s="11">
        <f t="shared" ca="1" si="0"/>
        <v>171</v>
      </c>
      <c r="C44" s="11">
        <f t="shared" ca="1" si="1"/>
        <v>8</v>
      </c>
      <c r="D44" s="11">
        <f t="shared" ca="1" si="2"/>
        <v>6</v>
      </c>
      <c r="E44" s="11">
        <f t="shared" ca="1" si="3"/>
        <v>1</v>
      </c>
    </row>
    <row r="45" spans="1:5" x14ac:dyDescent="0.25">
      <c r="A45" s="17">
        <v>26</v>
      </c>
      <c r="B45" s="11">
        <f t="shared" ca="1" si="0"/>
        <v>266</v>
      </c>
      <c r="C45" s="11">
        <f t="shared" ca="1" si="1"/>
        <v>8</v>
      </c>
      <c r="D45" s="11">
        <f t="shared" ca="1" si="2"/>
        <v>8</v>
      </c>
      <c r="E45" s="11">
        <f t="shared" ca="1" si="3"/>
        <v>1</v>
      </c>
    </row>
    <row r="46" spans="1:5" x14ac:dyDescent="0.25">
      <c r="A46" s="17">
        <v>27</v>
      </c>
      <c r="B46" s="11">
        <f t="shared" ca="1" si="0"/>
        <v>313</v>
      </c>
      <c r="C46" s="11">
        <f t="shared" ca="1" si="1"/>
        <v>2</v>
      </c>
      <c r="D46" s="11">
        <f t="shared" ca="1" si="2"/>
        <v>1</v>
      </c>
      <c r="E46" s="11">
        <f t="shared" ca="1" si="3"/>
        <v>4</v>
      </c>
    </row>
    <row r="47" spans="1:5" x14ac:dyDescent="0.25">
      <c r="A47" s="17">
        <v>28</v>
      </c>
      <c r="B47" s="11">
        <f t="shared" ca="1" si="0"/>
        <v>107</v>
      </c>
      <c r="C47" s="11">
        <f t="shared" ca="1" si="1"/>
        <v>3</v>
      </c>
      <c r="D47" s="11">
        <f t="shared" ca="1" si="2"/>
        <v>9</v>
      </c>
      <c r="E47" s="11">
        <f t="shared" ca="1" si="3"/>
        <v>1</v>
      </c>
    </row>
    <row r="48" spans="1:5" x14ac:dyDescent="0.25">
      <c r="A48" s="17">
        <v>29</v>
      </c>
      <c r="B48" s="11">
        <f t="shared" ca="1" si="0"/>
        <v>402</v>
      </c>
      <c r="C48" s="11">
        <f t="shared" ca="1" si="1"/>
        <v>8</v>
      </c>
      <c r="D48" s="11">
        <f t="shared" ca="1" si="2"/>
        <v>3</v>
      </c>
      <c r="E48" s="11">
        <f t="shared" ca="1" si="3"/>
        <v>5</v>
      </c>
    </row>
    <row r="49" spans="1:7" x14ac:dyDescent="0.25">
      <c r="A49" s="17">
        <v>30</v>
      </c>
      <c r="B49" s="11">
        <f t="shared" ca="1" si="0"/>
        <v>376</v>
      </c>
      <c r="C49" s="11">
        <f t="shared" ca="1" si="1"/>
        <v>2</v>
      </c>
      <c r="D49" s="11">
        <f t="shared" ca="1" si="2"/>
        <v>11</v>
      </c>
      <c r="E49" s="11">
        <f t="shared" ca="1" si="3"/>
        <v>5</v>
      </c>
    </row>
    <row r="51" spans="1:7" ht="15.75" thickBot="1" x14ac:dyDescent="0.3">
      <c r="A51" s="491" t="s">
        <v>131</v>
      </c>
      <c r="B51" s="491"/>
      <c r="C51" s="491"/>
      <c r="D51" s="491"/>
      <c r="E51" s="491"/>
      <c r="F51" s="491"/>
    </row>
    <row r="52" spans="1:7" ht="18" thickBot="1" x14ac:dyDescent="0.35">
      <c r="A52" s="492" t="s">
        <v>132</v>
      </c>
      <c r="B52" s="492"/>
      <c r="C52" s="492"/>
      <c r="D52" s="492"/>
      <c r="E52" s="492"/>
      <c r="F52" s="493"/>
      <c r="G52" s="106" t="s">
        <v>133</v>
      </c>
    </row>
    <row r="53" spans="1:7" ht="18.75" thickTop="1" thickBot="1" x14ac:dyDescent="0.35">
      <c r="A53" s="107" t="s">
        <v>24</v>
      </c>
      <c r="B53" s="107" t="s">
        <v>127</v>
      </c>
      <c r="C53" s="107" t="s">
        <v>128</v>
      </c>
      <c r="D53" s="107" t="s">
        <v>129</v>
      </c>
      <c r="E53" s="107" t="s">
        <v>130</v>
      </c>
      <c r="F53" s="108" t="s">
        <v>134</v>
      </c>
      <c r="G53" s="109" t="s">
        <v>135</v>
      </c>
    </row>
    <row r="54" spans="1:7" x14ac:dyDescent="0.25">
      <c r="A54" s="11">
        <v>1</v>
      </c>
      <c r="B54" s="11">
        <v>389</v>
      </c>
      <c r="C54" s="11">
        <v>2</v>
      </c>
      <c r="D54" s="11">
        <v>4</v>
      </c>
      <c r="E54" s="11">
        <v>2</v>
      </c>
      <c r="F54" s="110">
        <v>88019</v>
      </c>
      <c r="G54" s="111" t="str">
        <f>"0," &amp; F54:F83</f>
        <v>0,88019</v>
      </c>
    </row>
    <row r="55" spans="1:7" x14ac:dyDescent="0.25">
      <c r="A55" s="11">
        <v>2</v>
      </c>
      <c r="B55" s="11">
        <v>208</v>
      </c>
      <c r="C55" s="11">
        <v>9</v>
      </c>
      <c r="D55" s="11">
        <v>8</v>
      </c>
      <c r="E55" s="11">
        <v>1</v>
      </c>
      <c r="F55" s="112" t="s">
        <v>136</v>
      </c>
      <c r="G55" s="111" t="str">
        <f t="shared" ref="G55:G80" si="4">"0," &amp; F55:F84</f>
        <v>0,01566</v>
      </c>
    </row>
    <row r="56" spans="1:7" x14ac:dyDescent="0.25">
      <c r="A56" s="11">
        <v>3</v>
      </c>
      <c r="B56" s="11">
        <v>288</v>
      </c>
      <c r="C56" s="11">
        <v>2</v>
      </c>
      <c r="D56" s="11">
        <v>7</v>
      </c>
      <c r="E56" s="11">
        <v>5</v>
      </c>
      <c r="F56" s="110">
        <v>44550</v>
      </c>
      <c r="G56" s="111" t="str">
        <f t="shared" si="4"/>
        <v>0,44550</v>
      </c>
    </row>
    <row r="57" spans="1:7" x14ac:dyDescent="0.25">
      <c r="A57" s="11">
        <v>4</v>
      </c>
      <c r="B57" s="11">
        <v>201</v>
      </c>
      <c r="C57" s="11">
        <v>2</v>
      </c>
      <c r="D57" s="11">
        <v>9</v>
      </c>
      <c r="E57" s="11">
        <v>4</v>
      </c>
      <c r="F57" s="110">
        <v>23422</v>
      </c>
      <c r="G57" s="111" t="str">
        <f t="shared" si="4"/>
        <v>0,23422</v>
      </c>
    </row>
    <row r="58" spans="1:7" x14ac:dyDescent="0.25">
      <c r="A58" s="11">
        <v>5</v>
      </c>
      <c r="B58" s="11">
        <v>59</v>
      </c>
      <c r="C58" s="11">
        <v>3</v>
      </c>
      <c r="D58" s="11">
        <v>9</v>
      </c>
      <c r="E58" s="11">
        <v>2</v>
      </c>
      <c r="F58" s="110">
        <v>24910</v>
      </c>
      <c r="G58" s="111" t="str">
        <f t="shared" si="4"/>
        <v>0,24910</v>
      </c>
    </row>
    <row r="59" spans="1:7" x14ac:dyDescent="0.25">
      <c r="A59" s="11">
        <v>6</v>
      </c>
      <c r="B59" s="11">
        <v>59</v>
      </c>
      <c r="C59" s="11">
        <v>10</v>
      </c>
      <c r="D59" s="11">
        <v>2</v>
      </c>
      <c r="E59" s="11">
        <v>4</v>
      </c>
      <c r="F59" s="110">
        <v>69821</v>
      </c>
      <c r="G59" s="111" t="str">
        <f t="shared" si="4"/>
        <v>0,69821</v>
      </c>
    </row>
    <row r="60" spans="1:7" x14ac:dyDescent="0.25">
      <c r="A60" s="11">
        <v>7</v>
      </c>
      <c r="B60" s="11">
        <v>32</v>
      </c>
      <c r="C60" s="11">
        <v>5</v>
      </c>
      <c r="D60" s="11">
        <v>10</v>
      </c>
      <c r="E60" s="11">
        <v>5</v>
      </c>
      <c r="F60" s="110">
        <v>18138</v>
      </c>
      <c r="G60" s="111" t="str">
        <f t="shared" si="4"/>
        <v>0,18138</v>
      </c>
    </row>
    <row r="61" spans="1:7" x14ac:dyDescent="0.25">
      <c r="A61" s="11">
        <v>8</v>
      </c>
      <c r="B61" s="11">
        <v>25</v>
      </c>
      <c r="C61" s="11">
        <v>6</v>
      </c>
      <c r="D61" s="11">
        <v>7</v>
      </c>
      <c r="E61" s="11">
        <v>1</v>
      </c>
      <c r="F61" s="110">
        <v>53017</v>
      </c>
      <c r="G61" s="111" t="str">
        <f t="shared" si="4"/>
        <v>0,53017</v>
      </c>
    </row>
    <row r="62" spans="1:7" x14ac:dyDescent="0.25">
      <c r="A62" s="11">
        <v>9</v>
      </c>
      <c r="B62" s="11">
        <v>121</v>
      </c>
      <c r="C62" s="11">
        <v>6</v>
      </c>
      <c r="D62" s="11">
        <v>11</v>
      </c>
      <c r="E62" s="11">
        <v>1</v>
      </c>
      <c r="F62" s="110">
        <v>77694</v>
      </c>
      <c r="G62" s="111" t="str">
        <f t="shared" si="4"/>
        <v>0,77694</v>
      </c>
    </row>
    <row r="63" spans="1:7" x14ac:dyDescent="0.25">
      <c r="A63" s="11">
        <v>10</v>
      </c>
      <c r="B63" s="11">
        <v>304</v>
      </c>
      <c r="C63" s="11">
        <v>4</v>
      </c>
      <c r="D63" s="11">
        <v>11</v>
      </c>
      <c r="E63" s="11">
        <v>3</v>
      </c>
      <c r="F63" s="110">
        <v>47473</v>
      </c>
      <c r="G63" s="111" t="str">
        <f t="shared" si="4"/>
        <v>0,47473</v>
      </c>
    </row>
    <row r="64" spans="1:7" x14ac:dyDescent="0.25">
      <c r="A64" s="11">
        <v>11</v>
      </c>
      <c r="B64" s="11">
        <v>231</v>
      </c>
      <c r="C64" s="11">
        <v>3</v>
      </c>
      <c r="D64" s="11">
        <v>7</v>
      </c>
      <c r="E64" s="11">
        <v>3</v>
      </c>
      <c r="F64" s="110">
        <v>31281</v>
      </c>
      <c r="G64" s="111" t="str">
        <f t="shared" si="4"/>
        <v>0,31281</v>
      </c>
    </row>
    <row r="65" spans="1:7" x14ac:dyDescent="0.25">
      <c r="A65" s="11">
        <v>12</v>
      </c>
      <c r="B65" s="11">
        <v>234</v>
      </c>
      <c r="C65" s="11">
        <v>9</v>
      </c>
      <c r="D65" s="11">
        <v>9</v>
      </c>
      <c r="E65" s="11">
        <v>5</v>
      </c>
      <c r="F65" s="110">
        <v>76328</v>
      </c>
      <c r="G65" s="111" t="str">
        <f t="shared" si="4"/>
        <v>0,76328</v>
      </c>
    </row>
    <row r="66" spans="1:7" x14ac:dyDescent="0.25">
      <c r="A66" s="11">
        <v>13</v>
      </c>
      <c r="B66" s="11">
        <v>95</v>
      </c>
      <c r="C66" s="11">
        <v>3</v>
      </c>
      <c r="D66" s="11">
        <v>4</v>
      </c>
      <c r="E66" s="11">
        <v>3</v>
      </c>
      <c r="F66" s="110">
        <v>17321</v>
      </c>
      <c r="G66" s="111" t="str">
        <f t="shared" si="4"/>
        <v>0,17321</v>
      </c>
    </row>
    <row r="67" spans="1:7" x14ac:dyDescent="0.25">
      <c r="A67" s="11">
        <v>14</v>
      </c>
      <c r="B67" s="11">
        <v>5</v>
      </c>
      <c r="C67" s="11">
        <v>5</v>
      </c>
      <c r="D67" s="11">
        <v>4</v>
      </c>
      <c r="E67" s="11">
        <v>5</v>
      </c>
      <c r="F67" s="110">
        <v>85157</v>
      </c>
      <c r="G67" s="111" t="str">
        <f t="shared" si="4"/>
        <v>0,85157</v>
      </c>
    </row>
    <row r="68" spans="1:7" x14ac:dyDescent="0.25">
      <c r="A68" s="11">
        <v>15</v>
      </c>
      <c r="B68" s="11">
        <v>16</v>
      </c>
      <c r="C68" s="11">
        <v>3</v>
      </c>
      <c r="D68" s="11">
        <v>11</v>
      </c>
      <c r="E68" s="11">
        <v>1</v>
      </c>
      <c r="F68" s="110">
        <v>97459</v>
      </c>
      <c r="G68" s="111" t="str">
        <f t="shared" si="4"/>
        <v>0,97459</v>
      </c>
    </row>
    <row r="69" spans="1:7" x14ac:dyDescent="0.25">
      <c r="A69" s="11">
        <v>16</v>
      </c>
      <c r="B69" s="11">
        <v>34</v>
      </c>
      <c r="C69" s="11">
        <v>6</v>
      </c>
      <c r="D69" s="11">
        <v>5</v>
      </c>
      <c r="E69" s="11">
        <v>2</v>
      </c>
      <c r="F69" s="110">
        <v>15872</v>
      </c>
      <c r="G69" s="111" t="str">
        <f t="shared" si="4"/>
        <v>0,15872</v>
      </c>
    </row>
    <row r="70" spans="1:7" x14ac:dyDescent="0.25">
      <c r="A70" s="11">
        <v>17</v>
      </c>
      <c r="B70" s="11">
        <v>65</v>
      </c>
      <c r="C70" s="11">
        <v>6</v>
      </c>
      <c r="D70" s="11">
        <v>2</v>
      </c>
      <c r="E70" s="11">
        <v>2</v>
      </c>
      <c r="F70" s="110">
        <v>79028</v>
      </c>
      <c r="G70" s="111" t="str">
        <f t="shared" si="4"/>
        <v>0,79028</v>
      </c>
    </row>
    <row r="71" spans="1:7" x14ac:dyDescent="0.25">
      <c r="A71" s="11">
        <v>18</v>
      </c>
      <c r="B71" s="11">
        <v>243</v>
      </c>
      <c r="C71" s="11">
        <v>8</v>
      </c>
      <c r="D71" s="11">
        <v>8</v>
      </c>
      <c r="E71" s="11">
        <v>2</v>
      </c>
      <c r="F71" s="110">
        <v>58568</v>
      </c>
      <c r="G71" s="111" t="str">
        <f t="shared" si="4"/>
        <v>0,58568</v>
      </c>
    </row>
    <row r="72" spans="1:7" x14ac:dyDescent="0.25">
      <c r="A72" s="11">
        <v>19</v>
      </c>
      <c r="B72" s="11">
        <v>213</v>
      </c>
      <c r="C72" s="11">
        <v>9</v>
      </c>
      <c r="D72" s="11">
        <v>1</v>
      </c>
      <c r="E72" s="11">
        <v>3</v>
      </c>
      <c r="F72" s="110">
        <v>10442</v>
      </c>
      <c r="G72" s="111" t="str">
        <f t="shared" si="4"/>
        <v>0,10442</v>
      </c>
    </row>
    <row r="73" spans="1:7" x14ac:dyDescent="0.25">
      <c r="A73" s="11">
        <v>20</v>
      </c>
      <c r="B73" s="11">
        <v>23</v>
      </c>
      <c r="C73" s="11">
        <v>2</v>
      </c>
      <c r="D73" s="11">
        <v>5</v>
      </c>
      <c r="E73" s="11">
        <v>3</v>
      </c>
      <c r="F73" s="110">
        <v>84935</v>
      </c>
      <c r="G73" s="111" t="str">
        <f t="shared" si="4"/>
        <v>0,84935</v>
      </c>
    </row>
    <row r="74" spans="1:7" x14ac:dyDescent="0.25">
      <c r="A74" s="11">
        <v>21</v>
      </c>
      <c r="B74" s="11">
        <v>150</v>
      </c>
      <c r="C74" s="11">
        <v>1</v>
      </c>
      <c r="D74" s="11">
        <v>4</v>
      </c>
      <c r="E74" s="11">
        <v>4</v>
      </c>
      <c r="F74" s="110">
        <v>14088</v>
      </c>
      <c r="G74" s="111" t="str">
        <f t="shared" si="4"/>
        <v>0,14088</v>
      </c>
    </row>
    <row r="75" spans="1:7" x14ac:dyDescent="0.25">
      <c r="A75" s="11">
        <v>22</v>
      </c>
      <c r="B75" s="11">
        <v>34</v>
      </c>
      <c r="C75" s="11">
        <v>7</v>
      </c>
      <c r="D75" s="11">
        <v>5</v>
      </c>
      <c r="E75" s="11">
        <v>3</v>
      </c>
      <c r="F75" s="110">
        <v>95321</v>
      </c>
      <c r="G75" s="111" t="str">
        <f t="shared" si="4"/>
        <v>0,95321</v>
      </c>
    </row>
    <row r="76" spans="1:7" x14ac:dyDescent="0.25">
      <c r="A76" s="11">
        <v>23</v>
      </c>
      <c r="B76" s="11">
        <v>41</v>
      </c>
      <c r="C76" s="11">
        <v>7</v>
      </c>
      <c r="D76" s="11">
        <v>10</v>
      </c>
      <c r="E76" s="11">
        <v>5</v>
      </c>
      <c r="F76" s="110">
        <v>60703</v>
      </c>
      <c r="G76" s="111" t="str">
        <f t="shared" si="4"/>
        <v>0,60703</v>
      </c>
    </row>
    <row r="77" spans="1:7" x14ac:dyDescent="0.25">
      <c r="A77" s="11">
        <v>24</v>
      </c>
      <c r="B77" s="11">
        <v>245</v>
      </c>
      <c r="C77" s="11">
        <v>10</v>
      </c>
      <c r="D77" s="11">
        <v>4</v>
      </c>
      <c r="E77" s="11">
        <v>2</v>
      </c>
      <c r="F77" s="110">
        <v>61599</v>
      </c>
      <c r="G77" s="111" t="str">
        <f t="shared" si="4"/>
        <v>0,61599</v>
      </c>
    </row>
    <row r="78" spans="1:7" x14ac:dyDescent="0.25">
      <c r="A78" s="11">
        <v>25</v>
      </c>
      <c r="B78" s="11">
        <v>379</v>
      </c>
      <c r="C78" s="11">
        <v>1</v>
      </c>
      <c r="D78" s="11">
        <v>3</v>
      </c>
      <c r="E78" s="11">
        <v>3</v>
      </c>
      <c r="F78" s="110">
        <v>54861</v>
      </c>
      <c r="G78" s="111" t="str">
        <f t="shared" si="4"/>
        <v>0,54861</v>
      </c>
    </row>
    <row r="79" spans="1:7" x14ac:dyDescent="0.25">
      <c r="A79" s="11">
        <v>26</v>
      </c>
      <c r="B79" s="11">
        <v>183</v>
      </c>
      <c r="C79" s="11">
        <v>6</v>
      </c>
      <c r="D79" s="11">
        <v>1</v>
      </c>
      <c r="E79" s="11">
        <v>3</v>
      </c>
      <c r="F79" s="112" t="s">
        <v>137</v>
      </c>
      <c r="G79" s="111" t="str">
        <f t="shared" si="4"/>
        <v>0,08927</v>
      </c>
    </row>
    <row r="80" spans="1:7" x14ac:dyDescent="0.25">
      <c r="A80" s="11">
        <v>27</v>
      </c>
      <c r="B80" s="11">
        <v>309</v>
      </c>
      <c r="C80" s="11">
        <v>4</v>
      </c>
      <c r="D80" s="11">
        <v>1</v>
      </c>
      <c r="E80" s="11">
        <v>4</v>
      </c>
      <c r="F80" s="110">
        <v>15218</v>
      </c>
      <c r="G80" s="111" t="str">
        <f t="shared" si="4"/>
        <v>0,15218</v>
      </c>
    </row>
    <row r="81" spans="1:11" x14ac:dyDescent="0.25">
      <c r="A81" s="11">
        <v>28</v>
      </c>
      <c r="B81" s="11">
        <v>155</v>
      </c>
      <c r="C81" s="11">
        <v>5</v>
      </c>
      <c r="D81" s="11">
        <v>3</v>
      </c>
      <c r="E81" s="11">
        <v>1</v>
      </c>
      <c r="F81" s="110">
        <v>98556</v>
      </c>
      <c r="G81" s="111" t="str">
        <f>"0," &amp; F81:F83</f>
        <v>0,98556</v>
      </c>
    </row>
    <row r="82" spans="1:11" x14ac:dyDescent="0.25">
      <c r="A82" s="11">
        <v>29</v>
      </c>
      <c r="B82" s="11">
        <v>344</v>
      </c>
      <c r="C82" s="11">
        <v>8</v>
      </c>
      <c r="D82" s="11">
        <v>5</v>
      </c>
      <c r="E82" s="11">
        <v>5</v>
      </c>
      <c r="F82" s="110">
        <v>42476</v>
      </c>
      <c r="G82" s="111" t="str">
        <f>"0," &amp; F82:F83</f>
        <v>0,42476</v>
      </c>
    </row>
    <row r="83" spans="1:11" ht="15.75" thickBot="1" x14ac:dyDescent="0.3">
      <c r="A83" s="11">
        <v>30</v>
      </c>
      <c r="B83" s="11">
        <v>54</v>
      </c>
      <c r="C83" s="11">
        <v>5</v>
      </c>
      <c r="D83" s="11">
        <v>11</v>
      </c>
      <c r="E83" s="11">
        <v>2</v>
      </c>
      <c r="F83" s="110">
        <v>12403</v>
      </c>
      <c r="G83" s="113" t="str">
        <f>"0," &amp; F83:F83</f>
        <v>0,12403</v>
      </c>
    </row>
    <row r="89" spans="1:11" ht="24" thickBot="1" x14ac:dyDescent="0.4">
      <c r="A89" s="475" t="s">
        <v>28</v>
      </c>
      <c r="B89" s="475"/>
      <c r="C89" s="475"/>
      <c r="D89" s="475"/>
      <c r="E89" s="475"/>
      <c r="F89" s="475"/>
      <c r="G89" s="475"/>
      <c r="H89" s="475"/>
      <c r="I89" s="475"/>
      <c r="J89" s="475"/>
      <c r="K89" s="475"/>
    </row>
    <row r="90" spans="1:11" ht="19.5" thickBot="1" x14ac:dyDescent="0.35">
      <c r="A90" s="20"/>
      <c r="B90" s="21" t="s">
        <v>29</v>
      </c>
      <c r="C90" s="476" t="s">
        <v>30</v>
      </c>
      <c r="E90" s="478" t="s">
        <v>31</v>
      </c>
      <c r="F90" s="479"/>
      <c r="G90" s="13"/>
      <c r="H90" s="480" t="s">
        <v>32</v>
      </c>
      <c r="I90" s="481"/>
      <c r="J90" s="22">
        <v>30</v>
      </c>
      <c r="K90" s="23" t="s">
        <v>33</v>
      </c>
    </row>
    <row r="91" spans="1:11" ht="15.75" thickBot="1" x14ac:dyDescent="0.3">
      <c r="A91" s="114" t="s">
        <v>24</v>
      </c>
      <c r="B91" s="115" t="s">
        <v>138</v>
      </c>
      <c r="C91" s="494"/>
      <c r="E91" s="26" t="s">
        <v>35</v>
      </c>
      <c r="F91" s="27">
        <f>K99</f>
        <v>5.0000000000000044E-2</v>
      </c>
      <c r="G91" s="13"/>
      <c r="K91" s="28">
        <v>0.95</v>
      </c>
    </row>
    <row r="92" spans="1:11" x14ac:dyDescent="0.25">
      <c r="A92" s="116">
        <v>1</v>
      </c>
      <c r="B92" s="117">
        <v>0.88019000000000003</v>
      </c>
      <c r="C92" s="116" t="s">
        <v>38</v>
      </c>
      <c r="E92" s="30" t="s">
        <v>37</v>
      </c>
      <c r="F92" s="27">
        <f xml:space="preserve"> (1 - (F91/2))</f>
        <v>0.97499999999999998</v>
      </c>
      <c r="G92" s="13"/>
      <c r="K92" s="31"/>
    </row>
    <row r="93" spans="1:11" x14ac:dyDescent="0.25">
      <c r="A93" s="17">
        <v>2</v>
      </c>
      <c r="B93" s="29">
        <v>1.566E-2</v>
      </c>
      <c r="C93" s="17" t="s">
        <v>38</v>
      </c>
      <c r="E93" s="30"/>
      <c r="F93" s="27"/>
      <c r="G93" s="13"/>
      <c r="K93" s="31" t="s">
        <v>39</v>
      </c>
    </row>
    <row r="94" spans="1:11" x14ac:dyDescent="0.25">
      <c r="A94" s="17">
        <v>3</v>
      </c>
      <c r="B94" s="29">
        <v>0.44550000000000001</v>
      </c>
      <c r="C94" s="17" t="s">
        <v>45</v>
      </c>
      <c r="E94" s="30" t="s">
        <v>41</v>
      </c>
      <c r="F94" s="27">
        <f>NORMSINV(F92)</f>
        <v>1.9599639845400536</v>
      </c>
      <c r="G94" s="13"/>
      <c r="K94" s="31"/>
    </row>
    <row r="95" spans="1:11" x14ac:dyDescent="0.25">
      <c r="A95" s="17">
        <v>4</v>
      </c>
      <c r="B95" s="29">
        <v>0.23422000000000001</v>
      </c>
      <c r="C95" s="17" t="s">
        <v>36</v>
      </c>
      <c r="E95" s="32" t="s">
        <v>42</v>
      </c>
      <c r="F95" s="33">
        <f>1/2-(F94*(1/(SQRT(12*J90))))</f>
        <v>0.39670082794923978</v>
      </c>
      <c r="G95" s="13"/>
      <c r="K95" s="34" t="s">
        <v>43</v>
      </c>
    </row>
    <row r="96" spans="1:11" ht="15.75" thickBot="1" x14ac:dyDescent="0.3">
      <c r="A96" s="17">
        <v>5</v>
      </c>
      <c r="B96" s="29">
        <v>0.24909999999999999</v>
      </c>
      <c r="C96" s="17" t="s">
        <v>40</v>
      </c>
      <c r="E96" s="35" t="s">
        <v>44</v>
      </c>
      <c r="F96" s="36">
        <f>AVERAGE(B92:B121)</f>
        <v>0.48971766666666661</v>
      </c>
      <c r="G96" s="13"/>
      <c r="K96" s="37">
        <f>K91</f>
        <v>0.95</v>
      </c>
    </row>
    <row r="97" spans="1:11" ht="15.75" thickBot="1" x14ac:dyDescent="0.3">
      <c r="A97" s="17">
        <v>6</v>
      </c>
      <c r="B97" s="29">
        <v>0.69821</v>
      </c>
      <c r="C97" s="17" t="s">
        <v>40</v>
      </c>
      <c r="E97" s="38" t="s">
        <v>46</v>
      </c>
      <c r="F97" s="39">
        <f>1/2+(F94*(1/(SQRT(12*J90))))</f>
        <v>0.60329917205076022</v>
      </c>
      <c r="G97" s="460" t="s">
        <v>47</v>
      </c>
      <c r="H97" s="460"/>
      <c r="I97" s="460"/>
      <c r="J97" s="461"/>
      <c r="K97" s="33"/>
    </row>
    <row r="98" spans="1:11" x14ac:dyDescent="0.25">
      <c r="A98" s="17">
        <v>7</v>
      </c>
      <c r="B98" s="29">
        <v>0.18138000000000001</v>
      </c>
      <c r="C98" s="17" t="s">
        <v>45</v>
      </c>
      <c r="E98" s="40"/>
      <c r="G98" s="13"/>
      <c r="J98" s="41"/>
      <c r="K98" s="42" t="s">
        <v>48</v>
      </c>
    </row>
    <row r="99" spans="1:11" ht="15.75" thickBot="1" x14ac:dyDescent="0.3">
      <c r="A99" s="17">
        <v>8</v>
      </c>
      <c r="B99" s="29">
        <v>0.53017000000000003</v>
      </c>
      <c r="C99" s="17" t="s">
        <v>40</v>
      </c>
      <c r="E99" s="40"/>
      <c r="G99" s="13"/>
      <c r="J99" s="41"/>
      <c r="K99" s="43">
        <f xml:space="preserve"> 1 - K96</f>
        <v>5.0000000000000044E-2</v>
      </c>
    </row>
    <row r="100" spans="1:11" x14ac:dyDescent="0.25">
      <c r="A100" s="17">
        <v>9</v>
      </c>
      <c r="B100" s="29">
        <v>0.77693999999999996</v>
      </c>
      <c r="C100" s="17" t="s">
        <v>38</v>
      </c>
      <c r="E100" s="40"/>
      <c r="G100" s="13"/>
      <c r="J100" s="41"/>
    </row>
    <row r="101" spans="1:11" ht="15.75" thickBot="1" x14ac:dyDescent="0.3">
      <c r="A101" s="17">
        <v>10</v>
      </c>
      <c r="B101" s="29">
        <v>0.47472999999999999</v>
      </c>
      <c r="C101" s="17" t="s">
        <v>45</v>
      </c>
      <c r="E101" s="40"/>
      <c r="G101" s="13"/>
      <c r="J101" s="41"/>
    </row>
    <row r="102" spans="1:11" x14ac:dyDescent="0.25">
      <c r="A102" s="17">
        <v>11</v>
      </c>
      <c r="B102" s="29">
        <v>0.31280999999999998</v>
      </c>
      <c r="C102" s="17" t="s">
        <v>38</v>
      </c>
      <c r="E102" s="482" t="s">
        <v>49</v>
      </c>
      <c r="F102" s="483"/>
      <c r="G102" s="483"/>
      <c r="H102" s="483"/>
      <c r="I102" s="483"/>
      <c r="J102" s="484"/>
    </row>
    <row r="103" spans="1:11" x14ac:dyDescent="0.25">
      <c r="A103" s="17">
        <v>12</v>
      </c>
      <c r="B103" s="29">
        <v>0.76327999999999996</v>
      </c>
      <c r="C103" s="17" t="s">
        <v>40</v>
      </c>
      <c r="E103" s="317" t="s">
        <v>50</v>
      </c>
      <c r="F103" s="318"/>
      <c r="G103" s="44" t="s">
        <v>51</v>
      </c>
      <c r="H103" s="44"/>
      <c r="I103" s="44"/>
      <c r="J103" s="45"/>
    </row>
    <row r="104" spans="1:11" ht="15.75" thickBot="1" x14ac:dyDescent="0.3">
      <c r="A104" s="17">
        <v>13</v>
      </c>
      <c r="B104" s="29">
        <v>0.17321</v>
      </c>
      <c r="C104" s="17" t="s">
        <v>38</v>
      </c>
      <c r="E104" s="38"/>
      <c r="F104" s="46"/>
      <c r="G104" s="46" t="s">
        <v>52</v>
      </c>
      <c r="H104" s="453"/>
      <c r="I104" s="453"/>
      <c r="J104" s="454"/>
    </row>
    <row r="105" spans="1:11" x14ac:dyDescent="0.25">
      <c r="A105" s="17">
        <v>14</v>
      </c>
      <c r="B105" s="29">
        <v>0.85157000000000005</v>
      </c>
      <c r="C105" s="17" t="s">
        <v>38</v>
      </c>
      <c r="E105" s="380"/>
      <c r="F105" s="381"/>
      <c r="G105" s="381"/>
      <c r="H105" s="381"/>
      <c r="I105" s="47"/>
      <c r="J105" s="48"/>
    </row>
    <row r="106" spans="1:11" x14ac:dyDescent="0.25">
      <c r="A106" s="17">
        <v>15</v>
      </c>
      <c r="B106" s="29">
        <v>0.97458999999999996</v>
      </c>
      <c r="C106" s="17" t="s">
        <v>38</v>
      </c>
      <c r="E106" s="49"/>
      <c r="F106" s="50"/>
      <c r="G106" s="50"/>
      <c r="H106" s="50"/>
      <c r="I106" s="50"/>
      <c r="J106" s="48"/>
    </row>
    <row r="107" spans="1:11" x14ac:dyDescent="0.25">
      <c r="A107" s="17">
        <v>16</v>
      </c>
      <c r="B107" s="29">
        <v>0.15872</v>
      </c>
      <c r="C107" s="17" t="s">
        <v>40</v>
      </c>
      <c r="E107" s="455" t="s">
        <v>53</v>
      </c>
      <c r="F107" s="456"/>
      <c r="G107" s="456"/>
      <c r="H107" s="440" t="s">
        <v>139</v>
      </c>
      <c r="I107" s="440"/>
      <c r="J107" s="441"/>
    </row>
    <row r="108" spans="1:11" x14ac:dyDescent="0.25">
      <c r="A108" s="17">
        <v>17</v>
      </c>
      <c r="B108" s="29">
        <v>0.79027999999999998</v>
      </c>
      <c r="C108" s="17" t="s">
        <v>40</v>
      </c>
      <c r="E108" s="445" t="s">
        <v>55</v>
      </c>
      <c r="F108" s="446"/>
      <c r="G108" s="446"/>
      <c r="H108" s="446"/>
      <c r="I108" s="50"/>
      <c r="J108" s="48"/>
    </row>
    <row r="109" spans="1:11" ht="15.75" thickBot="1" x14ac:dyDescent="0.3">
      <c r="A109" s="17">
        <v>18</v>
      </c>
      <c r="B109" s="29">
        <v>0.58567999999999998</v>
      </c>
      <c r="C109" s="17" t="s">
        <v>45</v>
      </c>
      <c r="E109" s="488" t="s">
        <v>140</v>
      </c>
      <c r="F109" s="489"/>
      <c r="G109" s="118">
        <f>K91</f>
        <v>0.95</v>
      </c>
      <c r="H109" s="119"/>
      <c r="I109" s="54"/>
      <c r="J109" s="55"/>
    </row>
    <row r="110" spans="1:11" x14ac:dyDescent="0.25">
      <c r="A110" s="17">
        <v>19</v>
      </c>
      <c r="B110" s="29">
        <v>0.10442</v>
      </c>
      <c r="C110" s="17" t="s">
        <v>38</v>
      </c>
      <c r="G110" s="13"/>
    </row>
    <row r="111" spans="1:11" x14ac:dyDescent="0.25">
      <c r="A111" s="17">
        <v>20</v>
      </c>
      <c r="B111" s="29">
        <v>0.84935000000000005</v>
      </c>
      <c r="C111" s="17" t="s">
        <v>40</v>
      </c>
      <c r="G111" s="13"/>
    </row>
    <row r="112" spans="1:11" x14ac:dyDescent="0.25">
      <c r="A112" s="17">
        <v>21</v>
      </c>
      <c r="B112" s="29">
        <v>0.14088000000000001</v>
      </c>
      <c r="C112" s="17" t="s">
        <v>38</v>
      </c>
      <c r="G112" s="13"/>
    </row>
    <row r="113" spans="1:10" x14ac:dyDescent="0.25">
      <c r="A113" s="17">
        <v>22</v>
      </c>
      <c r="B113" s="29">
        <v>0.95321</v>
      </c>
      <c r="C113" s="17" t="s">
        <v>40</v>
      </c>
      <c r="G113" s="13"/>
    </row>
    <row r="114" spans="1:10" x14ac:dyDescent="0.25">
      <c r="A114" s="17">
        <v>23</v>
      </c>
      <c r="B114" s="29">
        <v>0.60702999999999996</v>
      </c>
      <c r="C114" s="17" t="s">
        <v>38</v>
      </c>
      <c r="G114" s="13"/>
    </row>
    <row r="115" spans="1:10" ht="15.75" thickBot="1" x14ac:dyDescent="0.3">
      <c r="A115" s="17">
        <v>24</v>
      </c>
      <c r="B115" s="29">
        <v>0.61599000000000004</v>
      </c>
      <c r="C115" s="17" t="s">
        <v>38</v>
      </c>
      <c r="G115" s="13"/>
    </row>
    <row r="116" spans="1:10" ht="19.5" thickBot="1" x14ac:dyDescent="0.35">
      <c r="A116" s="17">
        <v>25</v>
      </c>
      <c r="B116" s="29">
        <v>0.54861000000000004</v>
      </c>
      <c r="C116" s="17" t="s">
        <v>40</v>
      </c>
      <c r="E116" s="457" t="s">
        <v>57</v>
      </c>
      <c r="F116" s="458"/>
      <c r="G116" s="458"/>
      <c r="H116" s="458"/>
      <c r="I116" s="458"/>
      <c r="J116" s="459"/>
    </row>
    <row r="117" spans="1:10" x14ac:dyDescent="0.25">
      <c r="A117" s="17">
        <v>26</v>
      </c>
      <c r="B117" s="29">
        <v>8.9270000000000002E-2</v>
      </c>
      <c r="C117" s="17" t="s">
        <v>40</v>
      </c>
      <c r="E117" s="26" t="s">
        <v>58</v>
      </c>
      <c r="F117" s="27">
        <f>K99/2</f>
        <v>2.5000000000000022E-2</v>
      </c>
      <c r="G117" s="13"/>
      <c r="J117" s="41"/>
    </row>
    <row r="118" spans="1:10" x14ac:dyDescent="0.25">
      <c r="A118" s="17">
        <v>27</v>
      </c>
      <c r="B118" s="29">
        <v>0.15218000000000001</v>
      </c>
      <c r="C118" s="17" t="s">
        <v>38</v>
      </c>
      <c r="E118" s="30" t="s">
        <v>37</v>
      </c>
      <c r="F118" s="27">
        <f>1-F117</f>
        <v>0.97499999999999998</v>
      </c>
      <c r="G118" s="13"/>
      <c r="J118" s="41"/>
    </row>
    <row r="119" spans="1:10" x14ac:dyDescent="0.25">
      <c r="A119" s="17">
        <v>28</v>
      </c>
      <c r="B119" s="29">
        <v>0.98555999999999999</v>
      </c>
      <c r="C119" s="17" t="s">
        <v>38</v>
      </c>
      <c r="E119" s="30"/>
      <c r="F119" s="27"/>
      <c r="G119" s="13"/>
      <c r="J119" s="41"/>
    </row>
    <row r="120" spans="1:10" x14ac:dyDescent="0.25">
      <c r="A120" s="17">
        <v>29</v>
      </c>
      <c r="B120" s="29">
        <v>0.42476000000000003</v>
      </c>
      <c r="C120" s="17" t="s">
        <v>38</v>
      </c>
      <c r="E120" s="30"/>
      <c r="F120" s="27"/>
      <c r="G120" s="13"/>
      <c r="J120" s="41"/>
    </row>
    <row r="121" spans="1:10" ht="15.75" thickBot="1" x14ac:dyDescent="0.3">
      <c r="A121" s="17">
        <v>30</v>
      </c>
      <c r="B121" s="29">
        <v>0.12403</v>
      </c>
      <c r="C121" s="17" t="s">
        <v>40</v>
      </c>
      <c r="E121" s="30" t="s">
        <v>59</v>
      </c>
      <c r="F121" s="27">
        <f>CHIINV(F117,(J90-1))</f>
        <v>45.722285804174533</v>
      </c>
      <c r="G121" s="13"/>
      <c r="J121" s="41"/>
    </row>
    <row r="122" spans="1:10" x14ac:dyDescent="0.25">
      <c r="E122" s="30" t="s">
        <v>59</v>
      </c>
      <c r="F122" s="27">
        <f>CHIINV(F118,(J90-1))</f>
        <v>16.047071695364892</v>
      </c>
      <c r="G122" s="460" t="s">
        <v>47</v>
      </c>
      <c r="H122" s="460"/>
      <c r="I122" s="460"/>
      <c r="J122" s="461"/>
    </row>
    <row r="123" spans="1:10" x14ac:dyDescent="0.25">
      <c r="E123" s="32" t="s">
        <v>42</v>
      </c>
      <c r="F123" s="27">
        <f>F122/(12*(J90-1))</f>
        <v>4.6112274986680725E-2</v>
      </c>
      <c r="G123" s="13"/>
      <c r="J123" s="41"/>
    </row>
    <row r="124" spans="1:10" x14ac:dyDescent="0.25">
      <c r="E124" s="35" t="s">
        <v>60</v>
      </c>
      <c r="F124" s="51">
        <f>_xlfn.VAR.S(B92:B121)</f>
        <v>9.6974402115057548E-2</v>
      </c>
      <c r="G124" s="289"/>
      <c r="H124" s="289"/>
      <c r="I124" s="289"/>
      <c r="J124" s="346"/>
    </row>
    <row r="125" spans="1:10" ht="15.75" thickBot="1" x14ac:dyDescent="0.3">
      <c r="E125" s="38" t="s">
        <v>46</v>
      </c>
      <c r="F125" s="52">
        <f>F121/(12*(J90-1))</f>
        <v>0.13138587874762797</v>
      </c>
      <c r="G125" s="13"/>
      <c r="J125" s="41"/>
    </row>
    <row r="126" spans="1:10" ht="15.75" thickBot="1" x14ac:dyDescent="0.3">
      <c r="E126" s="40"/>
      <c r="G126" s="13"/>
      <c r="J126" s="41"/>
    </row>
    <row r="127" spans="1:10" x14ac:dyDescent="0.25">
      <c r="E127" s="462" t="s">
        <v>61</v>
      </c>
      <c r="F127" s="463"/>
      <c r="G127" s="463"/>
      <c r="H127" s="463"/>
      <c r="I127" s="463"/>
      <c r="J127" s="464"/>
    </row>
    <row r="128" spans="1:10" x14ac:dyDescent="0.25">
      <c r="E128" s="465" t="s">
        <v>62</v>
      </c>
      <c r="F128" s="466"/>
      <c r="G128" s="466"/>
      <c r="H128" s="466"/>
      <c r="I128" s="466"/>
      <c r="J128" s="467"/>
    </row>
    <row r="129" spans="5:10" x14ac:dyDescent="0.25">
      <c r="E129" s="49"/>
      <c r="F129" s="50"/>
      <c r="G129" s="50"/>
      <c r="H129" s="50"/>
      <c r="I129" s="50"/>
      <c r="J129" s="48"/>
    </row>
    <row r="130" spans="5:10" x14ac:dyDescent="0.25">
      <c r="E130" s="49"/>
      <c r="F130" s="50"/>
      <c r="G130" s="50"/>
      <c r="H130" s="50"/>
      <c r="I130" s="50"/>
      <c r="J130" s="48"/>
    </row>
    <row r="131" spans="5:10" x14ac:dyDescent="0.25">
      <c r="E131" s="49"/>
      <c r="F131" s="50"/>
      <c r="G131" s="50"/>
      <c r="H131" s="50"/>
      <c r="I131" s="50"/>
      <c r="J131" s="48"/>
    </row>
    <row r="132" spans="5:10" ht="15.75" thickBot="1" x14ac:dyDescent="0.3">
      <c r="E132" s="53"/>
      <c r="F132" s="54"/>
      <c r="G132" s="54"/>
      <c r="H132" s="54"/>
      <c r="I132" s="54"/>
      <c r="J132" s="55"/>
    </row>
    <row r="133" spans="5:10" x14ac:dyDescent="0.25">
      <c r="E133" s="380" t="s">
        <v>63</v>
      </c>
      <c r="F133" s="381"/>
      <c r="G133" s="381"/>
      <c r="H133" s="381"/>
      <c r="I133" s="381"/>
      <c r="J133" s="452"/>
    </row>
    <row r="134" spans="5:10" x14ac:dyDescent="0.25">
      <c r="E134" s="49"/>
      <c r="F134" s="50"/>
      <c r="G134" s="50"/>
      <c r="H134" s="50"/>
      <c r="I134" s="50"/>
      <c r="J134" s="48"/>
    </row>
    <row r="135" spans="5:10" x14ac:dyDescent="0.25">
      <c r="E135" s="49"/>
      <c r="F135" s="50"/>
      <c r="G135" s="50"/>
      <c r="H135" s="50"/>
      <c r="I135" s="50"/>
      <c r="J135" s="48"/>
    </row>
    <row r="136" spans="5:10" x14ac:dyDescent="0.25">
      <c r="E136" s="49"/>
      <c r="F136" s="50"/>
      <c r="G136" s="50"/>
      <c r="H136" s="440" t="s">
        <v>141</v>
      </c>
      <c r="I136" s="440"/>
      <c r="J136" s="441"/>
    </row>
    <row r="137" spans="5:10" x14ac:dyDescent="0.25">
      <c r="E137" s="49"/>
      <c r="F137" s="50"/>
      <c r="G137" s="50"/>
      <c r="H137" s="47"/>
      <c r="I137" s="47"/>
      <c r="J137" s="56"/>
    </row>
    <row r="138" spans="5:10" x14ac:dyDescent="0.25">
      <c r="E138" s="293" t="s">
        <v>65</v>
      </c>
      <c r="F138" s="294"/>
      <c r="G138" s="294"/>
      <c r="H138" s="294"/>
      <c r="I138" s="294"/>
      <c r="J138" s="295"/>
    </row>
    <row r="139" spans="5:10" ht="15.75" thickBot="1" x14ac:dyDescent="0.3">
      <c r="E139" s="296" t="s">
        <v>142</v>
      </c>
      <c r="F139" s="297"/>
      <c r="G139" s="297"/>
      <c r="H139" s="297"/>
      <c r="I139" s="297"/>
      <c r="J139" s="298"/>
    </row>
    <row r="140" spans="5:10" ht="15.75" thickBot="1" x14ac:dyDescent="0.3">
      <c r="G140" s="13"/>
    </row>
    <row r="141" spans="5:10" ht="19.5" thickBot="1" x14ac:dyDescent="0.35">
      <c r="E141" s="442" t="s">
        <v>67</v>
      </c>
      <c r="F141" s="443"/>
      <c r="G141" s="443"/>
      <c r="H141" s="443"/>
      <c r="I141" s="443"/>
      <c r="J141" s="444"/>
    </row>
    <row r="142" spans="5:10" ht="15.75" thickBot="1" x14ac:dyDescent="0.3">
      <c r="E142" s="57" t="s">
        <v>68</v>
      </c>
      <c r="F142" s="58">
        <f>ROUNDUP(SQRT(J90),0)</f>
        <v>6</v>
      </c>
      <c r="G142" s="59"/>
      <c r="H142" s="58" t="s">
        <v>69</v>
      </c>
      <c r="I142" s="60"/>
      <c r="J142" s="120">
        <f>J90/F142</f>
        <v>5</v>
      </c>
    </row>
    <row r="143" spans="5:10" ht="15.75" thickBot="1" x14ac:dyDescent="0.3">
      <c r="E143" s="485"/>
      <c r="F143" s="486"/>
      <c r="G143" s="486"/>
      <c r="H143" s="486"/>
      <c r="I143" s="486"/>
      <c r="J143" s="487"/>
    </row>
    <row r="144" spans="5:10" x14ac:dyDescent="0.25">
      <c r="E144" s="121" t="s">
        <v>70</v>
      </c>
      <c r="F144" s="122" t="s">
        <v>71</v>
      </c>
      <c r="G144" s="122" t="s">
        <v>72</v>
      </c>
      <c r="H144" s="122" t="s">
        <v>73</v>
      </c>
      <c r="J144" s="41"/>
    </row>
    <row r="145" spans="3:10" x14ac:dyDescent="0.25">
      <c r="E145" s="67" t="s">
        <v>143</v>
      </c>
      <c r="F145" s="17">
        <f>COUNTIFS(B92:B121,"&gt;0",B92:B121,"&lt;0,16666")</f>
        <v>7</v>
      </c>
      <c r="G145" s="17">
        <v>5</v>
      </c>
      <c r="H145" s="17">
        <f>((G145-F145)^2)/G145</f>
        <v>0.8</v>
      </c>
      <c r="J145" s="41"/>
    </row>
    <row r="146" spans="3:10" x14ac:dyDescent="0.25">
      <c r="E146" s="67" t="s">
        <v>144</v>
      </c>
      <c r="F146" s="17">
        <f>COUNTIFS(B92:B121,"&gt;0,16666",B92:B121,"&lt;0,33333")</f>
        <v>5</v>
      </c>
      <c r="G146" s="17">
        <v>5</v>
      </c>
      <c r="H146" s="17">
        <f t="shared" ref="H146:H150" si="5">((G146-F146)^2)/G146</f>
        <v>0</v>
      </c>
      <c r="J146" s="41"/>
    </row>
    <row r="147" spans="3:10" x14ac:dyDescent="0.25">
      <c r="E147" s="67" t="s">
        <v>145</v>
      </c>
      <c r="F147" s="17">
        <f>COUNTIFS(B92:B121,"&gt;0,33333",B92:B121,"&lt;0,49999")</f>
        <v>3</v>
      </c>
      <c r="G147" s="17">
        <v>5</v>
      </c>
      <c r="H147" s="17">
        <f t="shared" si="5"/>
        <v>0.8</v>
      </c>
      <c r="J147" s="41"/>
    </row>
    <row r="148" spans="3:10" x14ac:dyDescent="0.25">
      <c r="E148" s="67" t="s">
        <v>146</v>
      </c>
      <c r="F148" s="17">
        <f>COUNTIFS(B92:B121,"&gt;0,49999",B92:B121,"&lt;0,66666")</f>
        <v>5</v>
      </c>
      <c r="G148" s="17">
        <v>5</v>
      </c>
      <c r="H148" s="17">
        <f t="shared" si="5"/>
        <v>0</v>
      </c>
      <c r="J148" s="41"/>
    </row>
    <row r="149" spans="3:10" x14ac:dyDescent="0.25">
      <c r="C149" s="68"/>
      <c r="E149" s="67" t="s">
        <v>147</v>
      </c>
      <c r="F149" s="17">
        <f>COUNTIFS(B92:B121,"&gt;0,66666",B92:B121,"&lt;0,83333")</f>
        <v>4</v>
      </c>
      <c r="G149" s="17">
        <v>5</v>
      </c>
      <c r="H149" s="17">
        <f t="shared" si="5"/>
        <v>0.2</v>
      </c>
      <c r="J149" s="41"/>
    </row>
    <row r="150" spans="3:10" ht="15.75" thickBot="1" x14ac:dyDescent="0.3">
      <c r="E150" s="69" t="s">
        <v>148</v>
      </c>
      <c r="F150" s="70">
        <f>COUNTIFS(B92:B121,"&gt;0,83333",B92:B121,"&lt;1")</f>
        <v>6</v>
      </c>
      <c r="G150" s="123">
        <v>5</v>
      </c>
      <c r="H150" s="123">
        <f t="shared" si="5"/>
        <v>0.2</v>
      </c>
      <c r="J150" s="41"/>
    </row>
    <row r="151" spans="3:10" ht="60.75" customHeight="1" x14ac:dyDescent="0.25">
      <c r="E151" s="124" t="s">
        <v>81</v>
      </c>
      <c r="F151" s="125">
        <f>SUM(F145:F150)</f>
        <v>30</v>
      </c>
      <c r="G151" s="126"/>
      <c r="H151" s="126">
        <f>SUM(H145:H150)</f>
        <v>2</v>
      </c>
      <c r="I151" s="74" t="s">
        <v>82</v>
      </c>
      <c r="J151" s="75">
        <f>F91</f>
        <v>5.0000000000000044E-2</v>
      </c>
    </row>
    <row r="152" spans="3:10" ht="31.5" customHeight="1" x14ac:dyDescent="0.25">
      <c r="E152" s="30"/>
      <c r="G152" s="76" t="s">
        <v>59</v>
      </c>
      <c r="H152" s="77">
        <f>_xlfn.CHISQ.INV.RT(J151,F142-1)</f>
        <v>11.070497693516353</v>
      </c>
      <c r="J152" s="41"/>
    </row>
    <row r="153" spans="3:10" x14ac:dyDescent="0.25">
      <c r="E153" s="317" t="s">
        <v>83</v>
      </c>
      <c r="F153" s="318"/>
      <c r="G153" s="44"/>
      <c r="H153" s="44"/>
      <c r="I153" s="44"/>
      <c r="J153" s="45"/>
    </row>
    <row r="154" spans="3:10" x14ac:dyDescent="0.25">
      <c r="E154" s="78"/>
      <c r="F154" s="44"/>
      <c r="G154" s="44"/>
      <c r="H154" s="44"/>
      <c r="I154" s="44"/>
      <c r="J154" s="45"/>
    </row>
    <row r="155" spans="3:10" x14ac:dyDescent="0.25">
      <c r="E155" s="78"/>
      <c r="F155" s="44"/>
      <c r="G155" s="44"/>
      <c r="H155" s="44"/>
      <c r="I155" s="44"/>
      <c r="J155" s="45"/>
    </row>
    <row r="156" spans="3:10" x14ac:dyDescent="0.25">
      <c r="E156" s="78"/>
      <c r="F156" s="44"/>
      <c r="G156" s="44"/>
      <c r="H156" s="44"/>
      <c r="I156" s="44"/>
      <c r="J156" s="45"/>
    </row>
    <row r="157" spans="3:10" x14ac:dyDescent="0.25">
      <c r="E157" s="317" t="s">
        <v>84</v>
      </c>
      <c r="F157" s="318"/>
      <c r="G157" s="318"/>
      <c r="H157" s="318"/>
      <c r="I157" s="318"/>
      <c r="J157" s="337"/>
    </row>
    <row r="158" spans="3:10" x14ac:dyDescent="0.25">
      <c r="E158" s="317" t="s">
        <v>85</v>
      </c>
      <c r="F158" s="318"/>
      <c r="G158" s="318"/>
      <c r="H158" s="318"/>
      <c r="I158" s="318"/>
      <c r="J158" s="337"/>
    </row>
    <row r="159" spans="3:10" x14ac:dyDescent="0.25">
      <c r="E159" s="78"/>
      <c r="F159" s="44"/>
      <c r="G159" s="44"/>
      <c r="H159" s="44"/>
      <c r="I159" s="44"/>
      <c r="J159" s="45"/>
    </row>
    <row r="160" spans="3:10" x14ac:dyDescent="0.25">
      <c r="E160" s="78"/>
      <c r="F160" s="44"/>
      <c r="G160" s="44"/>
      <c r="H160" s="440" t="s">
        <v>149</v>
      </c>
      <c r="I160" s="440"/>
      <c r="J160" s="441"/>
    </row>
    <row r="161" spans="5:11" x14ac:dyDescent="0.25">
      <c r="E161" s="445" t="s">
        <v>150</v>
      </c>
      <c r="F161" s="446"/>
      <c r="G161" s="446"/>
      <c r="H161" s="446"/>
      <c r="I161" s="446"/>
      <c r="J161" s="447"/>
    </row>
    <row r="162" spans="5:11" ht="15.75" thickBot="1" x14ac:dyDescent="0.3">
      <c r="E162" s="314" t="s">
        <v>151</v>
      </c>
      <c r="F162" s="315"/>
      <c r="G162" s="315"/>
      <c r="H162" s="54"/>
      <c r="I162" s="54"/>
      <c r="J162" s="55"/>
    </row>
    <row r="163" spans="5:11" x14ac:dyDescent="0.25">
      <c r="G163" s="13"/>
    </row>
    <row r="164" spans="5:11" ht="15.75" thickBot="1" x14ac:dyDescent="0.3">
      <c r="G164" s="13"/>
    </row>
    <row r="165" spans="5:11" ht="19.5" thickBot="1" x14ac:dyDescent="0.35">
      <c r="E165" s="450" t="s">
        <v>89</v>
      </c>
      <c r="F165" s="451"/>
      <c r="G165" s="451"/>
      <c r="H165" s="451"/>
      <c r="I165" s="451"/>
      <c r="J165" s="451"/>
      <c r="K165" s="66"/>
    </row>
    <row r="166" spans="5:11" x14ac:dyDescent="0.25">
      <c r="E166" s="438" t="s">
        <v>90</v>
      </c>
      <c r="F166" s="439"/>
      <c r="G166" s="79"/>
      <c r="H166" s="79"/>
      <c r="I166" s="79"/>
      <c r="J166" s="80"/>
      <c r="K166" s="41"/>
    </row>
    <row r="167" spans="5:11" x14ac:dyDescent="0.25">
      <c r="E167" s="81"/>
      <c r="F167" s="82"/>
      <c r="G167" s="405" t="s">
        <v>91</v>
      </c>
      <c r="H167" s="405"/>
      <c r="I167" s="405"/>
      <c r="J167" s="436"/>
      <c r="K167" s="41"/>
    </row>
    <row r="168" spans="5:11" x14ac:dyDescent="0.25">
      <c r="E168" s="81"/>
      <c r="F168" s="82"/>
      <c r="G168" s="405" t="s">
        <v>92</v>
      </c>
      <c r="H168" s="405"/>
      <c r="I168" s="405"/>
      <c r="J168" s="436"/>
      <c r="K168" s="41"/>
    </row>
    <row r="169" spans="5:11" ht="15.75" thickBot="1" x14ac:dyDescent="0.3">
      <c r="E169" s="83"/>
      <c r="F169" s="84"/>
      <c r="G169" s="85" t="s">
        <v>82</v>
      </c>
      <c r="H169" s="86">
        <f>F91</f>
        <v>5.0000000000000044E-2</v>
      </c>
      <c r="I169" s="87"/>
      <c r="J169" s="88"/>
      <c r="K169" s="41"/>
    </row>
    <row r="170" spans="5:11" x14ac:dyDescent="0.25">
      <c r="E170" s="89" t="s">
        <v>68</v>
      </c>
      <c r="F170" s="89">
        <v>7</v>
      </c>
      <c r="G170" s="90" t="s">
        <v>93</v>
      </c>
      <c r="H170" s="90">
        <v>30</v>
      </c>
      <c r="K170" s="41"/>
    </row>
    <row r="171" spans="5:11" x14ac:dyDescent="0.25">
      <c r="E171" s="91" t="s">
        <v>94</v>
      </c>
      <c r="F171" s="91"/>
      <c r="G171" s="91" t="s">
        <v>95</v>
      </c>
      <c r="H171" s="91" t="s">
        <v>96</v>
      </c>
      <c r="I171" s="91"/>
      <c r="J171" s="91" t="s">
        <v>97</v>
      </c>
      <c r="K171" s="91" t="s">
        <v>73</v>
      </c>
    </row>
    <row r="172" spans="5:11" x14ac:dyDescent="0.25">
      <c r="E172" s="17" t="s">
        <v>98</v>
      </c>
      <c r="F172" s="17" t="s">
        <v>40</v>
      </c>
      <c r="G172" s="17">
        <v>0.3024</v>
      </c>
      <c r="H172" s="17">
        <f>G172*$H$170</f>
        <v>9.0719999999999992</v>
      </c>
      <c r="I172" s="17"/>
      <c r="J172" s="17">
        <f>COUNTIF(C92:C121,"TD")</f>
        <v>11</v>
      </c>
      <c r="K172" s="17">
        <f>((H172-J172)^2)/H172</f>
        <v>0.40974250440917148</v>
      </c>
    </row>
    <row r="173" spans="5:11" x14ac:dyDescent="0.25">
      <c r="E173" s="17" t="s">
        <v>99</v>
      </c>
      <c r="F173" s="17" t="s">
        <v>38</v>
      </c>
      <c r="G173" s="17">
        <v>0.504</v>
      </c>
      <c r="H173" s="17">
        <f t="shared" ref="H173:H178" si="6">G173*$H$170</f>
        <v>15.120000000000001</v>
      </c>
      <c r="I173" s="17"/>
      <c r="J173" s="17">
        <f>COUNTIF(C92:C121,"1P")</f>
        <v>14</v>
      </c>
      <c r="K173" s="17">
        <f t="shared" ref="K173:K178" si="7">((H173-J173)^2)/H173</f>
        <v>8.2962962962963099E-2</v>
      </c>
    </row>
    <row r="174" spans="5:11" x14ac:dyDescent="0.25">
      <c r="E174" s="17" t="s">
        <v>100</v>
      </c>
      <c r="F174" s="17" t="s">
        <v>45</v>
      </c>
      <c r="G174" s="17">
        <v>0.108</v>
      </c>
      <c r="H174" s="17">
        <f t="shared" si="6"/>
        <v>3.2399999999999998</v>
      </c>
      <c r="I174" s="17"/>
      <c r="J174" s="17">
        <f>COUNTIF(C92:C121,"2P")</f>
        <v>4</v>
      </c>
      <c r="K174" s="17">
        <f t="shared" si="7"/>
        <v>0.17827160493827171</v>
      </c>
    </row>
    <row r="175" spans="5:11" x14ac:dyDescent="0.25">
      <c r="E175" s="17" t="s">
        <v>101</v>
      </c>
      <c r="F175" s="17" t="s">
        <v>102</v>
      </c>
      <c r="G175" s="17">
        <v>8.9999999999999993E-3</v>
      </c>
      <c r="H175" s="17">
        <f t="shared" si="6"/>
        <v>0.26999999999999996</v>
      </c>
      <c r="I175" s="17"/>
      <c r="J175" s="17">
        <f>COUNTIF(C92:C121,"TP")</f>
        <v>0</v>
      </c>
      <c r="K175" s="17">
        <f t="shared" si="7"/>
        <v>0.26999999999999996</v>
      </c>
    </row>
    <row r="176" spans="5:11" x14ac:dyDescent="0.25">
      <c r="E176" s="17" t="s">
        <v>103</v>
      </c>
      <c r="F176" s="17" t="s">
        <v>36</v>
      </c>
      <c r="G176" s="17">
        <v>7.1999999999999995E-2</v>
      </c>
      <c r="H176" s="17">
        <f t="shared" si="6"/>
        <v>2.1599999999999997</v>
      </c>
      <c r="I176" s="17"/>
      <c r="J176" s="17">
        <f>COUNTIF(C92:C121,"T")</f>
        <v>1</v>
      </c>
      <c r="K176" s="17">
        <f t="shared" si="7"/>
        <v>0.62296296296296272</v>
      </c>
    </row>
    <row r="177" spans="5:11" x14ac:dyDescent="0.25">
      <c r="E177" s="17" t="s">
        <v>104</v>
      </c>
      <c r="F177" s="17" t="s">
        <v>105</v>
      </c>
      <c r="G177" s="17">
        <v>4.4999999999999997E-3</v>
      </c>
      <c r="H177" s="17">
        <f t="shared" si="6"/>
        <v>0.13499999999999998</v>
      </c>
      <c r="I177" s="17"/>
      <c r="J177" s="17">
        <f>COUNTIF(C92:C121,"P")</f>
        <v>0</v>
      </c>
      <c r="K177" s="17">
        <f>((H177-J177)^2)/H177</f>
        <v>0.13499999999999998</v>
      </c>
    </row>
    <row r="178" spans="5:11" x14ac:dyDescent="0.25">
      <c r="E178" s="17" t="s">
        <v>106</v>
      </c>
      <c r="F178" s="17" t="s">
        <v>107</v>
      </c>
      <c r="G178" s="17">
        <v>1E-4</v>
      </c>
      <c r="H178" s="17">
        <f t="shared" si="6"/>
        <v>3.0000000000000001E-3</v>
      </c>
      <c r="I178" s="17"/>
      <c r="J178" s="17">
        <f>COUNTIF(C92:C121,"Q")</f>
        <v>0</v>
      </c>
      <c r="K178" s="17">
        <f t="shared" si="7"/>
        <v>3.0000000000000001E-3</v>
      </c>
    </row>
    <row r="179" spans="5:11" x14ac:dyDescent="0.25">
      <c r="E179" s="11"/>
      <c r="F179" s="11"/>
      <c r="G179" s="11"/>
      <c r="H179" s="93" t="s">
        <v>81</v>
      </c>
      <c r="I179" s="93"/>
      <c r="J179" s="93">
        <f>SUM(J172:J178)</f>
        <v>30</v>
      </c>
      <c r="K179" s="94">
        <f>SUM(K172:K178)</f>
        <v>1.7019400352733689</v>
      </c>
    </row>
    <row r="180" spans="5:11" x14ac:dyDescent="0.25">
      <c r="E180" s="40"/>
      <c r="G180" s="13"/>
      <c r="K180" s="48"/>
    </row>
    <row r="181" spans="5:11" x14ac:dyDescent="0.25">
      <c r="E181" s="40"/>
      <c r="G181" s="13"/>
      <c r="K181" s="48"/>
    </row>
    <row r="182" spans="5:11" ht="24" customHeight="1" x14ac:dyDescent="0.25">
      <c r="E182" s="40"/>
      <c r="G182" s="13"/>
      <c r="K182" s="48"/>
    </row>
    <row r="183" spans="5:11" ht="33.75" customHeight="1" x14ac:dyDescent="0.25">
      <c r="E183" s="40"/>
      <c r="G183" s="13"/>
      <c r="H183" s="95"/>
      <c r="I183" s="95"/>
      <c r="J183" s="95">
        <f>_xlfn.CHISQ.INV.RT(H169,F170-1)</f>
        <v>12.591587243743977</v>
      </c>
      <c r="K183" s="41"/>
    </row>
    <row r="184" spans="5:11" x14ac:dyDescent="0.25">
      <c r="E184" s="40"/>
      <c r="G184" s="13"/>
      <c r="K184" s="41"/>
    </row>
    <row r="185" spans="5:11" x14ac:dyDescent="0.25">
      <c r="E185" s="437" t="s">
        <v>108</v>
      </c>
      <c r="F185" s="405"/>
      <c r="G185" s="405"/>
      <c r="H185" s="405"/>
      <c r="I185" s="405"/>
      <c r="J185" s="405"/>
      <c r="K185" s="41"/>
    </row>
    <row r="186" spans="5:11" x14ac:dyDescent="0.25">
      <c r="E186" s="81"/>
      <c r="F186" s="82"/>
      <c r="G186" s="82"/>
      <c r="H186" s="82"/>
      <c r="I186" s="82"/>
      <c r="J186" s="82"/>
      <c r="K186" s="41"/>
    </row>
    <row r="187" spans="5:11" x14ac:dyDescent="0.25">
      <c r="E187" s="81"/>
      <c r="F187" s="82"/>
      <c r="G187" s="82"/>
      <c r="H187" s="82"/>
      <c r="I187" s="82"/>
      <c r="J187" s="82"/>
      <c r="K187" s="41"/>
    </row>
    <row r="188" spans="5:11" x14ac:dyDescent="0.25">
      <c r="E188" s="81"/>
      <c r="F188" s="82"/>
      <c r="G188" s="82"/>
      <c r="H188" s="96" t="s">
        <v>152</v>
      </c>
      <c r="I188" s="82"/>
      <c r="J188" s="82"/>
      <c r="K188" s="41"/>
    </row>
    <row r="189" spans="5:11" ht="15.75" thickBot="1" x14ac:dyDescent="0.3">
      <c r="E189" s="296" t="s">
        <v>153</v>
      </c>
      <c r="F189" s="297"/>
      <c r="G189" s="297"/>
      <c r="H189" s="297"/>
      <c r="I189" s="84"/>
      <c r="J189" s="84"/>
      <c r="K189" s="127"/>
    </row>
    <row r="190" spans="5:11" x14ac:dyDescent="0.25">
      <c r="E190" s="289"/>
      <c r="F190" s="289"/>
      <c r="G190" s="289"/>
      <c r="H190" s="289"/>
    </row>
    <row r="191" spans="5:11" x14ac:dyDescent="0.25">
      <c r="E191" s="289"/>
      <c r="F191" s="289"/>
      <c r="G191" s="289"/>
      <c r="H191" s="289"/>
    </row>
    <row r="192" spans="5:11" x14ac:dyDescent="0.25">
      <c r="G192" s="13"/>
    </row>
    <row r="193" spans="5:11" x14ac:dyDescent="0.25">
      <c r="G193" s="13"/>
    </row>
    <row r="194" spans="5:11" ht="17.25" x14ac:dyDescent="0.3">
      <c r="E194" s="435" t="s">
        <v>111</v>
      </c>
      <c r="F194" s="435"/>
      <c r="G194" s="435"/>
      <c r="H194" s="435"/>
      <c r="I194" s="435"/>
      <c r="J194" s="435"/>
      <c r="K194" s="435"/>
    </row>
    <row r="195" spans="5:11" ht="17.25" x14ac:dyDescent="0.3">
      <c r="E195" s="435" t="s">
        <v>112</v>
      </c>
      <c r="F195" s="435"/>
      <c r="G195" s="435"/>
      <c r="H195" s="435"/>
      <c r="I195" s="435"/>
      <c r="J195" s="435"/>
      <c r="K195" s="435"/>
    </row>
    <row r="196" spans="5:11" x14ac:dyDescent="0.25">
      <c r="G196" s="13"/>
    </row>
    <row r="197" spans="5:11" x14ac:dyDescent="0.25">
      <c r="G197" s="13"/>
    </row>
    <row r="198" spans="5:11" x14ac:dyDescent="0.25">
      <c r="G198" s="13"/>
    </row>
    <row r="199" spans="5:11" x14ac:dyDescent="0.25">
      <c r="G199" s="13"/>
    </row>
    <row r="200" spans="5:11" x14ac:dyDescent="0.25">
      <c r="G200" s="13"/>
    </row>
    <row r="201" spans="5:11" x14ac:dyDescent="0.25">
      <c r="G201" s="13"/>
    </row>
  </sheetData>
  <mergeCells count="56">
    <mergeCell ref="B13:F13"/>
    <mergeCell ref="A1:G1"/>
    <mergeCell ref="A2:F2"/>
    <mergeCell ref="A3:E3"/>
    <mergeCell ref="A4:D4"/>
    <mergeCell ref="A5:D5"/>
    <mergeCell ref="A6:D6"/>
    <mergeCell ref="A8:G8"/>
    <mergeCell ref="A9:G9"/>
    <mergeCell ref="B10:F10"/>
    <mergeCell ref="B11:F11"/>
    <mergeCell ref="B12:F12"/>
    <mergeCell ref="A18:E18"/>
    <mergeCell ref="A51:F51"/>
    <mergeCell ref="A52:F52"/>
    <mergeCell ref="A89:K89"/>
    <mergeCell ref="C90:C91"/>
    <mergeCell ref="E90:F90"/>
    <mergeCell ref="H90:I90"/>
    <mergeCell ref="E127:J127"/>
    <mergeCell ref="G97:J97"/>
    <mergeCell ref="E102:J102"/>
    <mergeCell ref="E103:F103"/>
    <mergeCell ref="H104:J104"/>
    <mergeCell ref="E105:H105"/>
    <mergeCell ref="E107:G107"/>
    <mergeCell ref="H107:J107"/>
    <mergeCell ref="E108:H108"/>
    <mergeCell ref="E109:F109"/>
    <mergeCell ref="E116:J116"/>
    <mergeCell ref="G122:J122"/>
    <mergeCell ref="G124:J124"/>
    <mergeCell ref="H160:J160"/>
    <mergeCell ref="E128:J128"/>
    <mergeCell ref="E133:J133"/>
    <mergeCell ref="H136:J136"/>
    <mergeCell ref="E138:J138"/>
    <mergeCell ref="E139:J139"/>
    <mergeCell ref="E141:J141"/>
    <mergeCell ref="E143:G143"/>
    <mergeCell ref="H143:J143"/>
    <mergeCell ref="E153:F153"/>
    <mergeCell ref="E157:J157"/>
    <mergeCell ref="E158:J158"/>
    <mergeCell ref="E195:K195"/>
    <mergeCell ref="E161:J161"/>
    <mergeCell ref="E162:G162"/>
    <mergeCell ref="E165:J165"/>
    <mergeCell ref="E166:F166"/>
    <mergeCell ref="G167:J167"/>
    <mergeCell ref="G168:J168"/>
    <mergeCell ref="E185:J185"/>
    <mergeCell ref="E189:H189"/>
    <mergeCell ref="E190:H190"/>
    <mergeCell ref="E191:H191"/>
    <mergeCell ref="E194:K1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Sistema</vt:lpstr>
      <vt:lpstr>Actividad 1</vt:lpstr>
      <vt:lpstr>Actividad 2.</vt:lpstr>
      <vt:lpstr>Conj.1-NúmeroAletorio+Pruebas</vt:lpstr>
      <vt:lpstr>Conj.2-NúmeroAleatorio+Pruebas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PERESSI</dc:creator>
  <cp:lastModifiedBy>Gonzalo Facundo Benitez Peressi</cp:lastModifiedBy>
  <dcterms:created xsi:type="dcterms:W3CDTF">2021-04-02T12:06:56Z</dcterms:created>
  <dcterms:modified xsi:type="dcterms:W3CDTF">2021-04-12T00:20:05Z</dcterms:modified>
</cp:coreProperties>
</file>