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dri\Music\4TH YEAR 2ND SEM\FOUNDATION &amp; RETAINING WALL\"/>
    </mc:Choice>
  </mc:AlternateContent>
  <xr:revisionPtr revIDLastSave="0" documentId="13_ncr:1_{6F84148F-F624-41B4-B4F5-5BFF2F1D6A9B}" xr6:coauthVersionLast="47" xr6:coauthVersionMax="47" xr10:uidLastSave="{00000000-0000-0000-0000-000000000000}"/>
  <bookViews>
    <workbookView xWindow="-108" yWindow="-108" windowWidth="23256" windowHeight="12456" xr2:uid="{2EEC0324-6C2F-4AD3-82C0-E7EA699A1E93}"/>
  </bookViews>
  <sheets>
    <sheet name="PILES ON SAND" sheetId="1" r:id="rId1"/>
    <sheet name="PILES ON CLAY (a)" sheetId="4" r:id="rId2"/>
    <sheet name="Piles on clay (a2)" sheetId="5" r:id="rId3"/>
    <sheet name="Piles on clay (y)" sheetId="6" r:id="rId4"/>
    <sheet name="Piles on Clay (y2)" sheetId="7" r:id="rId5"/>
    <sheet name="piles on clay (B)" sheetId="9" r:id="rId6"/>
    <sheet name="piles on clay (B2)" sheetId="10" r:id="rId7"/>
    <sheet name="Sheet7" sheetId="12" state="hidden" r:id="rId8"/>
    <sheet name="Sheet1" sheetId="8" state="hidden" r:id="rId9"/>
    <sheet name="Sheet3" sheetId="3" state="hidden" r:id="rId10"/>
    <sheet name="Sheet2" sheetId="2" state="hidden" r:id="rId11"/>
  </sheets>
  <definedNames>
    <definedName name="SAND">Sheet2!$C$4:$C$5</definedName>
    <definedName name="SHAPE">Sheet2!$A$4:$A$5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2" l="1"/>
  <c r="C22" i="12" s="1"/>
  <c r="A6" i="12"/>
  <c r="C22" i="10"/>
  <c r="C16" i="10"/>
  <c r="A6" i="10"/>
  <c r="B22" i="9"/>
  <c r="C19" i="9"/>
  <c r="C16" i="9"/>
  <c r="C13" i="9"/>
  <c r="A6" i="9"/>
  <c r="C17" i="8"/>
  <c r="C23" i="8" s="1"/>
  <c r="A6" i="8"/>
  <c r="B29" i="7"/>
  <c r="C26" i="7"/>
  <c r="C23" i="7"/>
  <c r="C20" i="7"/>
  <c r="C17" i="7"/>
  <c r="C19" i="12" l="1"/>
  <c r="C25" i="12" s="1"/>
  <c r="B28" i="12" s="1"/>
  <c r="C19" i="10"/>
  <c r="C25" i="10" s="1"/>
  <c r="B28" i="10" s="1"/>
  <c r="C20" i="8"/>
  <c r="C26" i="8" s="1"/>
  <c r="B29" i="8" s="1"/>
  <c r="A6" i="7"/>
  <c r="B25" i="6"/>
  <c r="C22" i="6"/>
  <c r="C19" i="6"/>
  <c r="C16" i="6"/>
  <c r="C13" i="6"/>
  <c r="A6" i="6"/>
  <c r="B20" i="5"/>
  <c r="C17" i="5"/>
  <c r="A6" i="5"/>
  <c r="B27" i="4"/>
  <c r="C18" i="4"/>
  <c r="B28" i="4" s="1"/>
  <c r="C15" i="4"/>
  <c r="A6" i="4"/>
  <c r="C29" i="3"/>
  <c r="C21" i="3"/>
  <c r="C18" i="3"/>
  <c r="A6" i="3"/>
  <c r="C21" i="4" l="1"/>
  <c r="B29" i="4" s="1"/>
  <c r="C22" i="3"/>
  <c r="C23" i="3"/>
  <c r="C26" i="3" s="1"/>
  <c r="C29" i="1"/>
  <c r="C21" i="1"/>
  <c r="C18" i="1"/>
  <c r="A6" i="1"/>
  <c r="C22" i="1" l="1"/>
  <c r="C23" i="1" s="1"/>
  <c r="C26" i="1" s="1"/>
  <c r="B44" i="1" s="1"/>
  <c r="C24" i="4"/>
  <c r="B30" i="4" s="1"/>
  <c r="C32" i="3"/>
  <c r="C35" i="3" s="1"/>
  <c r="B45" i="3" s="1"/>
  <c r="B44" i="3"/>
  <c r="C32" i="1" l="1"/>
  <c r="C35" i="1" s="1"/>
  <c r="B45" i="1" s="1"/>
  <c r="C38" i="3"/>
  <c r="B46" i="3" s="1"/>
  <c r="C38" i="1" l="1"/>
  <c r="C41" i="3"/>
  <c r="B47" i="3" s="1"/>
  <c r="C41" i="1" l="1"/>
  <c r="B47" i="1" s="1"/>
  <c r="B46" i="1"/>
</calcChain>
</file>

<file path=xl/sharedStrings.xml><?xml version="1.0" encoding="utf-8"?>
<sst xmlns="http://schemas.openxmlformats.org/spreadsheetml/2006/main" count="378" uniqueCount="107">
  <si>
    <t>Input Values:</t>
  </si>
  <si>
    <t>Value</t>
  </si>
  <si>
    <t>Units</t>
  </si>
  <si>
    <t>kPa</t>
  </si>
  <si>
    <t>m</t>
  </si>
  <si>
    <t>Moist Unit Weight (y)</t>
  </si>
  <si>
    <t>kN/m3</t>
  </si>
  <si>
    <t>Saturated Unit Weight (ys)</t>
  </si>
  <si>
    <t>Shape of Pile</t>
  </si>
  <si>
    <t>Circle</t>
  </si>
  <si>
    <t>Shape</t>
  </si>
  <si>
    <t>Square</t>
  </si>
  <si>
    <t>Length of Pile (L)</t>
  </si>
  <si>
    <t>Depth of Water Table (Dw)</t>
  </si>
  <si>
    <r>
      <t>Coefficient of Friction (</t>
    </r>
    <r>
      <rPr>
        <sz val="11"/>
        <color theme="1"/>
        <rFont val="Aptos Narrow"/>
        <family val="2"/>
      </rPr>
      <t>µ)</t>
    </r>
  </si>
  <si>
    <t>Bearing Capacity Factor (Nq)</t>
  </si>
  <si>
    <t>Factor of Safety (F.S.)</t>
  </si>
  <si>
    <t>Lateral Pressure Factor (K)</t>
  </si>
  <si>
    <t>Type of Sand</t>
  </si>
  <si>
    <t>SAND</t>
  </si>
  <si>
    <t>Loose</t>
  </si>
  <si>
    <t>Dense</t>
  </si>
  <si>
    <t>PILES ON SAND</t>
  </si>
  <si>
    <t>Step 1: Solve Critical Depth</t>
  </si>
  <si>
    <t>Step 2: Solve Total Vertical Pressure</t>
  </si>
  <si>
    <t>Critical Depth (Dc) =</t>
  </si>
  <si>
    <r>
      <t>P</t>
    </r>
    <r>
      <rPr>
        <vertAlign val="subscript"/>
        <sz val="11"/>
        <color theme="1"/>
        <rFont val="Aptos Narrow"/>
        <family val="2"/>
        <scheme val="minor"/>
      </rPr>
      <t>v1</t>
    </r>
    <r>
      <rPr>
        <sz val="11"/>
        <color theme="1"/>
        <rFont val="Aptos Narrow"/>
        <family val="2"/>
        <scheme val="minor"/>
      </rPr>
      <t xml:space="preserve"> =</t>
    </r>
  </si>
  <si>
    <r>
      <t>P</t>
    </r>
    <r>
      <rPr>
        <vertAlign val="subscript"/>
        <sz val="11"/>
        <color theme="1"/>
        <rFont val="Aptos Narrow"/>
        <family val="2"/>
        <scheme val="minor"/>
      </rPr>
      <t xml:space="preserve">v2 </t>
    </r>
    <r>
      <rPr>
        <sz val="11"/>
        <color theme="1"/>
        <rFont val="Aptos Narrow"/>
        <family val="2"/>
        <scheme val="minor"/>
      </rPr>
      <t xml:space="preserve">= </t>
    </r>
  </si>
  <si>
    <t>Total Vertical Pressure (Pv) =</t>
  </si>
  <si>
    <t>Step 3:Point Bearing Capacity</t>
  </si>
  <si>
    <t>kN</t>
  </si>
  <si>
    <r>
      <t>Point Bearing Capacity (Q</t>
    </r>
    <r>
      <rPr>
        <vertAlign val="subscript"/>
        <sz val="11"/>
        <color theme="1"/>
        <rFont val="Aptos Narrow"/>
        <family val="2"/>
        <scheme val="minor"/>
      </rPr>
      <t>b</t>
    </r>
    <r>
      <rPr>
        <sz val="11"/>
        <color theme="1"/>
        <rFont val="Aptos Narrow"/>
        <family val="2"/>
        <scheme val="minor"/>
      </rPr>
      <t xml:space="preserve">) = </t>
    </r>
  </si>
  <si>
    <r>
      <t>Area of Vertical Pressure (A</t>
    </r>
    <r>
      <rPr>
        <vertAlign val="subscript"/>
        <sz val="11"/>
        <color theme="1"/>
        <rFont val="Aptos Narrow"/>
        <family val="2"/>
        <scheme val="minor"/>
      </rPr>
      <t>Pv</t>
    </r>
    <r>
      <rPr>
        <sz val="11"/>
        <color theme="1"/>
        <rFont val="Aptos Narrow"/>
        <family val="2"/>
        <scheme val="minor"/>
      </rPr>
      <t>) =</t>
    </r>
  </si>
  <si>
    <t>Step 5: Area of Vertical Pressure</t>
  </si>
  <si>
    <t>Step 4: Perimeter of Pile</t>
  </si>
  <si>
    <t>Perimeter of Pile (P)</t>
  </si>
  <si>
    <t>Step 6: Frictional Capacity</t>
  </si>
  <si>
    <r>
      <t>Frictional Capacity (Q</t>
    </r>
    <r>
      <rPr>
        <vertAlign val="subscript"/>
        <sz val="11"/>
        <color theme="1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>)</t>
    </r>
  </si>
  <si>
    <r>
      <t>Frictional Capacity (Q</t>
    </r>
    <r>
      <rPr>
        <vertAlign val="subscript"/>
        <sz val="11"/>
        <color theme="1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>) =</t>
    </r>
  </si>
  <si>
    <t>Step 7: Ultimate Bearing Capacity</t>
  </si>
  <si>
    <t>Ultimate Bearing Capacity (Qu)</t>
  </si>
  <si>
    <t>Step 8: Allowable Bearing Capacity</t>
  </si>
  <si>
    <t>Allowable Bearing Capacity (Qall)</t>
  </si>
  <si>
    <t>Output Values:</t>
  </si>
  <si>
    <t>Point Bearing Capacity (Qb)</t>
  </si>
  <si>
    <t>Frictional Capacity (Qf)</t>
  </si>
  <si>
    <t>Ultimate Bearing Capacity</t>
  </si>
  <si>
    <t>Allowable Bearing Capacity</t>
  </si>
  <si>
    <t>Unit Weight (y)</t>
  </si>
  <si>
    <t>Bearing Capacity Factor (Nc)</t>
  </si>
  <si>
    <t>Unconfined Compressive Strength (qu)</t>
  </si>
  <si>
    <t>Adhesion Factor (α)</t>
  </si>
  <si>
    <t>Step 1: End Bearing Capacity</t>
  </si>
  <si>
    <t>Step 2: Skin Friction</t>
  </si>
  <si>
    <t>Step 3: Ultimate Bearing Capacity</t>
  </si>
  <si>
    <r>
      <t>Allowable Bearing Capacity (Q</t>
    </r>
    <r>
      <rPr>
        <vertAlign val="subscript"/>
        <sz val="11"/>
        <color theme="1"/>
        <rFont val="Aptos Narrow"/>
        <family val="2"/>
        <scheme val="minor"/>
      </rPr>
      <t>all</t>
    </r>
    <r>
      <rPr>
        <sz val="11"/>
        <color theme="1"/>
        <rFont val="Aptos Narrow"/>
        <family val="2"/>
        <scheme val="minor"/>
      </rPr>
      <t>)</t>
    </r>
  </si>
  <si>
    <r>
      <t>Ultimate Bearing Capacity (Q</t>
    </r>
    <r>
      <rPr>
        <vertAlign val="subscript"/>
        <sz val="11"/>
        <color theme="1"/>
        <rFont val="Aptos Narrow"/>
        <family val="2"/>
        <scheme val="minor"/>
      </rPr>
      <t>u</t>
    </r>
    <r>
      <rPr>
        <sz val="11"/>
        <color theme="1"/>
        <rFont val="Aptos Narrow"/>
        <family val="2"/>
        <scheme val="minor"/>
      </rPr>
      <t>)</t>
    </r>
  </si>
  <si>
    <t>Step 4: Allowable Bearing Capacity</t>
  </si>
  <si>
    <r>
      <t>End Bearing Capacity (Q</t>
    </r>
    <r>
      <rPr>
        <vertAlign val="subscript"/>
        <sz val="11"/>
        <color theme="1"/>
        <rFont val="Aptos Narrow"/>
        <family val="2"/>
        <scheme val="minor"/>
      </rPr>
      <t>b</t>
    </r>
    <r>
      <rPr>
        <sz val="11"/>
        <color theme="1"/>
        <rFont val="Aptos Narrow"/>
        <family val="2"/>
        <scheme val="minor"/>
      </rPr>
      <t>) =</t>
    </r>
  </si>
  <si>
    <r>
      <t>Skin Friction (Q</t>
    </r>
    <r>
      <rPr>
        <vertAlign val="subscript"/>
        <sz val="11"/>
        <color theme="1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>) =</t>
    </r>
  </si>
  <si>
    <r>
      <t>Ultimate Bearing Capacity (Q</t>
    </r>
    <r>
      <rPr>
        <vertAlign val="subscript"/>
        <sz val="11"/>
        <color theme="1"/>
        <rFont val="Aptos Narrow"/>
        <family val="2"/>
        <scheme val="minor"/>
      </rPr>
      <t>u</t>
    </r>
    <r>
      <rPr>
        <sz val="11"/>
        <color theme="1"/>
        <rFont val="Aptos Narrow"/>
        <family val="2"/>
        <scheme val="minor"/>
      </rPr>
      <t>) =</t>
    </r>
  </si>
  <si>
    <r>
      <t>End Bearing Capacity (Q</t>
    </r>
    <r>
      <rPr>
        <vertAlign val="subscript"/>
        <sz val="11"/>
        <color theme="1"/>
        <rFont val="Aptos Narrow"/>
        <family val="2"/>
        <scheme val="minor"/>
      </rPr>
      <t>b</t>
    </r>
    <r>
      <rPr>
        <sz val="11"/>
        <color theme="1"/>
        <rFont val="Aptos Narrow"/>
        <family val="2"/>
        <scheme val="minor"/>
      </rPr>
      <t>)</t>
    </r>
  </si>
  <si>
    <r>
      <t>PILES ON CLAY (</t>
    </r>
    <r>
      <rPr>
        <b/>
        <sz val="11"/>
        <color theme="1"/>
        <rFont val="Aptos Narrow"/>
        <family val="2"/>
      </rPr>
      <t>α</t>
    </r>
    <r>
      <rPr>
        <b/>
        <sz val="11"/>
        <color theme="1"/>
        <rFont val="Aptos Narrow"/>
        <family val="2"/>
        <scheme val="minor"/>
      </rPr>
      <t xml:space="preserve"> Method - 1 Layer)</t>
    </r>
  </si>
  <si>
    <r>
      <t>Adhesion Factor (α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)</t>
    </r>
  </si>
  <si>
    <r>
      <t>Adhesion Factor (α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</si>
  <si>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r>
      <t>Cohesion (C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)</t>
    </r>
  </si>
  <si>
    <r>
      <t>Cohesion (C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</si>
  <si>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t>Step 1: Skin Resistance</t>
  </si>
  <si>
    <r>
      <t>Skin Resistance (Q</t>
    </r>
    <r>
      <rPr>
        <vertAlign val="subscript"/>
        <sz val="11"/>
        <color theme="1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 xml:space="preserve">) = </t>
    </r>
  </si>
  <si>
    <r>
      <t>PILES ON CLAY (</t>
    </r>
    <r>
      <rPr>
        <b/>
        <sz val="11"/>
        <color theme="1"/>
        <rFont val="Aptos Narrow"/>
        <family val="2"/>
      </rPr>
      <t>α</t>
    </r>
    <r>
      <rPr>
        <b/>
        <sz val="11"/>
        <color theme="1"/>
        <rFont val="Aptos Narrow"/>
        <family val="2"/>
        <scheme val="minor"/>
      </rPr>
      <t xml:space="preserve"> Method - 2 Layers)</t>
    </r>
  </si>
  <si>
    <r>
      <t>Skin Resistance (Q</t>
    </r>
    <r>
      <rPr>
        <vertAlign val="subscript"/>
        <sz val="11"/>
        <color theme="1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>)</t>
    </r>
  </si>
  <si>
    <t>Step 1: Perimeter of Pile</t>
  </si>
  <si>
    <t>Perimeter (P) =</t>
  </si>
  <si>
    <t>Step 2: Average Vertical Pressure</t>
  </si>
  <si>
    <r>
      <t>Average Vertical Pressure (Q</t>
    </r>
    <r>
      <rPr>
        <vertAlign val="subscript"/>
        <sz val="11"/>
        <color theme="1"/>
        <rFont val="Aptos Narrow"/>
        <family val="2"/>
        <scheme val="minor"/>
      </rPr>
      <t>v</t>
    </r>
    <r>
      <rPr>
        <sz val="11"/>
        <color theme="1"/>
        <rFont val="Aptos Narrow"/>
        <family val="2"/>
        <scheme val="minor"/>
      </rPr>
      <t xml:space="preserve">) = </t>
    </r>
  </si>
  <si>
    <t>Step 3: Cohesion of Clay</t>
  </si>
  <si>
    <t xml:space="preserve">Cohesion of Clay (C) = </t>
  </si>
  <si>
    <t>Step 4: Skin Friction:</t>
  </si>
  <si>
    <r>
      <t>Skin Friction (Q</t>
    </r>
    <r>
      <rPr>
        <vertAlign val="subscript"/>
        <sz val="11"/>
        <color theme="1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 xml:space="preserve">) = </t>
    </r>
  </si>
  <si>
    <t>PILES ON CLAY (y Method - 1 Layer)</t>
  </si>
  <si>
    <t>Frictional Coefficient (y)</t>
  </si>
  <si>
    <r>
      <t>Skin Friction (Q</t>
    </r>
    <r>
      <rPr>
        <vertAlign val="subscript"/>
        <sz val="11"/>
        <color theme="1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>)</t>
    </r>
  </si>
  <si>
    <t>PILES ON CLAY (y Method - 2 Layers)</t>
  </si>
  <si>
    <r>
      <t>Frictional Coefficient (y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)</t>
    </r>
  </si>
  <si>
    <r>
      <t>Frictional Coefficient (y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</si>
  <si>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t xml:space="preserve">Peremiter (P) = </t>
  </si>
  <si>
    <t>Step 2: Skin Friction Above</t>
  </si>
  <si>
    <r>
      <t>Skin Friction Above (Q</t>
    </r>
    <r>
      <rPr>
        <vertAlign val="subscript"/>
        <sz val="11"/>
        <color theme="1"/>
        <rFont val="Aptos Narrow"/>
        <family val="2"/>
        <scheme val="minor"/>
      </rPr>
      <t>f1</t>
    </r>
    <r>
      <rPr>
        <sz val="11"/>
        <color theme="1"/>
        <rFont val="Aptos Narrow"/>
        <family val="2"/>
        <scheme val="minor"/>
      </rPr>
      <t>) =</t>
    </r>
  </si>
  <si>
    <t>Step 3: Skin Friction Below</t>
  </si>
  <si>
    <r>
      <t>Skin Friction Below (Q</t>
    </r>
    <r>
      <rPr>
        <vertAlign val="subscript"/>
        <sz val="11"/>
        <color theme="1"/>
        <rFont val="Aptos Narrow"/>
        <family val="2"/>
        <scheme val="minor"/>
      </rPr>
      <t>f2</t>
    </r>
    <r>
      <rPr>
        <sz val="11"/>
        <color theme="1"/>
        <rFont val="Aptos Narrow"/>
        <family val="2"/>
        <scheme val="minor"/>
      </rPr>
      <t>) =</t>
    </r>
  </si>
  <si>
    <t>Step 4: Total Skin Friction</t>
  </si>
  <si>
    <r>
      <t>Drained Friction Angle (</t>
    </r>
    <r>
      <rPr>
        <sz val="11"/>
        <color theme="1"/>
        <rFont val="Aptos Narrow"/>
        <family val="2"/>
      </rPr>
      <t>ϑ</t>
    </r>
    <r>
      <rPr>
        <vertAlign val="subscript"/>
        <sz val="11"/>
        <color theme="1"/>
        <rFont val="Aptos Narrow"/>
        <family val="2"/>
      </rPr>
      <t>R</t>
    </r>
    <r>
      <rPr>
        <sz val="11"/>
        <color theme="1"/>
        <rFont val="Aptos Narrow"/>
        <family val="2"/>
      </rPr>
      <t>) =</t>
    </r>
  </si>
  <si>
    <t>degrees</t>
  </si>
  <si>
    <r>
      <t>PILES ON CLAY (</t>
    </r>
    <r>
      <rPr>
        <b/>
        <sz val="11"/>
        <color theme="1"/>
        <rFont val="Symbol"/>
        <family val="1"/>
        <charset val="2"/>
      </rPr>
      <t>b</t>
    </r>
    <r>
      <rPr>
        <b/>
        <sz val="11"/>
        <color theme="1"/>
        <rFont val="Aptos Narrow"/>
        <family val="2"/>
        <scheme val="minor"/>
      </rPr>
      <t xml:space="preserve"> Method - 1 Layer)</t>
    </r>
  </si>
  <si>
    <t>Over Consolidated Ratio</t>
  </si>
  <si>
    <t xml:space="preserve">Perimeter of Pile (P) = </t>
  </si>
  <si>
    <t>Step 2: Value of Beta</t>
  </si>
  <si>
    <r>
      <t>Beta (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Aptos Narrow"/>
        <family val="2"/>
      </rPr>
      <t>) =</t>
    </r>
  </si>
  <si>
    <t>Step 3: Skin Friction</t>
  </si>
  <si>
    <r>
      <t>PILES ON CLAY (</t>
    </r>
    <r>
      <rPr>
        <b/>
        <sz val="11"/>
        <color theme="1"/>
        <rFont val="Symbol"/>
        <family val="1"/>
        <charset val="2"/>
      </rPr>
      <t>b</t>
    </r>
    <r>
      <rPr>
        <b/>
        <sz val="11"/>
        <color theme="1"/>
        <rFont val="Aptos Narrow"/>
        <family val="2"/>
        <scheme val="minor"/>
      </rPr>
      <t xml:space="preserve"> Method - 2 Layers)</t>
    </r>
  </si>
  <si>
    <r>
      <t>Drained Friction Angle Layer 1 (</t>
    </r>
    <r>
      <rPr>
        <sz val="11"/>
        <color theme="1"/>
        <rFont val="Aptos Narrow"/>
        <family val="2"/>
      </rPr>
      <t>ϑ</t>
    </r>
    <r>
      <rPr>
        <vertAlign val="subscript"/>
        <sz val="11"/>
        <color theme="1"/>
        <rFont val="Aptos Narrow"/>
        <family val="2"/>
      </rPr>
      <t>R1</t>
    </r>
    <r>
      <rPr>
        <sz val="11"/>
        <color theme="1"/>
        <rFont val="Aptos Narrow"/>
        <family val="2"/>
      </rPr>
      <t>)</t>
    </r>
  </si>
  <si>
    <r>
      <t>Drained Friction Angle Layer 2 (ϑ</t>
    </r>
    <r>
      <rPr>
        <vertAlign val="subscript"/>
        <sz val="11"/>
        <color theme="1"/>
        <rFont val="Aptos Narrow"/>
        <family val="2"/>
        <scheme val="minor"/>
      </rPr>
      <t>R2</t>
    </r>
    <r>
      <rPr>
        <sz val="11"/>
        <color theme="1"/>
        <rFont val="Aptos Narrow"/>
        <family val="2"/>
        <scheme val="minor"/>
      </rPr>
      <t>)</t>
    </r>
  </si>
  <si>
    <r>
      <t>Ultimate Bearing Capacity (Q</t>
    </r>
    <r>
      <rPr>
        <vertAlign val="subscript"/>
        <sz val="11"/>
        <color theme="1"/>
        <rFont val="Aptos Narrow"/>
        <family val="2"/>
        <scheme val="minor"/>
      </rPr>
      <t>b</t>
    </r>
    <r>
      <rPr>
        <sz val="11"/>
        <color theme="1"/>
        <rFont val="Aptos Narrow"/>
        <family val="2"/>
        <scheme val="minor"/>
      </rPr>
      <t>)</t>
    </r>
  </si>
  <si>
    <r>
      <t>Ultimate Capacity (Q</t>
    </r>
    <r>
      <rPr>
        <vertAlign val="subscript"/>
        <sz val="11"/>
        <color theme="1"/>
        <rFont val="Aptos Narrow"/>
        <family val="2"/>
        <scheme val="minor"/>
      </rPr>
      <t>u</t>
    </r>
    <r>
      <rPr>
        <sz val="11"/>
        <color theme="1"/>
        <rFont val="Aptos Narrow"/>
        <family val="2"/>
        <scheme val="minor"/>
      </rPr>
      <t>)</t>
    </r>
  </si>
  <si>
    <t>Ultimate Load Bearing Capacity</t>
  </si>
  <si>
    <t>Allowable Load Bearing Capacity</t>
  </si>
  <si>
    <r>
      <t>Allowable Capacity (Q</t>
    </r>
    <r>
      <rPr>
        <vertAlign val="subscript"/>
        <sz val="11"/>
        <color theme="1"/>
        <rFont val="Aptos Narrow"/>
        <family val="2"/>
        <scheme val="minor"/>
      </rPr>
      <t>all</t>
    </r>
    <r>
      <rPr>
        <sz val="11"/>
        <color theme="1"/>
        <rFont val="Aptos Narrow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</si>
</sst>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b/>
      <sz val="11"/>
      <color theme="1"/>
      <name val="Symbol"/>
      <family val="1"/>
      <charset val="2"/>
    </font>
    <font>
      <sz val="11"/>
      <color theme="1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5" borderId="5" xfId="0" applyFill="1" applyBorder="1"/>
    <xf numFmtId="164" fontId="1" fillId="5" borderId="6" xfId="0" applyNumberFormat="1" applyFont="1" applyFill="1" applyBorder="1"/>
    <xf numFmtId="0" fontId="1" fillId="5" borderId="7" xfId="0" applyFont="1" applyFill="1" applyBorder="1"/>
    <xf numFmtId="0" fontId="0" fillId="5" borderId="8" xfId="0" applyFill="1" applyBorder="1"/>
    <xf numFmtId="164" fontId="1" fillId="5" borderId="4" xfId="0" applyNumberFormat="1" applyFont="1" applyFill="1" applyBorder="1"/>
    <xf numFmtId="0" fontId="1" fillId="5" borderId="8" xfId="0" applyFont="1" applyFill="1" applyBorder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380B-5E26-4974-9166-46838FCE5825}">
  <dimension ref="A1:D48"/>
  <sheetViews>
    <sheetView tabSelected="1" workbookViewId="0">
      <selection activeCell="C22" sqref="C22"/>
    </sheetView>
  </sheetViews>
  <sheetFormatPr defaultRowHeight="14.4" x14ac:dyDescent="0.3"/>
  <cols>
    <col min="1" max="1" width="30.77734375" style="5" customWidth="1"/>
    <col min="2" max="2" width="30.5546875" style="5" customWidth="1"/>
    <col min="3" max="3" width="8.88671875" style="5" customWidth="1"/>
    <col min="4" max="16384" width="8.88671875" style="5"/>
  </cols>
  <sheetData>
    <row r="1" spans="1:3" x14ac:dyDescent="0.3">
      <c r="A1" s="19" t="s">
        <v>22</v>
      </c>
      <c r="B1" s="20"/>
    </row>
    <row r="3" spans="1:3" x14ac:dyDescent="0.3">
      <c r="A3" s="6" t="s">
        <v>0</v>
      </c>
      <c r="B3" s="6" t="s">
        <v>1</v>
      </c>
      <c r="C3" s="5" t="s">
        <v>2</v>
      </c>
    </row>
    <row r="4" spans="1:3" x14ac:dyDescent="0.3">
      <c r="B4" s="1"/>
    </row>
    <row r="5" spans="1:3" x14ac:dyDescent="0.3">
      <c r="A5" s="5" t="s">
        <v>8</v>
      </c>
      <c r="B5" s="3" t="s">
        <v>9</v>
      </c>
    </row>
    <row r="6" spans="1:3" x14ac:dyDescent="0.3">
      <c r="A6" s="7" t="str">
        <f>IF(B5="Circle","Diameter (d)","Side Length (s)")</f>
        <v>Diameter (d)</v>
      </c>
      <c r="B6" s="4">
        <v>0.3</v>
      </c>
      <c r="C6" s="5" t="s">
        <v>4</v>
      </c>
    </row>
    <row r="7" spans="1:3" x14ac:dyDescent="0.3">
      <c r="A7" s="5" t="s">
        <v>18</v>
      </c>
      <c r="B7" s="3" t="s">
        <v>21</v>
      </c>
    </row>
    <row r="8" spans="1:3" x14ac:dyDescent="0.3">
      <c r="A8" s="5" t="s">
        <v>5</v>
      </c>
      <c r="B8" s="2">
        <v>18</v>
      </c>
      <c r="C8" s="5" t="s">
        <v>6</v>
      </c>
    </row>
    <row r="9" spans="1:3" x14ac:dyDescent="0.3">
      <c r="A9" s="5" t="s">
        <v>7</v>
      </c>
      <c r="B9" s="2">
        <v>20</v>
      </c>
      <c r="C9" s="5" t="s">
        <v>6</v>
      </c>
    </row>
    <row r="10" spans="1:3" x14ac:dyDescent="0.3">
      <c r="A10" s="5" t="s">
        <v>12</v>
      </c>
      <c r="B10" s="2">
        <v>12</v>
      </c>
      <c r="C10" s="5" t="s">
        <v>4</v>
      </c>
    </row>
    <row r="11" spans="1:3" x14ac:dyDescent="0.3">
      <c r="A11" s="5" t="s">
        <v>13</v>
      </c>
      <c r="B11" s="2">
        <v>4</v>
      </c>
      <c r="C11" s="5" t="s">
        <v>4</v>
      </c>
    </row>
    <row r="12" spans="1:3" x14ac:dyDescent="0.3">
      <c r="A12" s="5" t="s">
        <v>14</v>
      </c>
      <c r="B12" s="2">
        <v>0.4</v>
      </c>
    </row>
    <row r="13" spans="1:3" x14ac:dyDescent="0.3">
      <c r="A13" s="5" t="s">
        <v>15</v>
      </c>
      <c r="B13" s="2">
        <v>80</v>
      </c>
    </row>
    <row r="14" spans="1:3" x14ac:dyDescent="0.3">
      <c r="A14" s="5" t="s">
        <v>17</v>
      </c>
      <c r="B14" s="2">
        <v>1.2</v>
      </c>
    </row>
    <row r="15" spans="1:3" x14ac:dyDescent="0.3">
      <c r="A15" s="5" t="s">
        <v>16</v>
      </c>
      <c r="B15" s="2">
        <v>3</v>
      </c>
    </row>
    <row r="17" spans="1:4" x14ac:dyDescent="0.3">
      <c r="A17" s="5" t="s">
        <v>23</v>
      </c>
    </row>
    <row r="18" spans="1:4" x14ac:dyDescent="0.3">
      <c r="B18" s="5" t="s">
        <v>25</v>
      </c>
      <c r="C18" s="5">
        <f>IF(B7="Dense",20*B6,10*B6)</f>
        <v>6</v>
      </c>
      <c r="D18" s="5" t="s">
        <v>4</v>
      </c>
    </row>
    <row r="20" spans="1:4" x14ac:dyDescent="0.3">
      <c r="A20" s="5" t="s">
        <v>24</v>
      </c>
    </row>
    <row r="21" spans="1:4" ht="15.6" x14ac:dyDescent="0.3">
      <c r="B21" s="5" t="s">
        <v>26</v>
      </c>
      <c r="C21" s="9">
        <f>B11*B8</f>
        <v>72</v>
      </c>
      <c r="D21" s="5" t="s">
        <v>3</v>
      </c>
    </row>
    <row r="22" spans="1:4" ht="15.6" x14ac:dyDescent="0.3">
      <c r="B22" s="5" t="s">
        <v>27</v>
      </c>
      <c r="C22" s="5">
        <f>C21+(B9-9.81)*(C18-B11)</f>
        <v>92.38</v>
      </c>
      <c r="D22" s="5" t="s">
        <v>3</v>
      </c>
    </row>
    <row r="23" spans="1:4" x14ac:dyDescent="0.3">
      <c r="B23" s="5" t="s">
        <v>28</v>
      </c>
      <c r="C23" s="5">
        <f>IF(AND(B11=0,B9=0),C18*B8,C22)</f>
        <v>92.38</v>
      </c>
      <c r="D23" s="5" t="s">
        <v>3</v>
      </c>
    </row>
    <row r="25" spans="1:4" x14ac:dyDescent="0.3">
      <c r="A25" s="5" t="s">
        <v>29</v>
      </c>
    </row>
    <row r="26" spans="1:4" ht="15.6" x14ac:dyDescent="0.3">
      <c r="B26" s="5" t="s">
        <v>31</v>
      </c>
      <c r="C26" s="8">
        <f>C23*B13*IF(B5="Circle",0.25*PI()*B6^2,B6^2)</f>
        <v>522.39659280952515</v>
      </c>
      <c r="D26" s="5" t="s">
        <v>30</v>
      </c>
    </row>
    <row r="28" spans="1:4" x14ac:dyDescent="0.3">
      <c r="A28" s="5" t="s">
        <v>34</v>
      </c>
    </row>
    <row r="29" spans="1:4" x14ac:dyDescent="0.3">
      <c r="B29" s="5" t="s">
        <v>35</v>
      </c>
      <c r="C29" s="9">
        <f>IF(B5="Circle",B6*PI(),4*B6)</f>
        <v>0.94247779607693793</v>
      </c>
      <c r="D29" s="5" t="s">
        <v>4</v>
      </c>
    </row>
    <row r="31" spans="1:4" x14ac:dyDescent="0.3">
      <c r="A31" s="5" t="s">
        <v>33</v>
      </c>
    </row>
    <row r="32" spans="1:4" ht="15.6" x14ac:dyDescent="0.3">
      <c r="B32" s="5" t="s">
        <v>32</v>
      </c>
      <c r="C32" s="5">
        <f>IF(AND(B9=0,B11=0),((C23*C18/2)+C23*(B10-C18)),((C21*(B11)/2)+((C21+C22)/2)*(C18-B11)+(C22)*(B10-C18)))</f>
        <v>862.66</v>
      </c>
    </row>
    <row r="34" spans="1:4" x14ac:dyDescent="0.3">
      <c r="A34" s="5" t="s">
        <v>36</v>
      </c>
    </row>
    <row r="35" spans="1:4" ht="15.6" x14ac:dyDescent="0.3">
      <c r="B35" s="5" t="s">
        <v>38</v>
      </c>
      <c r="C35" s="8">
        <f>C29*C32*B14*B12</f>
        <v>390.25818987059097</v>
      </c>
      <c r="D35" s="5" t="s">
        <v>30</v>
      </c>
    </row>
    <row r="37" spans="1:4" x14ac:dyDescent="0.3">
      <c r="A37" s="5" t="s">
        <v>39</v>
      </c>
    </row>
    <row r="38" spans="1:4" ht="15.6" x14ac:dyDescent="0.3">
      <c r="B38" s="5" t="s">
        <v>56</v>
      </c>
      <c r="C38" s="8">
        <f>(C26+C35)</f>
        <v>912.65478268011611</v>
      </c>
      <c r="D38" s="5" t="s">
        <v>30</v>
      </c>
    </row>
    <row r="40" spans="1:4" x14ac:dyDescent="0.3">
      <c r="A40" s="5" t="s">
        <v>41</v>
      </c>
    </row>
    <row r="41" spans="1:4" ht="15.6" x14ac:dyDescent="0.3">
      <c r="B41" s="5" t="s">
        <v>55</v>
      </c>
      <c r="C41" s="8">
        <f>(C38/B15)</f>
        <v>304.21826089337202</v>
      </c>
      <c r="D41" s="5" t="s">
        <v>30</v>
      </c>
    </row>
    <row r="42" spans="1:4" ht="15" thickBot="1" x14ac:dyDescent="0.35"/>
    <row r="43" spans="1:4" ht="15.6" thickTop="1" thickBot="1" x14ac:dyDescent="0.35">
      <c r="A43" s="21" t="s">
        <v>43</v>
      </c>
      <c r="B43" s="22"/>
      <c r="C43" s="23"/>
    </row>
    <row r="44" spans="1:4" ht="16.8" thickTop="1" thickBot="1" x14ac:dyDescent="0.4">
      <c r="A44" s="10" t="s">
        <v>102</v>
      </c>
      <c r="B44" s="11">
        <f>C26</f>
        <v>522.39659280952515</v>
      </c>
      <c r="C44" s="12" t="s">
        <v>30</v>
      </c>
    </row>
    <row r="45" spans="1:4" ht="16.8" thickTop="1" thickBot="1" x14ac:dyDescent="0.4">
      <c r="A45" s="13" t="s">
        <v>37</v>
      </c>
      <c r="B45" s="14">
        <f>C35</f>
        <v>390.25818987059097</v>
      </c>
      <c r="C45" s="15" t="s">
        <v>30</v>
      </c>
    </row>
    <row r="46" spans="1:4" ht="16.8" thickTop="1" thickBot="1" x14ac:dyDescent="0.4">
      <c r="A46" s="10" t="s">
        <v>103</v>
      </c>
      <c r="B46" s="11">
        <f>C38</f>
        <v>912.65478268011611</v>
      </c>
      <c r="C46" s="12" t="s">
        <v>30</v>
      </c>
    </row>
    <row r="47" spans="1:4" ht="16.8" thickTop="1" thickBot="1" x14ac:dyDescent="0.4">
      <c r="A47" s="13" t="s">
        <v>106</v>
      </c>
      <c r="B47" s="14">
        <f>C41</f>
        <v>304.21826089337202</v>
      </c>
      <c r="C47" s="15" t="s">
        <v>30</v>
      </c>
    </row>
    <row r="48" spans="1:4" ht="15" thickTop="1" x14ac:dyDescent="0.3"/>
  </sheetData>
  <mergeCells count="2">
    <mergeCell ref="A1:B1"/>
    <mergeCell ref="A43:C43"/>
  </mergeCells>
  <dataValidations count="2">
    <dataValidation type="list" allowBlank="1" showInputMessage="1" showErrorMessage="1" sqref="B5" xr:uid="{66FB7277-F088-4E45-B933-BB7FD38B4C49}">
      <formula1>SHAPE</formula1>
    </dataValidation>
    <dataValidation type="list" allowBlank="1" showInputMessage="1" showErrorMessage="1" sqref="B7" xr:uid="{839CC7FB-30B2-433D-8D9D-AE280F617E81}">
      <formula1>SAND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484A-6A45-4C72-98D8-CEF3C02656D9}">
  <dimension ref="A1:D48"/>
  <sheetViews>
    <sheetView topLeftCell="A12" workbookViewId="0">
      <selection activeCell="E13" sqref="E13"/>
    </sheetView>
  </sheetViews>
  <sheetFormatPr defaultRowHeight="14.4" x14ac:dyDescent="0.3"/>
  <cols>
    <col min="1" max="1" width="30.77734375" style="5" customWidth="1"/>
    <col min="2" max="2" width="30.5546875" style="5" customWidth="1"/>
    <col min="3" max="16384" width="8.88671875" style="5"/>
  </cols>
  <sheetData>
    <row r="1" spans="1:3" x14ac:dyDescent="0.3">
      <c r="A1" s="19" t="s">
        <v>22</v>
      </c>
      <c r="B1" s="20"/>
    </row>
    <row r="3" spans="1:3" x14ac:dyDescent="0.3">
      <c r="A3" s="6" t="s">
        <v>0</v>
      </c>
      <c r="B3" s="6" t="s">
        <v>1</v>
      </c>
      <c r="C3" s="5" t="s">
        <v>2</v>
      </c>
    </row>
    <row r="4" spans="1:3" x14ac:dyDescent="0.3">
      <c r="B4" s="1"/>
    </row>
    <row r="5" spans="1:3" x14ac:dyDescent="0.3">
      <c r="A5" s="5" t="s">
        <v>8</v>
      </c>
      <c r="B5" s="3" t="s">
        <v>9</v>
      </c>
      <c r="C5" s="5" t="s">
        <v>30</v>
      </c>
    </row>
    <row r="6" spans="1:3" x14ac:dyDescent="0.3">
      <c r="A6" s="7" t="str">
        <f>IF(B5="Circle","Diameter (d)","Side Length (s)")</f>
        <v>Diameter (d)</v>
      </c>
      <c r="B6" s="4">
        <v>0.3</v>
      </c>
      <c r="C6" s="5" t="s">
        <v>4</v>
      </c>
    </row>
    <row r="7" spans="1:3" x14ac:dyDescent="0.3">
      <c r="A7" s="5" t="s">
        <v>18</v>
      </c>
      <c r="B7" s="3" t="s">
        <v>20</v>
      </c>
    </row>
    <row r="8" spans="1:3" x14ac:dyDescent="0.3">
      <c r="A8" s="5" t="s">
        <v>5</v>
      </c>
      <c r="B8" s="2">
        <v>20</v>
      </c>
      <c r="C8" s="5" t="s">
        <v>6</v>
      </c>
    </row>
    <row r="9" spans="1:3" x14ac:dyDescent="0.3">
      <c r="A9" s="5" t="s">
        <v>7</v>
      </c>
      <c r="B9" s="2">
        <v>0</v>
      </c>
      <c r="C9" s="5" t="s">
        <v>6</v>
      </c>
    </row>
    <row r="10" spans="1:3" x14ac:dyDescent="0.3">
      <c r="A10" s="5" t="s">
        <v>12</v>
      </c>
      <c r="B10" s="2">
        <v>12</v>
      </c>
      <c r="C10" s="5" t="s">
        <v>4</v>
      </c>
    </row>
    <row r="11" spans="1:3" x14ac:dyDescent="0.3">
      <c r="A11" s="5" t="s">
        <v>13</v>
      </c>
      <c r="B11" s="2">
        <v>0</v>
      </c>
      <c r="C11" s="5" t="s">
        <v>4</v>
      </c>
    </row>
    <row r="12" spans="1:3" x14ac:dyDescent="0.3">
      <c r="A12" s="5" t="s">
        <v>14</v>
      </c>
      <c r="B12" s="2">
        <v>0.4</v>
      </c>
    </row>
    <row r="13" spans="1:3" x14ac:dyDescent="0.3">
      <c r="A13" s="5" t="s">
        <v>15</v>
      </c>
      <c r="B13" s="2">
        <v>80</v>
      </c>
    </row>
    <row r="14" spans="1:3" x14ac:dyDescent="0.3">
      <c r="A14" s="5" t="s">
        <v>17</v>
      </c>
      <c r="B14" s="2">
        <v>0.9</v>
      </c>
    </row>
    <row r="15" spans="1:3" x14ac:dyDescent="0.3">
      <c r="A15" s="5" t="s">
        <v>16</v>
      </c>
      <c r="B15" s="2">
        <v>3.25</v>
      </c>
    </row>
    <row r="17" spans="1:4" x14ac:dyDescent="0.3">
      <c r="A17" s="5" t="s">
        <v>23</v>
      </c>
    </row>
    <row r="18" spans="1:4" x14ac:dyDescent="0.3">
      <c r="B18" s="5" t="s">
        <v>25</v>
      </c>
      <c r="C18" s="5">
        <f>IF(B7="Dense",20*B6,10*B6)</f>
        <v>3</v>
      </c>
      <c r="D18" s="5" t="s">
        <v>4</v>
      </c>
    </row>
    <row r="20" spans="1:4" x14ac:dyDescent="0.3">
      <c r="A20" s="5" t="s">
        <v>24</v>
      </c>
    </row>
    <row r="21" spans="1:4" ht="15.6" x14ac:dyDescent="0.3">
      <c r="B21" s="5" t="s">
        <v>26</v>
      </c>
      <c r="C21" s="9">
        <f>B11*B8</f>
        <v>0</v>
      </c>
      <c r="D21" s="5" t="s">
        <v>3</v>
      </c>
    </row>
    <row r="22" spans="1:4" ht="15.6" x14ac:dyDescent="0.3">
      <c r="B22" s="5" t="s">
        <v>27</v>
      </c>
      <c r="C22" s="5">
        <f>C21+(B9-9.81)*(C18-B11)</f>
        <v>-29.43</v>
      </c>
      <c r="D22" s="5" t="s">
        <v>3</v>
      </c>
    </row>
    <row r="23" spans="1:4" x14ac:dyDescent="0.3">
      <c r="B23" s="5" t="s">
        <v>28</v>
      </c>
      <c r="C23" s="5">
        <f>IF(AND(B11=0,B9=0),C18*B8,C22)</f>
        <v>60</v>
      </c>
      <c r="D23" s="5" t="s">
        <v>3</v>
      </c>
    </row>
    <row r="25" spans="1:4" x14ac:dyDescent="0.3">
      <c r="A25" s="5" t="s">
        <v>29</v>
      </c>
    </row>
    <row r="26" spans="1:4" ht="15.6" x14ac:dyDescent="0.3">
      <c r="B26" s="5" t="s">
        <v>31</v>
      </c>
      <c r="C26" s="8">
        <f>C23*B13*IF(B5="Circle",0.25*PI()*B6^2,B6^2)</f>
        <v>339.29200658769764</v>
      </c>
      <c r="D26" s="5" t="s">
        <v>30</v>
      </c>
    </row>
    <row r="28" spans="1:4" x14ac:dyDescent="0.3">
      <c r="A28" s="5" t="s">
        <v>34</v>
      </c>
    </row>
    <row r="29" spans="1:4" x14ac:dyDescent="0.3">
      <c r="B29" s="5" t="s">
        <v>35</v>
      </c>
      <c r="C29" s="9">
        <f>IF(B5="Circle",B6*PI(),4*B6)</f>
        <v>0.94247779607693793</v>
      </c>
      <c r="D29" s="5" t="s">
        <v>4</v>
      </c>
    </row>
    <row r="31" spans="1:4" x14ac:dyDescent="0.3">
      <c r="A31" s="5" t="s">
        <v>33</v>
      </c>
    </row>
    <row r="32" spans="1:4" ht="15.6" x14ac:dyDescent="0.3">
      <c r="B32" s="5" t="s">
        <v>32</v>
      </c>
      <c r="C32" s="5">
        <f>IF(AND(B9=0,B11=0),((C23*C18/2)+C23*(B10-C18)),((C21*(B11)/2)+((C21+C22)/2)*(C18-B11)+(C22)*(B10-C18)))</f>
        <v>630</v>
      </c>
    </row>
    <row r="34" spans="1:4" x14ac:dyDescent="0.3">
      <c r="A34" s="5" t="s">
        <v>36</v>
      </c>
    </row>
    <row r="35" spans="1:4" ht="15.6" x14ac:dyDescent="0.3">
      <c r="B35" s="5" t="s">
        <v>38</v>
      </c>
      <c r="C35" s="8">
        <f>C29*C32*B14*B12</f>
        <v>213.75396415024954</v>
      </c>
      <c r="D35" s="5" t="s">
        <v>30</v>
      </c>
    </row>
    <row r="37" spans="1:4" x14ac:dyDescent="0.3">
      <c r="A37" s="5" t="s">
        <v>39</v>
      </c>
    </row>
    <row r="38" spans="1:4" x14ac:dyDescent="0.3">
      <c r="B38" s="5" t="s">
        <v>40</v>
      </c>
      <c r="C38" s="8">
        <f>(C26+C35)</f>
        <v>553.04597073794719</v>
      </c>
      <c r="D38" s="5" t="s">
        <v>30</v>
      </c>
    </row>
    <row r="40" spans="1:4" x14ac:dyDescent="0.3">
      <c r="A40" s="5" t="s">
        <v>41</v>
      </c>
    </row>
    <row r="41" spans="1:4" x14ac:dyDescent="0.3">
      <c r="B41" s="5" t="s">
        <v>42</v>
      </c>
      <c r="C41" s="8">
        <f>(C38/B15)</f>
        <v>170.16799099629145</v>
      </c>
      <c r="D41" s="5" t="s">
        <v>30</v>
      </c>
    </row>
    <row r="42" spans="1:4" ht="15" thickBot="1" x14ac:dyDescent="0.35"/>
    <row r="43" spans="1:4" ht="15.6" thickTop="1" thickBot="1" x14ac:dyDescent="0.35">
      <c r="A43" s="21" t="s">
        <v>43</v>
      </c>
      <c r="B43" s="22"/>
      <c r="C43" s="23"/>
    </row>
    <row r="44" spans="1:4" ht="15.6" thickTop="1" thickBot="1" x14ac:dyDescent="0.35">
      <c r="A44" s="10" t="s">
        <v>44</v>
      </c>
      <c r="B44" s="11">
        <f>C26</f>
        <v>339.29200658769764</v>
      </c>
      <c r="C44" s="12" t="s">
        <v>30</v>
      </c>
    </row>
    <row r="45" spans="1:4" ht="15.6" thickTop="1" thickBot="1" x14ac:dyDescent="0.35">
      <c r="A45" s="13" t="s">
        <v>45</v>
      </c>
      <c r="B45" s="14">
        <f>C35</f>
        <v>213.75396415024954</v>
      </c>
      <c r="C45" s="15" t="s">
        <v>30</v>
      </c>
    </row>
    <row r="46" spans="1:4" ht="15.6" thickTop="1" thickBot="1" x14ac:dyDescent="0.35">
      <c r="A46" s="10" t="s">
        <v>46</v>
      </c>
      <c r="B46" s="11">
        <f>C38</f>
        <v>553.04597073794719</v>
      </c>
      <c r="C46" s="12" t="s">
        <v>30</v>
      </c>
    </row>
    <row r="47" spans="1:4" ht="15.6" thickTop="1" thickBot="1" x14ac:dyDescent="0.35">
      <c r="A47" s="13" t="s">
        <v>47</v>
      </c>
      <c r="B47" s="14">
        <f>C41</f>
        <v>170.16799099629145</v>
      </c>
      <c r="C47" s="15" t="s">
        <v>30</v>
      </c>
    </row>
    <row r="48" spans="1:4" ht="15" thickTop="1" x14ac:dyDescent="0.3"/>
  </sheetData>
  <mergeCells count="2">
    <mergeCell ref="A1:B1"/>
    <mergeCell ref="A43:C43"/>
  </mergeCells>
  <dataValidations count="2">
    <dataValidation type="list" allowBlank="1" showInputMessage="1" showErrorMessage="1" sqref="B7" xr:uid="{354A928C-6AC1-459A-AEAA-1CBBF073308A}">
      <formula1>SAND</formula1>
    </dataValidation>
    <dataValidation type="list" allowBlank="1" showInputMessage="1" showErrorMessage="1" sqref="B5" xr:uid="{2EE745BD-698F-41D4-ADFE-DC08597A7077}">
      <formula1>SHAPE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4F4A-C7F2-4ABE-AA96-9B196C6E7E46}">
  <dimension ref="A3:C5"/>
  <sheetViews>
    <sheetView workbookViewId="0">
      <selection activeCell="C4" sqref="C4:C5"/>
    </sheetView>
  </sheetViews>
  <sheetFormatPr defaultRowHeight="14.4" x14ac:dyDescent="0.3"/>
  <sheetData>
    <row r="3" spans="1:3" x14ac:dyDescent="0.3">
      <c r="A3" t="s">
        <v>10</v>
      </c>
      <c r="C3" t="s">
        <v>19</v>
      </c>
    </row>
    <row r="4" spans="1:3" x14ac:dyDescent="0.3">
      <c r="A4" t="s">
        <v>9</v>
      </c>
      <c r="C4" t="s">
        <v>20</v>
      </c>
    </row>
    <row r="5" spans="1:3" x14ac:dyDescent="0.3">
      <c r="A5" t="s">
        <v>11</v>
      </c>
      <c r="C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397C-C592-442D-9CD9-D9780950919D}">
  <dimension ref="A1:D31"/>
  <sheetViews>
    <sheetView workbookViewId="0">
      <selection activeCell="C18" sqref="C18"/>
    </sheetView>
  </sheetViews>
  <sheetFormatPr defaultRowHeight="14.4" x14ac:dyDescent="0.3"/>
  <cols>
    <col min="1" max="1" width="33.77734375" customWidth="1"/>
    <col min="2" max="2" width="30.44140625" customWidth="1"/>
  </cols>
  <sheetData>
    <row r="1" spans="1:4" x14ac:dyDescent="0.3">
      <c r="A1" s="19" t="s">
        <v>62</v>
      </c>
      <c r="B1" s="20"/>
      <c r="C1" s="5"/>
    </row>
    <row r="2" spans="1:4" x14ac:dyDescent="0.3">
      <c r="A2" s="5"/>
      <c r="B2" s="5"/>
      <c r="C2" s="5"/>
    </row>
    <row r="3" spans="1:4" x14ac:dyDescent="0.3">
      <c r="A3" s="6" t="s">
        <v>0</v>
      </c>
      <c r="B3" s="6" t="s">
        <v>1</v>
      </c>
      <c r="C3" s="5" t="s">
        <v>2</v>
      </c>
    </row>
    <row r="4" spans="1:4" x14ac:dyDescent="0.3">
      <c r="A4" s="5"/>
      <c r="B4" s="1"/>
      <c r="C4" s="5"/>
    </row>
    <row r="5" spans="1:4" x14ac:dyDescent="0.3">
      <c r="A5" s="5" t="s">
        <v>8</v>
      </c>
      <c r="B5" s="3" t="s">
        <v>11</v>
      </c>
      <c r="C5" s="5"/>
    </row>
    <row r="6" spans="1:4" x14ac:dyDescent="0.3">
      <c r="A6" s="7" t="str">
        <f>IF(B5="Circle","Diameter (d)","Side Length (s)")</f>
        <v>Side Length (s)</v>
      </c>
      <c r="B6" s="4">
        <v>0.36</v>
      </c>
      <c r="C6" s="5" t="s">
        <v>4</v>
      </c>
    </row>
    <row r="7" spans="1:4" x14ac:dyDescent="0.3">
      <c r="A7" s="5" t="s">
        <v>48</v>
      </c>
      <c r="B7" s="2">
        <v>18.100000000000001</v>
      </c>
      <c r="C7" s="5" t="s">
        <v>6</v>
      </c>
    </row>
    <row r="8" spans="1:4" x14ac:dyDescent="0.3">
      <c r="A8" s="5" t="s">
        <v>12</v>
      </c>
      <c r="B8" s="2">
        <v>10.9</v>
      </c>
      <c r="C8" s="5" t="s">
        <v>4</v>
      </c>
    </row>
    <row r="9" spans="1:4" x14ac:dyDescent="0.3">
      <c r="A9" s="5" t="s">
        <v>51</v>
      </c>
      <c r="B9" s="2">
        <v>0.76</v>
      </c>
      <c r="C9" s="5"/>
    </row>
    <row r="10" spans="1:4" x14ac:dyDescent="0.3">
      <c r="A10" s="5" t="s">
        <v>50</v>
      </c>
      <c r="B10" s="2">
        <v>110</v>
      </c>
      <c r="C10" s="5" t="s">
        <v>3</v>
      </c>
    </row>
    <row r="11" spans="1:4" x14ac:dyDescent="0.3">
      <c r="A11" s="5" t="s">
        <v>49</v>
      </c>
      <c r="B11" s="2">
        <v>9</v>
      </c>
      <c r="C11" s="5"/>
    </row>
    <row r="12" spans="1:4" x14ac:dyDescent="0.3">
      <c r="A12" s="5" t="s">
        <v>16</v>
      </c>
      <c r="B12" s="2">
        <v>2</v>
      </c>
      <c r="C12" s="5"/>
    </row>
    <row r="13" spans="1:4" x14ac:dyDescent="0.3">
      <c r="C13" s="5"/>
    </row>
    <row r="14" spans="1:4" x14ac:dyDescent="0.3">
      <c r="A14" s="5" t="s">
        <v>52</v>
      </c>
      <c r="C14" s="5"/>
    </row>
    <row r="15" spans="1:4" ht="15.6" x14ac:dyDescent="0.35">
      <c r="B15" t="s">
        <v>58</v>
      </c>
      <c r="C15">
        <f>(B10/2)*B11*(IF(B5="Circle",PI()*(B6^2)*0.25,B6^2))</f>
        <v>64.152000000000001</v>
      </c>
      <c r="D15" t="s">
        <v>30</v>
      </c>
    </row>
    <row r="17" spans="1:4" x14ac:dyDescent="0.3">
      <c r="A17" t="s">
        <v>53</v>
      </c>
    </row>
    <row r="18" spans="1:4" ht="15.6" x14ac:dyDescent="0.35">
      <c r="B18" t="s">
        <v>59</v>
      </c>
      <c r="C18" s="16">
        <f>B9*(B10/2)*(IF(B5="Circle",PI()*B6,4*B6))*B8</f>
        <v>656.0927999999999</v>
      </c>
      <c r="D18" t="s">
        <v>30</v>
      </c>
    </row>
    <row r="20" spans="1:4" x14ac:dyDescent="0.3">
      <c r="A20" t="s">
        <v>54</v>
      </c>
    </row>
    <row r="21" spans="1:4" ht="15.6" x14ac:dyDescent="0.35">
      <c r="B21" t="s">
        <v>60</v>
      </c>
      <c r="C21" s="16">
        <f>(C15+C18)</f>
        <v>720.24479999999994</v>
      </c>
      <c r="D21" t="s">
        <v>30</v>
      </c>
    </row>
    <row r="23" spans="1:4" x14ac:dyDescent="0.3">
      <c r="A23" t="s">
        <v>57</v>
      </c>
    </row>
    <row r="24" spans="1:4" ht="15.6" x14ac:dyDescent="0.35">
      <c r="B24" t="s">
        <v>55</v>
      </c>
      <c r="C24" s="16">
        <f>C21/B12</f>
        <v>360.12239999999997</v>
      </c>
      <c r="D24" t="s">
        <v>30</v>
      </c>
    </row>
    <row r="25" spans="1:4" ht="15" thickBot="1" x14ac:dyDescent="0.35"/>
    <row r="26" spans="1:4" ht="15.6" thickTop="1" thickBot="1" x14ac:dyDescent="0.35">
      <c r="A26" s="21" t="s">
        <v>43</v>
      </c>
      <c r="B26" s="22"/>
      <c r="C26" s="23"/>
    </row>
    <row r="27" spans="1:4" ht="16.8" thickTop="1" thickBot="1" x14ac:dyDescent="0.4">
      <c r="A27" s="10" t="s">
        <v>61</v>
      </c>
      <c r="B27" s="11">
        <f>C15</f>
        <v>64.152000000000001</v>
      </c>
      <c r="C27" s="12" t="s">
        <v>30</v>
      </c>
    </row>
    <row r="28" spans="1:4" ht="16.8" thickTop="1" thickBot="1" x14ac:dyDescent="0.4">
      <c r="A28" s="13" t="s">
        <v>37</v>
      </c>
      <c r="B28" s="14">
        <f>C18</f>
        <v>656.0927999999999</v>
      </c>
      <c r="C28" s="15" t="s">
        <v>30</v>
      </c>
    </row>
    <row r="29" spans="1:4" ht="15.6" thickTop="1" thickBot="1" x14ac:dyDescent="0.35">
      <c r="A29" s="10" t="s">
        <v>104</v>
      </c>
      <c r="B29" s="11">
        <f>C21</f>
        <v>720.24479999999994</v>
      </c>
      <c r="C29" s="12" t="s">
        <v>30</v>
      </c>
    </row>
    <row r="30" spans="1:4" ht="15.6" thickTop="1" thickBot="1" x14ac:dyDescent="0.35">
      <c r="A30" s="13" t="s">
        <v>105</v>
      </c>
      <c r="B30" s="14">
        <f>C24</f>
        <v>360.12239999999997</v>
      </c>
      <c r="C30" s="15" t="s">
        <v>30</v>
      </c>
    </row>
    <row r="31" spans="1:4" ht="15" thickTop="1" x14ac:dyDescent="0.3"/>
  </sheetData>
  <mergeCells count="2">
    <mergeCell ref="A1:B1"/>
    <mergeCell ref="A26:C26"/>
  </mergeCells>
  <dataValidations count="1">
    <dataValidation type="list" allowBlank="1" showInputMessage="1" showErrorMessage="1" sqref="B5" xr:uid="{43CC7828-5822-4071-BBCE-734B3B10BBD9}">
      <formula1>SHAPE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0660-72A5-443A-8F08-4B28159CF979}">
  <dimension ref="A1:D21"/>
  <sheetViews>
    <sheetView workbookViewId="0">
      <selection activeCell="B5" sqref="B5"/>
    </sheetView>
  </sheetViews>
  <sheetFormatPr defaultRowHeight="14.4" x14ac:dyDescent="0.3"/>
  <cols>
    <col min="1" max="1" width="27.88671875" customWidth="1"/>
    <col min="2" max="2" width="28" customWidth="1"/>
  </cols>
  <sheetData>
    <row r="1" spans="1:3" x14ac:dyDescent="0.3">
      <c r="A1" s="19" t="s">
        <v>69</v>
      </c>
      <c r="B1" s="20"/>
    </row>
    <row r="3" spans="1:3" x14ac:dyDescent="0.3">
      <c r="A3" s="6" t="s">
        <v>0</v>
      </c>
      <c r="B3" s="6" t="s">
        <v>1</v>
      </c>
      <c r="C3" s="5" t="s">
        <v>2</v>
      </c>
    </row>
    <row r="4" spans="1:3" x14ac:dyDescent="0.3">
      <c r="A4" s="5"/>
      <c r="B4" s="1"/>
      <c r="C4" s="5"/>
    </row>
    <row r="5" spans="1:3" x14ac:dyDescent="0.3">
      <c r="A5" s="5" t="s">
        <v>8</v>
      </c>
      <c r="B5" s="3" t="s">
        <v>9</v>
      </c>
      <c r="C5" s="5"/>
    </row>
    <row r="6" spans="1:3" x14ac:dyDescent="0.3">
      <c r="A6" s="7" t="str">
        <f>IF(B5="Circle","Diameter (d)","Side Length (s)")</f>
        <v>Diameter (d)</v>
      </c>
      <c r="B6" s="4">
        <v>0.4</v>
      </c>
      <c r="C6" s="5" t="s">
        <v>4</v>
      </c>
    </row>
    <row r="7" spans="1:3" x14ac:dyDescent="0.3">
      <c r="A7" s="5" t="s">
        <v>48</v>
      </c>
      <c r="B7" s="2">
        <v>18</v>
      </c>
      <c r="C7" s="5" t="s">
        <v>6</v>
      </c>
    </row>
    <row r="8" spans="1:3" x14ac:dyDescent="0.3">
      <c r="A8" s="5" t="s">
        <v>7</v>
      </c>
      <c r="B8" s="2">
        <v>24</v>
      </c>
      <c r="C8" s="5" t="s">
        <v>6</v>
      </c>
    </row>
    <row r="9" spans="1:3" x14ac:dyDescent="0.3">
      <c r="A9" s="5" t="s">
        <v>12</v>
      </c>
      <c r="B9" s="2">
        <v>12</v>
      </c>
      <c r="C9" s="5" t="s">
        <v>4</v>
      </c>
    </row>
    <row r="10" spans="1:3" x14ac:dyDescent="0.3">
      <c r="A10" s="5" t="s">
        <v>13</v>
      </c>
      <c r="B10" s="2">
        <v>4</v>
      </c>
      <c r="C10" s="5" t="s">
        <v>4</v>
      </c>
    </row>
    <row r="11" spans="1:3" ht="15.6" x14ac:dyDescent="0.3">
      <c r="A11" s="5" t="s">
        <v>65</v>
      </c>
      <c r="B11" s="2">
        <v>30</v>
      </c>
      <c r="C11" s="5" t="s">
        <v>3</v>
      </c>
    </row>
    <row r="12" spans="1:3" ht="15.6" x14ac:dyDescent="0.3">
      <c r="A12" s="5" t="s">
        <v>66</v>
      </c>
      <c r="B12" s="2">
        <v>120</v>
      </c>
      <c r="C12" s="5" t="s">
        <v>3</v>
      </c>
    </row>
    <row r="13" spans="1:3" ht="15.6" x14ac:dyDescent="0.3">
      <c r="A13" s="5" t="s">
        <v>63</v>
      </c>
      <c r="B13" s="2">
        <v>0.6</v>
      </c>
    </row>
    <row r="14" spans="1:3" ht="15.6" x14ac:dyDescent="0.3">
      <c r="A14" s="5" t="s">
        <v>64</v>
      </c>
      <c r="B14" s="2">
        <v>0.5</v>
      </c>
    </row>
    <row r="16" spans="1:3" x14ac:dyDescent="0.3">
      <c r="A16" s="5" t="s">
        <v>67</v>
      </c>
    </row>
    <row r="17" spans="1:4" ht="15.6" x14ac:dyDescent="0.35">
      <c r="B17" t="s">
        <v>68</v>
      </c>
      <c r="C17" s="17">
        <f>(B13*B11*(IF(B5="Circle",PI()*B6,4*B6))*B10)+(B14*B12*(IF(B5="Circle",PI()*B6,4*B6))*(B9-B10))</f>
        <v>693.66365791262638</v>
      </c>
      <c r="D17" t="s">
        <v>30</v>
      </c>
    </row>
    <row r="18" spans="1:4" ht="15" thickBot="1" x14ac:dyDescent="0.35"/>
    <row r="19" spans="1:4" ht="15.6" thickTop="1" thickBot="1" x14ac:dyDescent="0.35">
      <c r="A19" s="21" t="s">
        <v>43</v>
      </c>
      <c r="B19" s="22"/>
      <c r="C19" s="23"/>
    </row>
    <row r="20" spans="1:4" ht="16.8" thickTop="1" thickBot="1" x14ac:dyDescent="0.4">
      <c r="A20" s="13" t="s">
        <v>70</v>
      </c>
      <c r="B20" s="14">
        <f>C17</f>
        <v>693.66365791262638</v>
      </c>
      <c r="C20" s="12" t="s">
        <v>30</v>
      </c>
    </row>
    <row r="21" spans="1:4" ht="15" thickTop="1" x14ac:dyDescent="0.3"/>
  </sheetData>
  <mergeCells count="2">
    <mergeCell ref="A1:B1"/>
    <mergeCell ref="A19:C19"/>
  </mergeCells>
  <dataValidations count="1">
    <dataValidation type="list" allowBlank="1" showInputMessage="1" showErrorMessage="1" sqref="B5" xr:uid="{D0CECF5A-6363-42FC-B87C-1580280035D0}">
      <formula1>SHAPE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DF5B2-2290-4129-85E1-F0354798FEF6}">
  <dimension ref="A1:D26"/>
  <sheetViews>
    <sheetView workbookViewId="0">
      <selection sqref="A1:B1"/>
    </sheetView>
  </sheetViews>
  <sheetFormatPr defaultRowHeight="14.4" x14ac:dyDescent="0.3"/>
  <cols>
    <col min="1" max="1" width="34" customWidth="1"/>
    <col min="2" max="2" width="29.6640625" customWidth="1"/>
  </cols>
  <sheetData>
    <row r="1" spans="1:4" x14ac:dyDescent="0.3">
      <c r="A1" s="19" t="s">
        <v>79</v>
      </c>
      <c r="B1" s="20"/>
    </row>
    <row r="3" spans="1:4" x14ac:dyDescent="0.3">
      <c r="A3" s="6" t="s">
        <v>0</v>
      </c>
      <c r="B3" s="6" t="s">
        <v>1</v>
      </c>
      <c r="C3" s="5" t="s">
        <v>2</v>
      </c>
    </row>
    <row r="4" spans="1:4" x14ac:dyDescent="0.3">
      <c r="A4" s="5"/>
      <c r="B4" s="1"/>
      <c r="C4" s="5"/>
    </row>
    <row r="5" spans="1:4" x14ac:dyDescent="0.3">
      <c r="A5" s="5" t="s">
        <v>8</v>
      </c>
      <c r="B5" s="3" t="s">
        <v>11</v>
      </c>
      <c r="C5" s="5"/>
    </row>
    <row r="6" spans="1:4" x14ac:dyDescent="0.3">
      <c r="A6" s="7" t="str">
        <f>IF(B5="Circle","Diameter (d)","Side Length (s)")</f>
        <v>Side Length (s)</v>
      </c>
      <c r="B6" s="4">
        <v>0.36</v>
      </c>
      <c r="C6" s="5" t="s">
        <v>4</v>
      </c>
    </row>
    <row r="7" spans="1:4" x14ac:dyDescent="0.3">
      <c r="A7" s="5" t="s">
        <v>48</v>
      </c>
      <c r="B7" s="2">
        <v>18.100000000000001</v>
      </c>
      <c r="C7" s="5" t="s">
        <v>6</v>
      </c>
    </row>
    <row r="8" spans="1:4" x14ac:dyDescent="0.3">
      <c r="A8" s="5" t="s">
        <v>12</v>
      </c>
      <c r="B8" s="2">
        <v>10.9</v>
      </c>
      <c r="C8" s="5" t="s">
        <v>4</v>
      </c>
    </row>
    <row r="9" spans="1:4" x14ac:dyDescent="0.3">
      <c r="A9" s="5" t="s">
        <v>80</v>
      </c>
      <c r="B9" s="2">
        <v>0.14000000000000001</v>
      </c>
      <c r="C9" s="5"/>
    </row>
    <row r="10" spans="1:4" x14ac:dyDescent="0.3">
      <c r="A10" s="5" t="s">
        <v>50</v>
      </c>
      <c r="B10" s="2">
        <v>110</v>
      </c>
      <c r="C10" s="5" t="s">
        <v>3</v>
      </c>
    </row>
    <row r="11" spans="1:4" x14ac:dyDescent="0.3">
      <c r="A11" s="5"/>
      <c r="B11" s="18"/>
      <c r="C11" s="5"/>
    </row>
    <row r="12" spans="1:4" x14ac:dyDescent="0.3">
      <c r="A12" s="5" t="s">
        <v>71</v>
      </c>
    </row>
    <row r="13" spans="1:4" x14ac:dyDescent="0.3">
      <c r="B13" t="s">
        <v>72</v>
      </c>
      <c r="C13">
        <f>IF(B5="Circle",PI()*B6,4*B6)</f>
        <v>1.44</v>
      </c>
      <c r="D13" t="s">
        <v>4</v>
      </c>
    </row>
    <row r="15" spans="1:4" x14ac:dyDescent="0.3">
      <c r="A15" t="s">
        <v>73</v>
      </c>
    </row>
    <row r="16" spans="1:4" ht="15.6" x14ac:dyDescent="0.35">
      <c r="B16" t="s">
        <v>74</v>
      </c>
      <c r="C16">
        <f>B7*B8/2</f>
        <v>98.64500000000001</v>
      </c>
      <c r="D16" t="s">
        <v>3</v>
      </c>
    </row>
    <row r="18" spans="1:4" x14ac:dyDescent="0.3">
      <c r="A18" t="s">
        <v>75</v>
      </c>
    </row>
    <row r="19" spans="1:4" x14ac:dyDescent="0.3">
      <c r="B19" t="s">
        <v>76</v>
      </c>
      <c r="C19">
        <f>B10/2</f>
        <v>55</v>
      </c>
      <c r="D19" t="s">
        <v>3</v>
      </c>
    </row>
    <row r="21" spans="1:4" x14ac:dyDescent="0.3">
      <c r="A21" t="s">
        <v>77</v>
      </c>
    </row>
    <row r="22" spans="1:4" ht="15.6" x14ac:dyDescent="0.35">
      <c r="B22" t="s">
        <v>78</v>
      </c>
      <c r="C22">
        <f>C13*B8*B9*(C16+2*C19)</f>
        <v>458.48486880000007</v>
      </c>
    </row>
    <row r="23" spans="1:4" ht="15" thickBot="1" x14ac:dyDescent="0.35"/>
    <row r="24" spans="1:4" ht="15.6" thickTop="1" thickBot="1" x14ac:dyDescent="0.35">
      <c r="A24" s="21" t="s">
        <v>43</v>
      </c>
      <c r="B24" s="22"/>
      <c r="C24" s="23"/>
    </row>
    <row r="25" spans="1:4" ht="16.8" thickTop="1" thickBot="1" x14ac:dyDescent="0.4">
      <c r="A25" s="13" t="s">
        <v>81</v>
      </c>
      <c r="B25" s="14">
        <f>C22</f>
        <v>458.48486880000007</v>
      </c>
      <c r="C25" s="12" t="s">
        <v>30</v>
      </c>
    </row>
    <row r="26" spans="1:4" ht="15" thickTop="1" x14ac:dyDescent="0.3"/>
  </sheetData>
  <mergeCells count="2">
    <mergeCell ref="A1:B1"/>
    <mergeCell ref="A24:C24"/>
  </mergeCells>
  <dataValidations disablePrompts="1" count="1">
    <dataValidation type="list" allowBlank="1" showInputMessage="1" showErrorMessage="1" sqref="B5" xr:uid="{DF606634-FF0E-480A-B68C-3DC2B0F20034}">
      <formula1>SHAPE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5D943-B044-452A-8A66-8E3A660DB1A1}">
  <dimension ref="A1:D30"/>
  <sheetViews>
    <sheetView topLeftCell="A15" workbookViewId="0">
      <selection activeCell="A28" sqref="A28:C29"/>
    </sheetView>
  </sheetViews>
  <sheetFormatPr defaultRowHeight="14.4" x14ac:dyDescent="0.3"/>
  <cols>
    <col min="1" max="1" width="28.109375" customWidth="1"/>
    <col min="2" max="2" width="29" customWidth="1"/>
  </cols>
  <sheetData>
    <row r="1" spans="1:3" x14ac:dyDescent="0.3">
      <c r="A1" s="19" t="s">
        <v>82</v>
      </c>
      <c r="B1" s="20"/>
    </row>
    <row r="3" spans="1:3" x14ac:dyDescent="0.3">
      <c r="A3" s="6" t="s">
        <v>0</v>
      </c>
      <c r="B3" s="6" t="s">
        <v>1</v>
      </c>
      <c r="C3" s="5" t="s">
        <v>2</v>
      </c>
    </row>
    <row r="4" spans="1:3" x14ac:dyDescent="0.3">
      <c r="A4" s="5"/>
      <c r="B4" s="1"/>
      <c r="C4" s="5"/>
    </row>
    <row r="5" spans="1:3" x14ac:dyDescent="0.3">
      <c r="A5" s="5" t="s">
        <v>8</v>
      </c>
      <c r="B5" s="3" t="s">
        <v>11</v>
      </c>
      <c r="C5" s="5"/>
    </row>
    <row r="6" spans="1:3" x14ac:dyDescent="0.3">
      <c r="A6" s="7" t="str">
        <f>IF(B5="Circle","Diameter (d)","Side Length (s)")</f>
        <v>Side Length (s)</v>
      </c>
      <c r="B6" s="4">
        <v>0.3</v>
      </c>
      <c r="C6" s="5" t="s">
        <v>4</v>
      </c>
    </row>
    <row r="7" spans="1:3" x14ac:dyDescent="0.3">
      <c r="A7" s="5" t="s">
        <v>48</v>
      </c>
      <c r="B7" s="2">
        <v>18</v>
      </c>
      <c r="C7" s="5" t="s">
        <v>6</v>
      </c>
    </row>
    <row r="8" spans="1:3" x14ac:dyDescent="0.3">
      <c r="A8" s="5" t="s">
        <v>7</v>
      </c>
      <c r="B8" s="2">
        <v>20</v>
      </c>
      <c r="C8" s="5" t="s">
        <v>6</v>
      </c>
    </row>
    <row r="9" spans="1:3" x14ac:dyDescent="0.3">
      <c r="A9" s="5" t="s">
        <v>12</v>
      </c>
      <c r="B9" s="2">
        <v>10</v>
      </c>
      <c r="C9" s="5" t="s">
        <v>4</v>
      </c>
    </row>
    <row r="10" spans="1:3" x14ac:dyDescent="0.3">
      <c r="A10" s="5" t="s">
        <v>13</v>
      </c>
      <c r="B10" s="2">
        <v>4</v>
      </c>
      <c r="C10" s="5" t="s">
        <v>4</v>
      </c>
    </row>
    <row r="11" spans="1:3" ht="15.6" x14ac:dyDescent="0.3">
      <c r="A11" s="5" t="s">
        <v>65</v>
      </c>
      <c r="B11" s="2">
        <v>30</v>
      </c>
      <c r="C11" s="5" t="s">
        <v>3</v>
      </c>
    </row>
    <row r="12" spans="1:3" ht="15.6" x14ac:dyDescent="0.3">
      <c r="A12" s="5" t="s">
        <v>66</v>
      </c>
      <c r="B12" s="2">
        <v>60</v>
      </c>
      <c r="C12" s="5" t="s">
        <v>3</v>
      </c>
    </row>
    <row r="13" spans="1:3" ht="15.6" x14ac:dyDescent="0.3">
      <c r="A13" s="5" t="s">
        <v>83</v>
      </c>
      <c r="B13" s="2">
        <v>0.12</v>
      </c>
    </row>
    <row r="14" spans="1:3" ht="15.6" x14ac:dyDescent="0.3">
      <c r="A14" s="5" t="s">
        <v>84</v>
      </c>
      <c r="B14" s="2">
        <v>0.14000000000000001</v>
      </c>
    </row>
    <row r="16" spans="1:3" x14ac:dyDescent="0.3">
      <c r="A16" s="5" t="s">
        <v>71</v>
      </c>
    </row>
    <row r="17" spans="1:4" x14ac:dyDescent="0.3">
      <c r="B17" t="s">
        <v>85</v>
      </c>
      <c r="C17">
        <f>IF(B5="Circle",PI()*B6,4*B6)</f>
        <v>1.2</v>
      </c>
    </row>
    <row r="19" spans="1:4" x14ac:dyDescent="0.3">
      <c r="A19" t="s">
        <v>86</v>
      </c>
    </row>
    <row r="20" spans="1:4" ht="15.6" x14ac:dyDescent="0.35">
      <c r="B20" t="s">
        <v>87</v>
      </c>
      <c r="C20">
        <f>(C17*B10*B13*(B7*(B10/2)+2*B11))</f>
        <v>55.295999999999992</v>
      </c>
      <c r="D20" t="s">
        <v>30</v>
      </c>
    </row>
    <row r="22" spans="1:4" x14ac:dyDescent="0.3">
      <c r="A22" t="s">
        <v>88</v>
      </c>
    </row>
    <row r="23" spans="1:4" ht="15.6" x14ac:dyDescent="0.35">
      <c r="B23" t="s">
        <v>89</v>
      </c>
      <c r="C23" s="16">
        <f>C17*(B9-B10)*B14*((B7*B10+(B8-9.81)*((B9-B10)/2))+2*B12)</f>
        <v>224.35056</v>
      </c>
      <c r="D23" t="s">
        <v>30</v>
      </c>
    </row>
    <row r="25" spans="1:4" x14ac:dyDescent="0.3">
      <c r="A25" t="s">
        <v>90</v>
      </c>
    </row>
    <row r="26" spans="1:4" ht="15.6" x14ac:dyDescent="0.35">
      <c r="B26" t="s">
        <v>78</v>
      </c>
      <c r="C26" s="16">
        <f>C20+C23</f>
        <v>279.64656000000002</v>
      </c>
      <c r="D26" t="s">
        <v>30</v>
      </c>
    </row>
    <row r="27" spans="1:4" ht="15" thickBot="1" x14ac:dyDescent="0.35"/>
    <row r="28" spans="1:4" ht="15.6" thickTop="1" thickBot="1" x14ac:dyDescent="0.35">
      <c r="A28" s="21" t="s">
        <v>43</v>
      </c>
      <c r="B28" s="22"/>
      <c r="C28" s="23"/>
    </row>
    <row r="29" spans="1:4" ht="16.8" thickTop="1" thickBot="1" x14ac:dyDescent="0.4">
      <c r="A29" s="13" t="s">
        <v>81</v>
      </c>
      <c r="B29" s="14">
        <f>C26</f>
        <v>279.64656000000002</v>
      </c>
      <c r="C29" s="12" t="s">
        <v>30</v>
      </c>
    </row>
    <row r="30" spans="1:4" ht="15" thickTop="1" x14ac:dyDescent="0.3"/>
  </sheetData>
  <mergeCells count="2">
    <mergeCell ref="A1:B1"/>
    <mergeCell ref="A28:C28"/>
  </mergeCells>
  <dataValidations count="1">
    <dataValidation type="list" allowBlank="1" showInputMessage="1" showErrorMessage="1" sqref="B5" xr:uid="{7AB89441-4F9C-4781-AD90-232A8BDF8336}">
      <formula1>SHAPE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C4E7-2481-4428-B4AF-623F1C3099E6}">
  <dimension ref="A1:D23"/>
  <sheetViews>
    <sheetView workbookViewId="0">
      <selection activeCell="H21" sqref="H21"/>
    </sheetView>
  </sheetViews>
  <sheetFormatPr defaultRowHeight="14.4" x14ac:dyDescent="0.3"/>
  <cols>
    <col min="1" max="1" width="33.6640625" customWidth="1"/>
    <col min="2" max="2" width="30.109375" customWidth="1"/>
  </cols>
  <sheetData>
    <row r="1" spans="1:4" x14ac:dyDescent="0.3">
      <c r="A1" s="19" t="s">
        <v>93</v>
      </c>
      <c r="B1" s="20"/>
    </row>
    <row r="3" spans="1:4" x14ac:dyDescent="0.3">
      <c r="A3" s="6" t="s">
        <v>0</v>
      </c>
      <c r="B3" s="6" t="s">
        <v>1</v>
      </c>
      <c r="C3" s="5" t="s">
        <v>2</v>
      </c>
    </row>
    <row r="4" spans="1:4" x14ac:dyDescent="0.3">
      <c r="A4" s="5"/>
      <c r="B4" s="1"/>
      <c r="C4" s="5"/>
    </row>
    <row r="5" spans="1:4" x14ac:dyDescent="0.3">
      <c r="A5" s="5" t="s">
        <v>8</v>
      </c>
      <c r="B5" s="3" t="s">
        <v>11</v>
      </c>
      <c r="C5" s="5"/>
    </row>
    <row r="6" spans="1:4" x14ac:dyDescent="0.3">
      <c r="A6" s="7" t="str">
        <f>IF(B5="Circle","Diameter (d)","Side Length (s)")</f>
        <v>Side Length (s)</v>
      </c>
      <c r="B6" s="4">
        <v>0.36</v>
      </c>
      <c r="C6" s="5" t="s">
        <v>4</v>
      </c>
    </row>
    <row r="7" spans="1:4" x14ac:dyDescent="0.3">
      <c r="A7" s="5" t="s">
        <v>48</v>
      </c>
      <c r="B7" s="2">
        <v>18.100000000000001</v>
      </c>
      <c r="C7" s="5" t="s">
        <v>6</v>
      </c>
    </row>
    <row r="8" spans="1:4" x14ac:dyDescent="0.3">
      <c r="A8" s="5" t="s">
        <v>12</v>
      </c>
      <c r="B8" s="2">
        <v>10.9</v>
      </c>
      <c r="C8" s="5" t="s">
        <v>4</v>
      </c>
    </row>
    <row r="9" spans="1:4" ht="15.6" x14ac:dyDescent="0.3">
      <c r="A9" s="5" t="s">
        <v>91</v>
      </c>
      <c r="B9" s="2">
        <v>30</v>
      </c>
      <c r="C9" s="5" t="s">
        <v>92</v>
      </c>
    </row>
    <row r="10" spans="1:4" x14ac:dyDescent="0.3">
      <c r="A10" s="5" t="s">
        <v>94</v>
      </c>
      <c r="B10" s="2">
        <v>0</v>
      </c>
      <c r="C10" s="5"/>
    </row>
    <row r="12" spans="1:4" x14ac:dyDescent="0.3">
      <c r="A12" s="5" t="s">
        <v>71</v>
      </c>
    </row>
    <row r="13" spans="1:4" x14ac:dyDescent="0.3">
      <c r="B13" t="s">
        <v>95</v>
      </c>
      <c r="C13">
        <f>IF(B5="Circle",PI()*B6,4*B6)</f>
        <v>1.44</v>
      </c>
      <c r="D13" t="s">
        <v>4</v>
      </c>
    </row>
    <row r="15" spans="1:4" x14ac:dyDescent="0.3">
      <c r="A15" t="s">
        <v>96</v>
      </c>
    </row>
    <row r="16" spans="1:4" x14ac:dyDescent="0.3">
      <c r="B16" t="s">
        <v>97</v>
      </c>
      <c r="C16">
        <f>IF(B10=0,(1-SIN(RADIANS(B9)))*TAN(RADIANS(B9)),(1-SIN(RADIANS(B9)))*TAN(RADIANS(B9))*SQRT(B10))</f>
        <v>0.28867513459481287</v>
      </c>
    </row>
    <row r="18" spans="1:4" x14ac:dyDescent="0.3">
      <c r="A18" t="s">
        <v>98</v>
      </c>
    </row>
    <row r="19" spans="1:4" ht="15.6" x14ac:dyDescent="0.35">
      <c r="B19" t="s">
        <v>78</v>
      </c>
      <c r="C19" s="16">
        <f>C13*B8*C16*(B7*B8/2)</f>
        <v>446.96492540344508</v>
      </c>
      <c r="D19" t="s">
        <v>30</v>
      </c>
    </row>
    <row r="20" spans="1:4" ht="15" thickBot="1" x14ac:dyDescent="0.35"/>
    <row r="21" spans="1:4" ht="15.6" thickTop="1" thickBot="1" x14ac:dyDescent="0.35">
      <c r="A21" s="21" t="s">
        <v>43</v>
      </c>
      <c r="B21" s="22"/>
      <c r="C21" s="23"/>
    </row>
    <row r="22" spans="1:4" ht="16.8" thickTop="1" thickBot="1" x14ac:dyDescent="0.4">
      <c r="A22" s="13" t="s">
        <v>81</v>
      </c>
      <c r="B22" s="14">
        <f>C19</f>
        <v>446.96492540344508</v>
      </c>
      <c r="C22" s="12" t="s">
        <v>30</v>
      </c>
    </row>
    <row r="23" spans="1:4" ht="15" thickTop="1" x14ac:dyDescent="0.3"/>
  </sheetData>
  <mergeCells count="2">
    <mergeCell ref="A1:B1"/>
    <mergeCell ref="A21:C21"/>
  </mergeCells>
  <dataValidations count="1">
    <dataValidation type="list" allowBlank="1" showInputMessage="1" showErrorMessage="1" sqref="B5" xr:uid="{68DC0162-0591-49A6-9F55-C78EFD81DD48}">
      <formula1>SHAPE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8D36-DF3E-4BD8-AB0E-E93E145A990D}">
  <dimension ref="A1:D29"/>
  <sheetViews>
    <sheetView topLeftCell="A12" workbookViewId="0">
      <selection activeCell="F24" sqref="F24"/>
    </sheetView>
  </sheetViews>
  <sheetFormatPr defaultRowHeight="14.4" x14ac:dyDescent="0.3"/>
  <cols>
    <col min="1" max="1" width="30.77734375" customWidth="1"/>
    <col min="2" max="2" width="34.5546875" customWidth="1"/>
  </cols>
  <sheetData>
    <row r="1" spans="1:4" x14ac:dyDescent="0.3">
      <c r="A1" s="19" t="s">
        <v>99</v>
      </c>
      <c r="B1" s="20"/>
    </row>
    <row r="3" spans="1:4" x14ac:dyDescent="0.3">
      <c r="A3" s="6" t="s">
        <v>0</v>
      </c>
      <c r="B3" s="6" t="s">
        <v>1</v>
      </c>
      <c r="C3" s="5" t="s">
        <v>2</v>
      </c>
    </row>
    <row r="4" spans="1:4" x14ac:dyDescent="0.3">
      <c r="A4" s="5"/>
      <c r="B4" s="1"/>
      <c r="C4" s="5"/>
    </row>
    <row r="5" spans="1:4" x14ac:dyDescent="0.3">
      <c r="A5" s="5" t="s">
        <v>8</v>
      </c>
      <c r="B5" s="3" t="s">
        <v>9</v>
      </c>
      <c r="C5" s="5"/>
    </row>
    <row r="6" spans="1:4" x14ac:dyDescent="0.3">
      <c r="A6" s="7" t="str">
        <f>IF(B5="Circle","Diameter (d)","Side Length (s)")</f>
        <v>Diameter (d)</v>
      </c>
      <c r="B6" s="4">
        <v>0.4</v>
      </c>
      <c r="C6" s="5" t="s">
        <v>4</v>
      </c>
    </row>
    <row r="7" spans="1:4" x14ac:dyDescent="0.3">
      <c r="A7" s="5" t="s">
        <v>48</v>
      </c>
      <c r="B7" s="2">
        <v>18</v>
      </c>
      <c r="C7" s="5" t="s">
        <v>6</v>
      </c>
    </row>
    <row r="8" spans="1:4" x14ac:dyDescent="0.3">
      <c r="A8" s="5" t="s">
        <v>7</v>
      </c>
      <c r="B8" s="2">
        <v>24</v>
      </c>
      <c r="C8" s="5" t="s">
        <v>6</v>
      </c>
    </row>
    <row r="9" spans="1:4" x14ac:dyDescent="0.3">
      <c r="A9" s="5" t="s">
        <v>12</v>
      </c>
      <c r="B9" s="2">
        <v>12</v>
      </c>
      <c r="C9" s="5" t="s">
        <v>4</v>
      </c>
    </row>
    <row r="10" spans="1:4" x14ac:dyDescent="0.3">
      <c r="A10" s="5" t="s">
        <v>13</v>
      </c>
      <c r="B10" s="2">
        <v>4</v>
      </c>
      <c r="C10" s="5" t="s">
        <v>4</v>
      </c>
    </row>
    <row r="11" spans="1:4" ht="15.6" x14ac:dyDescent="0.3">
      <c r="A11" s="5" t="s">
        <v>100</v>
      </c>
      <c r="B11" s="2">
        <v>30</v>
      </c>
      <c r="C11" s="5" t="s">
        <v>92</v>
      </c>
    </row>
    <row r="12" spans="1:4" ht="15.6" x14ac:dyDescent="0.3">
      <c r="A12" s="5" t="s">
        <v>101</v>
      </c>
      <c r="B12" s="2">
        <v>30</v>
      </c>
      <c r="C12" s="5" t="s">
        <v>92</v>
      </c>
    </row>
    <row r="13" spans="1:4" x14ac:dyDescent="0.3">
      <c r="A13" s="5" t="s">
        <v>94</v>
      </c>
      <c r="B13" s="2">
        <v>2</v>
      </c>
      <c r="C13" s="5"/>
    </row>
    <row r="15" spans="1:4" x14ac:dyDescent="0.3">
      <c r="A15" s="5" t="s">
        <v>71</v>
      </c>
    </row>
    <row r="16" spans="1:4" x14ac:dyDescent="0.3">
      <c r="B16" t="s">
        <v>95</v>
      </c>
      <c r="C16" s="17">
        <f>IF(B5="Circle",PI()*B6,4*B6)</f>
        <v>1.2566370614359172</v>
      </c>
      <c r="D16" t="s">
        <v>4</v>
      </c>
    </row>
    <row r="18" spans="1:4" x14ac:dyDescent="0.3">
      <c r="A18" t="s">
        <v>86</v>
      </c>
    </row>
    <row r="19" spans="1:4" ht="15.6" x14ac:dyDescent="0.35">
      <c r="B19" t="s">
        <v>87</v>
      </c>
      <c r="C19" s="16">
        <f>C16*(B10)*(1-SIN(RADIANS(B11)))*TAN(RADIANS(B11))*(B7*B10/2)</f>
        <v>52.237421689945464</v>
      </c>
      <c r="D19" t="s">
        <v>30</v>
      </c>
    </row>
    <row r="21" spans="1:4" x14ac:dyDescent="0.3">
      <c r="A21" t="s">
        <v>88</v>
      </c>
    </row>
    <row r="22" spans="1:4" ht="15.6" x14ac:dyDescent="0.35">
      <c r="B22" t="s">
        <v>89</v>
      </c>
      <c r="C22" s="16">
        <f>C16*(B9-B10)*(1-SIN(RADIANS(B12)))*TAN(RADIANS(B12))*SQRT(B13)*(B7*B10+(B8-9.81)*(B9-B10)/2)</f>
        <v>528.45157162125315</v>
      </c>
      <c r="D22" t="s">
        <v>30</v>
      </c>
    </row>
    <row r="24" spans="1:4" x14ac:dyDescent="0.3">
      <c r="A24" t="s">
        <v>90</v>
      </c>
    </row>
    <row r="25" spans="1:4" ht="15.6" x14ac:dyDescent="0.35">
      <c r="B25" t="s">
        <v>78</v>
      </c>
      <c r="C25" s="16">
        <f>C19+C22</f>
        <v>580.6889933111986</v>
      </c>
      <c r="D25" t="s">
        <v>30</v>
      </c>
    </row>
    <row r="26" spans="1:4" ht="15" thickBot="1" x14ac:dyDescent="0.35"/>
    <row r="27" spans="1:4" ht="15.6" thickTop="1" thickBot="1" x14ac:dyDescent="0.35">
      <c r="A27" s="21" t="s">
        <v>43</v>
      </c>
      <c r="B27" s="22"/>
      <c r="C27" s="23"/>
    </row>
    <row r="28" spans="1:4" ht="16.8" thickTop="1" thickBot="1" x14ac:dyDescent="0.4">
      <c r="A28" s="13" t="s">
        <v>81</v>
      </c>
      <c r="B28" s="14">
        <f>C25</f>
        <v>580.6889933111986</v>
      </c>
      <c r="C28" s="12" t="s">
        <v>30</v>
      </c>
    </row>
    <row r="29" spans="1:4" ht="15" thickTop="1" x14ac:dyDescent="0.3"/>
  </sheetData>
  <mergeCells count="2">
    <mergeCell ref="A1:B1"/>
    <mergeCell ref="A27:C27"/>
  </mergeCells>
  <dataValidations count="1">
    <dataValidation type="list" allowBlank="1" showInputMessage="1" showErrorMessage="1" sqref="B5" xr:uid="{89DDCE9D-730F-47F0-9320-4EEB3A0744A0}">
      <formula1>SHAPE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FA70-43E1-4DE5-838F-DB480AFEF5A1}">
  <dimension ref="A1:D29"/>
  <sheetViews>
    <sheetView topLeftCell="A7" workbookViewId="0">
      <selection activeCell="H16" sqref="H16"/>
    </sheetView>
  </sheetViews>
  <sheetFormatPr defaultRowHeight="14.4" x14ac:dyDescent="0.3"/>
  <cols>
    <col min="1" max="1" width="30.77734375" customWidth="1"/>
    <col min="2" max="2" width="34.5546875" customWidth="1"/>
  </cols>
  <sheetData>
    <row r="1" spans="1:4" x14ac:dyDescent="0.3">
      <c r="A1" s="19" t="s">
        <v>99</v>
      </c>
      <c r="B1" s="20"/>
    </row>
    <row r="3" spans="1:4" x14ac:dyDescent="0.3">
      <c r="A3" s="6" t="s">
        <v>0</v>
      </c>
      <c r="B3" s="6" t="s">
        <v>1</v>
      </c>
      <c r="C3" s="5" t="s">
        <v>2</v>
      </c>
    </row>
    <row r="4" spans="1:4" x14ac:dyDescent="0.3">
      <c r="A4" s="5"/>
      <c r="B4" s="1"/>
      <c r="C4" s="5"/>
    </row>
    <row r="5" spans="1:4" x14ac:dyDescent="0.3">
      <c r="A5" s="5" t="s">
        <v>8</v>
      </c>
      <c r="B5" s="3" t="s">
        <v>11</v>
      </c>
      <c r="C5" s="5"/>
    </row>
    <row r="6" spans="1:4" x14ac:dyDescent="0.3">
      <c r="A6" s="7" t="str">
        <f>IF(B5="Circle","Diameter (d)","Side Length (s)")</f>
        <v>Side Length (s)</v>
      </c>
      <c r="B6" s="4">
        <v>0.3</v>
      </c>
      <c r="C6" s="5" t="s">
        <v>4</v>
      </c>
    </row>
    <row r="7" spans="1:4" x14ac:dyDescent="0.3">
      <c r="A7" s="5" t="s">
        <v>48</v>
      </c>
      <c r="B7" s="2">
        <v>18</v>
      </c>
      <c r="C7" s="5" t="s">
        <v>6</v>
      </c>
    </row>
    <row r="8" spans="1:4" x14ac:dyDescent="0.3">
      <c r="A8" s="5" t="s">
        <v>7</v>
      </c>
      <c r="B8" s="2">
        <v>20</v>
      </c>
      <c r="C8" s="5" t="s">
        <v>6</v>
      </c>
    </row>
    <row r="9" spans="1:4" x14ac:dyDescent="0.3">
      <c r="A9" s="5" t="s">
        <v>12</v>
      </c>
      <c r="B9" s="2">
        <v>10</v>
      </c>
      <c r="C9" s="5" t="s">
        <v>4</v>
      </c>
    </row>
    <row r="10" spans="1:4" x14ac:dyDescent="0.3">
      <c r="A10" s="5" t="s">
        <v>13</v>
      </c>
      <c r="B10" s="2">
        <v>4</v>
      </c>
      <c r="C10" s="5" t="s">
        <v>4</v>
      </c>
    </row>
    <row r="11" spans="1:4" ht="15.6" x14ac:dyDescent="0.3">
      <c r="A11" s="5" t="s">
        <v>100</v>
      </c>
      <c r="B11" s="2">
        <v>20</v>
      </c>
      <c r="C11" s="5" t="s">
        <v>92</v>
      </c>
    </row>
    <row r="12" spans="1:4" ht="15.6" x14ac:dyDescent="0.3">
      <c r="A12" s="5" t="s">
        <v>101</v>
      </c>
      <c r="B12" s="2">
        <v>25</v>
      </c>
      <c r="C12" s="5" t="s">
        <v>92</v>
      </c>
    </row>
    <row r="13" spans="1:4" x14ac:dyDescent="0.3">
      <c r="A13" s="5" t="s">
        <v>94</v>
      </c>
      <c r="B13" s="2">
        <v>3</v>
      </c>
      <c r="C13" s="5"/>
    </row>
    <row r="15" spans="1:4" x14ac:dyDescent="0.3">
      <c r="A15" s="5" t="s">
        <v>71</v>
      </c>
    </row>
    <row r="16" spans="1:4" x14ac:dyDescent="0.3">
      <c r="B16" t="s">
        <v>95</v>
      </c>
      <c r="C16" s="17">
        <f>IF(B5="Circle",PI()*B6,4*B6)</f>
        <v>1.2</v>
      </c>
      <c r="D16" t="s">
        <v>4</v>
      </c>
    </row>
    <row r="18" spans="1:4" x14ac:dyDescent="0.3">
      <c r="A18" t="s">
        <v>86</v>
      </c>
    </row>
    <row r="19" spans="1:4" ht="15.6" x14ac:dyDescent="0.35">
      <c r="B19" t="s">
        <v>87</v>
      </c>
      <c r="C19" s="16">
        <f>C16*(B10)*(1-SIN(RADIANS(B11)))*TAN(RADIANS(B11))*(B7*B10/2)</f>
        <v>41.383022269167114</v>
      </c>
      <c r="D19" t="s">
        <v>30</v>
      </c>
    </row>
    <row r="21" spans="1:4" x14ac:dyDescent="0.3">
      <c r="A21" t="s">
        <v>88</v>
      </c>
    </row>
    <row r="22" spans="1:4" ht="15.6" x14ac:dyDescent="0.35">
      <c r="B22" t="s">
        <v>89</v>
      </c>
      <c r="C22" s="16">
        <f>C16*(B9-B10)*(1-SIN(RADIANS(B12)))*TAN(RADIANS(B12))*SQRT(B13)*(B7*B10+(B8-9.81)*(B9-B10)/2)</f>
        <v>344.38884102266201</v>
      </c>
      <c r="D22" t="s">
        <v>30</v>
      </c>
    </row>
    <row r="24" spans="1:4" x14ac:dyDescent="0.3">
      <c r="A24" t="s">
        <v>90</v>
      </c>
    </row>
    <row r="25" spans="1:4" ht="15.6" x14ac:dyDescent="0.35">
      <c r="B25" t="s">
        <v>78</v>
      </c>
      <c r="C25" s="16">
        <f>C19+C22</f>
        <v>385.77186329182911</v>
      </c>
      <c r="D25" t="s">
        <v>30</v>
      </c>
    </row>
    <row r="26" spans="1:4" ht="15" thickBot="1" x14ac:dyDescent="0.35"/>
    <row r="27" spans="1:4" ht="15.6" thickTop="1" thickBot="1" x14ac:dyDescent="0.35">
      <c r="A27" s="21" t="s">
        <v>43</v>
      </c>
      <c r="B27" s="22"/>
      <c r="C27" s="23"/>
    </row>
    <row r="28" spans="1:4" ht="16.8" thickTop="1" thickBot="1" x14ac:dyDescent="0.4">
      <c r="A28" s="13" t="s">
        <v>81</v>
      </c>
      <c r="B28" s="14">
        <f>C25</f>
        <v>385.77186329182911</v>
      </c>
      <c r="C28" s="12" t="s">
        <v>30</v>
      </c>
    </row>
    <row r="29" spans="1:4" ht="15" thickTop="1" x14ac:dyDescent="0.3"/>
  </sheetData>
  <mergeCells count="2">
    <mergeCell ref="A1:B1"/>
    <mergeCell ref="A27:C27"/>
  </mergeCells>
  <dataValidations count="1">
    <dataValidation type="list" allowBlank="1" showInputMessage="1" showErrorMessage="1" sqref="B5" xr:uid="{8A527C08-6B44-45DE-B768-F577F55B5870}">
      <formula1>SHAPE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9148-C9B5-48E7-B005-53DE174367D9}">
  <dimension ref="A1:D30"/>
  <sheetViews>
    <sheetView workbookViewId="0">
      <selection activeCell="F26" sqref="F26"/>
    </sheetView>
  </sheetViews>
  <sheetFormatPr defaultRowHeight="14.4" x14ac:dyDescent="0.3"/>
  <cols>
    <col min="1" max="1" width="28.109375" customWidth="1"/>
    <col min="2" max="2" width="29" customWidth="1"/>
  </cols>
  <sheetData>
    <row r="1" spans="1:3" x14ac:dyDescent="0.3">
      <c r="A1" s="19" t="s">
        <v>82</v>
      </c>
      <c r="B1" s="20"/>
    </row>
    <row r="3" spans="1:3" x14ac:dyDescent="0.3">
      <c r="A3" s="6" t="s">
        <v>0</v>
      </c>
      <c r="B3" s="6" t="s">
        <v>1</v>
      </c>
      <c r="C3" s="5" t="s">
        <v>2</v>
      </c>
    </row>
    <row r="4" spans="1:3" x14ac:dyDescent="0.3">
      <c r="A4" s="5"/>
      <c r="B4" s="1"/>
      <c r="C4" s="5"/>
    </row>
    <row r="5" spans="1:3" x14ac:dyDescent="0.3">
      <c r="A5" s="5" t="s">
        <v>8</v>
      </c>
      <c r="B5" s="3" t="s">
        <v>9</v>
      </c>
      <c r="C5" s="5"/>
    </row>
    <row r="6" spans="1:3" x14ac:dyDescent="0.3">
      <c r="A6" s="7" t="str">
        <f>IF(B5="Circle","Diameter (d)","Side Length (s)")</f>
        <v>Diameter (d)</v>
      </c>
      <c r="B6" s="4">
        <v>0.4</v>
      </c>
      <c r="C6" s="5" t="s">
        <v>4</v>
      </c>
    </row>
    <row r="7" spans="1:3" x14ac:dyDescent="0.3">
      <c r="A7" s="5" t="s">
        <v>48</v>
      </c>
      <c r="B7" s="2">
        <v>18</v>
      </c>
      <c r="C7" s="5" t="s">
        <v>6</v>
      </c>
    </row>
    <row r="8" spans="1:3" x14ac:dyDescent="0.3">
      <c r="A8" s="5" t="s">
        <v>7</v>
      </c>
      <c r="B8" s="2">
        <v>24</v>
      </c>
      <c r="C8" s="5" t="s">
        <v>6</v>
      </c>
    </row>
    <row r="9" spans="1:3" x14ac:dyDescent="0.3">
      <c r="A9" s="5" t="s">
        <v>12</v>
      </c>
      <c r="B9" s="2">
        <v>12</v>
      </c>
      <c r="C9" s="5" t="s">
        <v>4</v>
      </c>
    </row>
    <row r="10" spans="1:3" x14ac:dyDescent="0.3">
      <c r="A10" s="5" t="s">
        <v>13</v>
      </c>
      <c r="B10" s="2">
        <v>4</v>
      </c>
      <c r="C10" s="5" t="s">
        <v>4</v>
      </c>
    </row>
    <row r="11" spans="1:3" ht="15.6" x14ac:dyDescent="0.3">
      <c r="A11" s="5" t="s">
        <v>65</v>
      </c>
      <c r="B11" s="2">
        <v>30</v>
      </c>
      <c r="C11" s="5" t="s">
        <v>3</v>
      </c>
    </row>
    <row r="12" spans="1:3" ht="15.6" x14ac:dyDescent="0.3">
      <c r="A12" s="5" t="s">
        <v>66</v>
      </c>
      <c r="B12" s="2">
        <v>120</v>
      </c>
      <c r="C12" s="5" t="s">
        <v>3</v>
      </c>
    </row>
    <row r="13" spans="1:3" ht="15.6" x14ac:dyDescent="0.3">
      <c r="A13" s="5" t="s">
        <v>83</v>
      </c>
      <c r="B13" s="2">
        <v>0.14000000000000001</v>
      </c>
    </row>
    <row r="14" spans="1:3" ht="15.6" x14ac:dyDescent="0.3">
      <c r="A14" s="5" t="s">
        <v>84</v>
      </c>
      <c r="B14" s="2">
        <v>0.14000000000000001</v>
      </c>
    </row>
    <row r="16" spans="1:3" x14ac:dyDescent="0.3">
      <c r="A16" s="5" t="s">
        <v>71</v>
      </c>
    </row>
    <row r="17" spans="1:4" x14ac:dyDescent="0.3">
      <c r="B17" t="s">
        <v>85</v>
      </c>
      <c r="C17">
        <f>IF(B5="Circle",PI()*B6,4*B6)</f>
        <v>1.2566370614359172</v>
      </c>
    </row>
    <row r="19" spans="1:4" x14ac:dyDescent="0.3">
      <c r="A19" t="s">
        <v>86</v>
      </c>
    </row>
    <row r="20" spans="1:4" ht="15.6" x14ac:dyDescent="0.35">
      <c r="B20" t="s">
        <v>87</v>
      </c>
      <c r="C20">
        <f>(C17*B10*B13*(B7*(B10/2)+2*B11))</f>
        <v>67.556808422794916</v>
      </c>
      <c r="D20" t="s">
        <v>30</v>
      </c>
    </row>
    <row r="22" spans="1:4" x14ac:dyDescent="0.3">
      <c r="A22" t="s">
        <v>88</v>
      </c>
    </row>
    <row r="23" spans="1:4" ht="15.6" x14ac:dyDescent="0.35">
      <c r="B23" t="s">
        <v>89</v>
      </c>
      <c r="C23" s="16">
        <f>C17*(B9-B10)*B14*((B7*B10+(B8-9.81)*((B9-B10)/2))+2*B12)</f>
        <v>519.005180708122</v>
      </c>
      <c r="D23" t="s">
        <v>30</v>
      </c>
    </row>
    <row r="25" spans="1:4" x14ac:dyDescent="0.3">
      <c r="A25" t="s">
        <v>90</v>
      </c>
    </row>
    <row r="26" spans="1:4" ht="15.6" x14ac:dyDescent="0.35">
      <c r="B26" t="s">
        <v>78</v>
      </c>
      <c r="C26" s="16">
        <f>C20+C23</f>
        <v>586.56198913091691</v>
      </c>
      <c r="D26" t="s">
        <v>30</v>
      </c>
    </row>
    <row r="27" spans="1:4" ht="15" thickBot="1" x14ac:dyDescent="0.35"/>
    <row r="28" spans="1:4" ht="15.6" thickTop="1" thickBot="1" x14ac:dyDescent="0.35">
      <c r="A28" s="21" t="s">
        <v>43</v>
      </c>
      <c r="B28" s="22"/>
      <c r="C28" s="23"/>
    </row>
    <row r="29" spans="1:4" ht="16.8" thickTop="1" thickBot="1" x14ac:dyDescent="0.4">
      <c r="A29" s="13" t="s">
        <v>81</v>
      </c>
      <c r="B29" s="14">
        <f>C26</f>
        <v>586.56198913091691</v>
      </c>
      <c r="C29" s="12" t="s">
        <v>30</v>
      </c>
    </row>
    <row r="30" spans="1:4" ht="15" thickTop="1" x14ac:dyDescent="0.3"/>
  </sheetData>
  <mergeCells count="2">
    <mergeCell ref="A1:B1"/>
    <mergeCell ref="A28:C28"/>
  </mergeCells>
  <dataValidations count="1">
    <dataValidation type="list" allowBlank="1" showInputMessage="1" showErrorMessage="1" sqref="B5" xr:uid="{A4DDD236-E60C-4331-ACFA-FC6400F76985}">
      <formula1>SHAPE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PILES ON SAND</vt:lpstr>
      <vt:lpstr>PILES ON CLAY (a)</vt:lpstr>
      <vt:lpstr>Piles on clay (a2)</vt:lpstr>
      <vt:lpstr>Piles on clay (y)</vt:lpstr>
      <vt:lpstr>Piles on Clay (y2)</vt:lpstr>
      <vt:lpstr>piles on clay (B)</vt:lpstr>
      <vt:lpstr>piles on clay (B2)</vt:lpstr>
      <vt:lpstr>Sheet7</vt:lpstr>
      <vt:lpstr>Sheet1</vt:lpstr>
      <vt:lpstr>Sheet3</vt:lpstr>
      <vt:lpstr>Sheet2</vt:lpstr>
      <vt:lpstr>SAND</vt:lpstr>
      <vt:lpstr>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4905</dc:creator>
  <cp:lastModifiedBy>4905</cp:lastModifiedBy>
  <dcterms:created xsi:type="dcterms:W3CDTF">2025-04-15T11:03:09Z</dcterms:created>
  <dcterms:modified xsi:type="dcterms:W3CDTF">2025-05-05T16:32:07Z</dcterms:modified>
</cp:coreProperties>
</file>