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dri\Music\4TH YEAR 2ND SEM\FOUNDATION &amp; RETAINING WALL\"/>
    </mc:Choice>
  </mc:AlternateContent>
  <xr:revisionPtr revIDLastSave="0" documentId="13_ncr:1_{35F6374E-B769-46E0-AFF9-FD71086C46F8}" xr6:coauthVersionLast="47" xr6:coauthVersionMax="47" xr10:uidLastSave="{00000000-0000-0000-0000-000000000000}"/>
  <bookViews>
    <workbookView xWindow="-108" yWindow="-108" windowWidth="23256" windowHeight="12456" activeTab="5" xr2:uid="{A205E174-5F28-4502-BB5D-DC34082475FA}"/>
  </bookViews>
  <sheets>
    <sheet name="SQUARE 1" sheetId="2" r:id="rId1"/>
    <sheet name="SQUARE 2" sheetId="5" r:id="rId2"/>
    <sheet name="SQUARE 3" sheetId="1" r:id="rId3"/>
    <sheet name="RECT. 1" sheetId="6" r:id="rId4"/>
    <sheet name="RECT. 2" sheetId="9" r:id="rId5"/>
    <sheet name="RECT. 3" sheetId="10" r:id="rId6"/>
    <sheet name="Sheet1" sheetId="7" state="hidden" r:id="rId7"/>
    <sheet name="Sheet2" sheetId="8" state="hidden" r:id="rId8"/>
  </sheets>
  <definedNames>
    <definedName name="DIRECTION">Sheet1!$A$3:$A$4</definedName>
    <definedName name="ORIENTATION">Sheet1!$D$3:$D$4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0" l="1"/>
  <c r="B56" i="10"/>
  <c r="C53" i="10"/>
  <c r="C52" i="10"/>
  <c r="C49" i="10"/>
  <c r="C46" i="10"/>
  <c r="C43" i="10"/>
  <c r="C41" i="10"/>
  <c r="C40" i="10"/>
  <c r="C32" i="10"/>
  <c r="C27" i="10"/>
  <c r="C28" i="10" s="1"/>
  <c r="C26" i="10"/>
  <c r="B54" i="9"/>
  <c r="B55" i="9" s="1"/>
  <c r="B53" i="9"/>
  <c r="C50" i="9"/>
  <c r="C47" i="9"/>
  <c r="C44" i="9"/>
  <c r="C41" i="9"/>
  <c r="C40" i="9"/>
  <c r="C32" i="9"/>
  <c r="C27" i="9"/>
  <c r="C28" i="9" s="1"/>
  <c r="C26" i="9"/>
  <c r="C34" i="8"/>
  <c r="C27" i="8"/>
  <c r="C22" i="8"/>
  <c r="C21" i="8"/>
  <c r="C27" i="6"/>
  <c r="C22" i="6"/>
  <c r="C21" i="6"/>
  <c r="C30" i="5"/>
  <c r="B34" i="5" s="1"/>
  <c r="C27" i="5"/>
  <c r="C24" i="5"/>
  <c r="C21" i="5"/>
  <c r="B35" i="2"/>
  <c r="B34" i="2"/>
  <c r="B33" i="2"/>
  <c r="C30" i="2"/>
  <c r="C27" i="2"/>
  <c r="C24" i="2"/>
  <c r="C21" i="2"/>
  <c r="C37" i="10" l="1"/>
  <c r="C36" i="10"/>
  <c r="C31" i="10"/>
  <c r="C33" i="10" s="1"/>
  <c r="C31" i="9"/>
  <c r="C33" i="9" s="1"/>
  <c r="C36" i="9"/>
  <c r="C37" i="9"/>
  <c r="C23" i="6"/>
  <c r="C26" i="6" s="1"/>
  <c r="C28" i="6" s="1"/>
  <c r="C23" i="8"/>
  <c r="C26" i="8" s="1"/>
  <c r="C28" i="8" s="1"/>
  <c r="B33" i="5"/>
  <c r="B35" i="5" s="1"/>
  <c r="C25" i="1"/>
  <c r="C32" i="6" l="1"/>
  <c r="C31" i="6"/>
  <c r="C32" i="8"/>
  <c r="C35" i="8" s="1"/>
  <c r="B42" i="8" s="1"/>
  <c r="C31" i="8"/>
  <c r="B41" i="8" s="1"/>
  <c r="C37" i="1"/>
  <c r="C31" i="1"/>
  <c r="C19" i="1"/>
  <c r="B39" i="6" l="1"/>
  <c r="C34" i="6"/>
  <c r="B41" i="6" s="1"/>
  <c r="C35" i="6"/>
  <c r="B42" i="6" s="1"/>
  <c r="B40" i="6"/>
  <c r="B40" i="8"/>
  <c r="B39" i="8"/>
  <c r="C22" i="1"/>
  <c r="C28" i="1" s="1"/>
  <c r="C32" i="1" l="1"/>
  <c r="C33" i="1" s="1"/>
  <c r="C38" i="1"/>
  <c r="C39" i="1" s="1"/>
  <c r="C40" i="1" s="1"/>
  <c r="C34" i="1" l="1"/>
  <c r="B47" i="1" s="1"/>
  <c r="B48" i="1" s="1"/>
  <c r="C43" i="1"/>
  <c r="B49" i="1" s="1"/>
</calcChain>
</file>

<file path=xl/sharedStrings.xml><?xml version="1.0" encoding="utf-8"?>
<sst xmlns="http://schemas.openxmlformats.org/spreadsheetml/2006/main" count="463" uniqueCount="130">
  <si>
    <t>Input Values:</t>
  </si>
  <si>
    <t>Value</t>
  </si>
  <si>
    <t>Units</t>
  </si>
  <si>
    <t>kPa</t>
  </si>
  <si>
    <t>kN</t>
  </si>
  <si>
    <t>mm</t>
  </si>
  <si>
    <t>kN/m3</t>
  </si>
  <si>
    <t>Mpa</t>
  </si>
  <si>
    <t>MPa</t>
  </si>
  <si>
    <t>m</t>
  </si>
  <si>
    <t>Footing Dimension (B) =</t>
  </si>
  <si>
    <t>Net Soil Pressure (qeff) =</t>
  </si>
  <si>
    <t>Dead Load (DL)</t>
  </si>
  <si>
    <t>Live Load (LL)</t>
  </si>
  <si>
    <t>Thickness of Footing (t)</t>
  </si>
  <si>
    <t>Allowable Soil Pressure (qa)</t>
  </si>
  <si>
    <t>Slab Pressure (s)</t>
  </si>
  <si>
    <t>Soil Unit Weight (y)</t>
  </si>
  <si>
    <t>Concrete Unit Weight (yc)</t>
  </si>
  <si>
    <t>Concrete Compressive Strength (fc')</t>
  </si>
  <si>
    <t>Steel Yield Strength (fy)</t>
  </si>
  <si>
    <t>Depth of Footing (Df)</t>
  </si>
  <si>
    <t>Concrete Cover (cc)</t>
  </si>
  <si>
    <t>Number of Steel Bars (n)</t>
  </si>
  <si>
    <t>Ultimate Upward Pressure (qu)</t>
  </si>
  <si>
    <t>Step 1: Initial Effective Depth</t>
  </si>
  <si>
    <t>Effective Depth (d) =</t>
  </si>
  <si>
    <t>Step 2: Solving for Effective Soil Pressure</t>
  </si>
  <si>
    <t>Step 3: Solving Dimension of Footing</t>
  </si>
  <si>
    <t>Step 4: Ultimate Upward Soil Pressure</t>
  </si>
  <si>
    <t>Step 5: Check if Safe in Beam Shear
(One-Way Shear)</t>
  </si>
  <si>
    <t>Beam Shear Capacity  (Vu) =</t>
  </si>
  <si>
    <t>Check if Safe</t>
  </si>
  <si>
    <t>Step 6: Check if Safe in Punching Shear
(Two-Way Shear)</t>
  </si>
  <si>
    <t>c + d</t>
  </si>
  <si>
    <t>Punching Shear Capacity (Vu)</t>
  </si>
  <si>
    <r>
      <t>Effective Depth (d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) =</t>
    </r>
  </si>
  <si>
    <r>
      <t>Effective Depth (d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</si>
  <si>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t>Size of Column (c)</t>
  </si>
  <si>
    <t>Step 7: Reinforcement of Square Footing</t>
  </si>
  <si>
    <t>Required Number of Steel Bars (n) =</t>
  </si>
  <si>
    <t>Footing Dimension</t>
  </si>
  <si>
    <t xml:space="preserve">Number of Bars on Both Ways </t>
  </si>
  <si>
    <t>Final Dimension</t>
  </si>
  <si>
    <t>Summay of Results</t>
  </si>
  <si>
    <t>Effective Dimension (x) =</t>
  </si>
  <si>
    <t>Output Values (Final Answers)</t>
  </si>
  <si>
    <r>
      <t>Main Bar Diameter (</t>
    </r>
    <r>
      <rPr>
        <sz val="11"/>
        <color theme="1"/>
        <rFont val="Symbol"/>
        <family val="1"/>
        <charset val="2"/>
      </rPr>
      <t>Æ)</t>
    </r>
  </si>
  <si>
    <t>Step 1: Ultimate Soil Pressure</t>
  </si>
  <si>
    <t>Ultimate Soil Pressure (qu) =</t>
  </si>
  <si>
    <t>Size of Footing (B)</t>
  </si>
  <si>
    <t>Step 2: Effective Depth</t>
  </si>
  <si>
    <t>Step 3: Solving Demand Load</t>
  </si>
  <si>
    <t>Demand Load (Vu) =</t>
  </si>
  <si>
    <t>Step 4: Solving Capacity of Footing</t>
  </si>
  <si>
    <r>
      <t>Capacity of Footing (</t>
    </r>
    <r>
      <rPr>
        <sz val="11"/>
        <color theme="1"/>
        <rFont val="Symbol"/>
        <family val="1"/>
        <charset val="2"/>
      </rPr>
      <t>Æ</t>
    </r>
    <r>
      <rPr>
        <sz val="11"/>
        <color theme="1"/>
        <rFont val="Aptos Narrow"/>
        <family val="2"/>
      </rPr>
      <t>Vc) =</t>
    </r>
  </si>
  <si>
    <t>Remarks</t>
  </si>
  <si>
    <t>Output Values:</t>
  </si>
  <si>
    <r>
      <t>Capacity of Footing (</t>
    </r>
    <r>
      <rPr>
        <sz val="11"/>
        <color theme="1"/>
        <rFont val="Symbol"/>
        <family val="1"/>
        <charset val="2"/>
      </rPr>
      <t>Æ</t>
    </r>
    <r>
      <rPr>
        <sz val="11"/>
        <color theme="1"/>
        <rFont val="Aptos Narrow"/>
        <family val="2"/>
        <scheme val="minor"/>
      </rPr>
      <t>c) =</t>
    </r>
  </si>
  <si>
    <r>
      <t>Force Dead Load (P</t>
    </r>
    <r>
      <rPr>
        <vertAlign val="subscript"/>
        <sz val="11"/>
        <color theme="1"/>
        <rFont val="Aptos Narrow"/>
        <family val="2"/>
        <scheme val="minor"/>
      </rPr>
      <t>DL</t>
    </r>
    <r>
      <rPr>
        <sz val="11"/>
        <color theme="1"/>
        <rFont val="Aptos Narrow"/>
        <family val="2"/>
        <scheme val="minor"/>
      </rPr>
      <t>)</t>
    </r>
  </si>
  <si>
    <r>
      <t>Force Live Load (P</t>
    </r>
    <r>
      <rPr>
        <vertAlign val="subscript"/>
        <sz val="11"/>
        <color theme="1"/>
        <rFont val="Aptos Narrow"/>
        <family val="2"/>
        <scheme val="minor"/>
      </rPr>
      <t>LL</t>
    </r>
    <r>
      <rPr>
        <sz val="11"/>
        <color theme="1"/>
        <rFont val="Aptos Narrow"/>
        <family val="2"/>
        <scheme val="minor"/>
      </rPr>
      <t>)</t>
    </r>
  </si>
  <si>
    <t>Footing Dimention (L)</t>
  </si>
  <si>
    <t>Footing Dimention (B)</t>
  </si>
  <si>
    <r>
      <t>Column Dimension (c</t>
    </r>
    <r>
      <rPr>
        <vertAlign val="subscript"/>
        <sz val="11"/>
        <color theme="1"/>
        <rFont val="Aptos Narrow"/>
        <family val="2"/>
        <scheme val="minor"/>
      </rPr>
      <t>L</t>
    </r>
    <r>
      <rPr>
        <sz val="11"/>
        <color theme="1"/>
        <rFont val="Aptos Narrow"/>
        <family val="2"/>
        <scheme val="minor"/>
      </rPr>
      <t>)</t>
    </r>
  </si>
  <si>
    <r>
      <t>Column Dimension (c</t>
    </r>
    <r>
      <rPr>
        <vertAlign val="subscript"/>
        <sz val="11"/>
        <color theme="1"/>
        <rFont val="Aptos Narrow"/>
        <family val="2"/>
        <scheme val="minor"/>
      </rPr>
      <t>B</t>
    </r>
    <r>
      <rPr>
        <sz val="11"/>
        <color theme="1"/>
        <rFont val="Aptos Narrow"/>
        <family val="2"/>
        <scheme val="minor"/>
      </rPr>
      <t>)</t>
    </r>
  </si>
  <si>
    <r>
      <t>Moment Dead Load (M</t>
    </r>
    <r>
      <rPr>
        <vertAlign val="subscript"/>
        <sz val="11"/>
        <color theme="1"/>
        <rFont val="Aptos Narrow"/>
        <family val="2"/>
        <scheme val="minor"/>
      </rPr>
      <t>DL</t>
    </r>
    <r>
      <rPr>
        <sz val="11"/>
        <color theme="1"/>
        <rFont val="Aptos Narrow"/>
        <family val="2"/>
        <scheme val="minor"/>
      </rPr>
      <t>)</t>
    </r>
  </si>
  <si>
    <r>
      <t>Moment Live Load (M</t>
    </r>
    <r>
      <rPr>
        <vertAlign val="subscript"/>
        <sz val="11"/>
        <color theme="1"/>
        <rFont val="Aptos Narrow"/>
        <family val="2"/>
        <scheme val="minor"/>
      </rPr>
      <t>LL</t>
    </r>
    <r>
      <rPr>
        <sz val="11"/>
        <color theme="1"/>
        <rFont val="Aptos Narrow"/>
        <family val="2"/>
        <scheme val="minor"/>
      </rPr>
      <t>)</t>
    </r>
  </si>
  <si>
    <t>Center Distance b/w Column &amp; Footing</t>
  </si>
  <si>
    <t>kN-m</t>
  </si>
  <si>
    <t>Step 1: Moment of Footing</t>
  </si>
  <si>
    <t xml:space="preserve">Footing Moment (Mf) = </t>
  </si>
  <si>
    <t xml:space="preserve">Service Load (Moment) = </t>
  </si>
  <si>
    <t>Direction of Moment (from the center)</t>
  </si>
  <si>
    <t>Direction</t>
  </si>
  <si>
    <t>Clockwise</t>
  </si>
  <si>
    <t>Counterclockwise</t>
  </si>
  <si>
    <t xml:space="preserve">Service Load (Forces) = </t>
  </si>
  <si>
    <t>Step 2: Determine if No Uplift</t>
  </si>
  <si>
    <t>Eccentricity (e) =</t>
  </si>
  <si>
    <t>Max Eccentricity w/o Uplift</t>
  </si>
  <si>
    <t>Orientation of Moment</t>
  </si>
  <si>
    <t>Orientation</t>
  </si>
  <si>
    <t>Parallel to L</t>
  </si>
  <si>
    <t>Parallel to B</t>
  </si>
  <si>
    <t>Result</t>
  </si>
  <si>
    <t>Step 3: Soil Net Pressure</t>
  </si>
  <si>
    <r>
      <t>Max Soil Net Pressure (qn</t>
    </r>
    <r>
      <rPr>
        <vertAlign val="subscript"/>
        <sz val="11"/>
        <color theme="1"/>
        <rFont val="Aptos Narrow"/>
        <family val="2"/>
        <scheme val="minor"/>
      </rPr>
      <t>max</t>
    </r>
    <r>
      <rPr>
        <sz val="11"/>
        <color theme="1"/>
        <rFont val="Aptos Narrow"/>
        <family val="2"/>
        <scheme val="minor"/>
      </rPr>
      <t>)</t>
    </r>
  </si>
  <si>
    <r>
      <t>Max Soil Net Pressure (qn</t>
    </r>
    <r>
      <rPr>
        <vertAlign val="subscript"/>
        <sz val="11"/>
        <color theme="1"/>
        <rFont val="Aptos Narrow"/>
        <family val="2"/>
        <scheme val="minor"/>
      </rPr>
      <t>max</t>
    </r>
    <r>
      <rPr>
        <sz val="11"/>
        <color theme="1"/>
        <rFont val="Aptos Narrow"/>
        <family val="2"/>
        <scheme val="minor"/>
      </rPr>
      <t xml:space="preserve">) = </t>
    </r>
  </si>
  <si>
    <r>
      <t>Min Soil Net Pressure (qn</t>
    </r>
    <r>
      <rPr>
        <vertAlign val="subscript"/>
        <sz val="11"/>
        <color theme="1"/>
        <rFont val="Aptos Narrow"/>
        <family val="2"/>
        <scheme val="minor"/>
      </rPr>
      <t>min</t>
    </r>
    <r>
      <rPr>
        <sz val="11"/>
        <color theme="1"/>
        <rFont val="Aptos Narrow"/>
        <family val="2"/>
        <scheme val="minor"/>
      </rPr>
      <t>)</t>
    </r>
  </si>
  <si>
    <t>Step 4: Soil Gross Pressure</t>
  </si>
  <si>
    <r>
      <t>Max Soil Gross Pressure (qg</t>
    </r>
    <r>
      <rPr>
        <vertAlign val="subscript"/>
        <sz val="11"/>
        <color theme="1"/>
        <rFont val="Aptos Narrow"/>
        <family val="2"/>
        <scheme val="minor"/>
      </rPr>
      <t>max</t>
    </r>
    <r>
      <rPr>
        <sz val="11"/>
        <color theme="1"/>
        <rFont val="Aptos Narrow"/>
        <family val="2"/>
        <scheme val="minor"/>
      </rPr>
      <t>)</t>
    </r>
  </si>
  <si>
    <r>
      <t>Min Soil Gross Pressure (qg</t>
    </r>
    <r>
      <rPr>
        <vertAlign val="subscript"/>
        <sz val="11"/>
        <color theme="1"/>
        <rFont val="Aptos Narrow"/>
        <family val="2"/>
        <scheme val="minor"/>
      </rPr>
      <t>min</t>
    </r>
    <r>
      <rPr>
        <sz val="11"/>
        <color theme="1"/>
        <rFont val="Aptos Narrow"/>
        <family val="2"/>
        <scheme val="minor"/>
      </rPr>
      <t>)</t>
    </r>
  </si>
  <si>
    <r>
      <t>Min Soil Net Pressure (qn</t>
    </r>
    <r>
      <rPr>
        <vertAlign val="subscript"/>
        <sz val="11"/>
        <color theme="1"/>
        <rFont val="Aptos Narrow"/>
        <family val="2"/>
        <scheme val="minor"/>
      </rPr>
      <t>min</t>
    </r>
    <r>
      <rPr>
        <sz val="11"/>
        <color theme="1"/>
        <rFont val="Aptos Narrow"/>
        <family val="2"/>
        <scheme val="minor"/>
      </rPr>
      <t>) =</t>
    </r>
  </si>
  <si>
    <r>
      <t>Max Soil Gross Pressure (qg</t>
    </r>
    <r>
      <rPr>
        <vertAlign val="subscript"/>
        <sz val="11"/>
        <color theme="1"/>
        <rFont val="Aptos Narrow"/>
        <family val="2"/>
        <scheme val="minor"/>
      </rPr>
      <t>max</t>
    </r>
    <r>
      <rPr>
        <sz val="11"/>
        <color theme="1"/>
        <rFont val="Aptos Narrow"/>
        <family val="2"/>
        <scheme val="minor"/>
      </rPr>
      <t>) =</t>
    </r>
  </si>
  <si>
    <r>
      <t>Min Soil Gross Pressure (qg</t>
    </r>
    <r>
      <rPr>
        <vertAlign val="subscript"/>
        <sz val="11"/>
        <color theme="1"/>
        <rFont val="Aptos Narrow"/>
        <family val="2"/>
        <scheme val="minor"/>
      </rPr>
      <t>min</t>
    </r>
    <r>
      <rPr>
        <sz val="11"/>
        <color theme="1"/>
        <rFont val="Aptos Narrow"/>
        <family val="2"/>
        <scheme val="minor"/>
      </rPr>
      <t>) =</t>
    </r>
  </si>
  <si>
    <t>RECTANGULAR FOOTING NET &amp; GROSS PRESSURE</t>
  </si>
  <si>
    <t>RECTANGULAR FOOTING WIDE BEAM SHEAR</t>
  </si>
  <si>
    <t>Cocrete Compressive Strength (fc')</t>
  </si>
  <si>
    <t>Ultimate Load (Forces) =</t>
  </si>
  <si>
    <t xml:space="preserve">Ultimate Load (Moment) = </t>
  </si>
  <si>
    <t>Footing Moment (Mf) =</t>
  </si>
  <si>
    <t>Step 4: Effective Depths</t>
  </si>
  <si>
    <r>
      <t>Effective Depth on Long Direction (d</t>
    </r>
    <r>
      <rPr>
        <vertAlign val="subscript"/>
        <sz val="11"/>
        <color theme="1"/>
        <rFont val="Aptos Narrow"/>
        <family val="2"/>
        <scheme val="minor"/>
      </rPr>
      <t>B</t>
    </r>
    <r>
      <rPr>
        <sz val="11"/>
        <color theme="1"/>
        <rFont val="Aptos Narrow"/>
        <family val="2"/>
        <scheme val="minor"/>
      </rPr>
      <t>) =</t>
    </r>
  </si>
  <si>
    <r>
      <t>Effective Depth on Short Direction (d</t>
    </r>
    <r>
      <rPr>
        <vertAlign val="subscript"/>
        <sz val="11"/>
        <color theme="1"/>
        <rFont val="Aptos Narrow"/>
        <family val="2"/>
        <scheme val="minor"/>
      </rPr>
      <t>L</t>
    </r>
    <r>
      <rPr>
        <sz val="11"/>
        <color theme="1"/>
        <rFont val="Aptos Narrow"/>
        <family val="2"/>
        <scheme val="minor"/>
      </rPr>
      <t>) =</t>
    </r>
  </si>
  <si>
    <t>SQUARE FOOTING DESIGN</t>
  </si>
  <si>
    <r>
      <t>Reinforcing Bar Diameter (</t>
    </r>
    <r>
      <rPr>
        <sz val="11"/>
        <color theme="1"/>
        <rFont val="Symbol"/>
        <family val="1"/>
        <charset val="2"/>
      </rPr>
      <t>Æ</t>
    </r>
    <r>
      <rPr>
        <sz val="11"/>
        <color theme="1"/>
        <rFont val="Aptos Narrow"/>
        <family val="2"/>
      </rPr>
      <t>)</t>
    </r>
  </si>
  <si>
    <r>
      <t>Step 5: Calculate qu</t>
    </r>
    <r>
      <rPr>
        <vertAlign val="subscript"/>
        <sz val="11"/>
        <color theme="1"/>
        <rFont val="Aptos Narrow"/>
        <family val="2"/>
        <scheme val="minor"/>
      </rPr>
      <t>3</t>
    </r>
  </si>
  <si>
    <t>Wide Beam Shear Distance from Edge</t>
  </si>
  <si>
    <r>
      <t>Stress on Wide Beam Area (qu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</si>
  <si>
    <t>Step 6: Solving Demand Load</t>
  </si>
  <si>
    <t>Step 7: Solving Capacity of the Footing</t>
  </si>
  <si>
    <r>
      <t>Capacity of the Footing (</t>
    </r>
    <r>
      <rPr>
        <sz val="11"/>
        <color theme="1"/>
        <rFont val="Symbol"/>
        <family val="1"/>
        <charset val="2"/>
      </rPr>
      <t>Æ</t>
    </r>
    <r>
      <rPr>
        <sz val="11"/>
        <color theme="1"/>
        <rFont val="Aptos Narrow"/>
        <family val="2"/>
      </rPr>
      <t>Vc) =</t>
    </r>
  </si>
  <si>
    <t>SQUARE FOOTING WIDE BEAM SHEAR</t>
  </si>
  <si>
    <t>SQUARE FOOTING PUNCHING SHEAR SHEAR</t>
  </si>
  <si>
    <r>
      <t>Max Ultimate Soil Net Pressure (qu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) = </t>
    </r>
  </si>
  <si>
    <t>RECTANGULAR FOOTING DESIGN</t>
  </si>
  <si>
    <r>
      <t>Min Ultimate Soil Net Pressure (qu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 =</t>
    </r>
  </si>
  <si>
    <t>Distance (x)</t>
  </si>
  <si>
    <r>
      <t>Ultimate Soil Pressure at edge of Column (qu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)</t>
    </r>
  </si>
  <si>
    <r>
      <t>Step 5: Solve qu</t>
    </r>
    <r>
      <rPr>
        <vertAlign val="subscript"/>
        <sz val="11"/>
        <color theme="1"/>
        <rFont val="Aptos Narrow"/>
        <family val="2"/>
        <scheme val="minor"/>
      </rPr>
      <t>4</t>
    </r>
  </si>
  <si>
    <t>Step 6: Ultimate Moment</t>
  </si>
  <si>
    <t>Ultimate Moment (Mu)</t>
  </si>
  <si>
    <t>Step 7: Minimum Steel Ratio</t>
  </si>
  <si>
    <r>
      <t>Minimum Steel Ratio (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Aptos Narrow"/>
        <family val="2"/>
      </rPr>
      <t>min)</t>
    </r>
  </si>
  <si>
    <t>Step 8: Number of Top Bars and Bottom Bars</t>
  </si>
  <si>
    <t>Bars on Long Direction (Bottom Bars)</t>
  </si>
  <si>
    <t>Bars on Short Direction (Top Bars)</t>
  </si>
  <si>
    <t>bars</t>
  </si>
  <si>
    <t>Minimum Bars on Long Direction (Bottom Bars)</t>
  </si>
  <si>
    <t>Minimum Bars on Short Direction (Top Bars)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</si>
</sst>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  <scheme val="minor"/>
    </font>
    <font>
      <sz val="11"/>
      <color theme="1"/>
      <name val="Aptos Narrow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/>
    <xf numFmtId="0" fontId="0" fillId="3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/>
    <xf numFmtId="0" fontId="1" fillId="2" borderId="1" xfId="0" applyFont="1" applyFill="1" applyBorder="1" applyAlignment="1">
      <alignment horizontal="center"/>
    </xf>
    <xf numFmtId="0" fontId="0" fillId="3" borderId="11" xfId="0" applyFill="1" applyBorder="1"/>
    <xf numFmtId="0" fontId="0" fillId="3" borderId="10" xfId="0" applyFill="1" applyBorder="1"/>
    <xf numFmtId="0" fontId="0" fillId="3" borderId="2" xfId="0" applyFill="1" applyBorder="1"/>
    <xf numFmtId="0" fontId="0" fillId="3" borderId="5" xfId="0" applyFill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4" fontId="0" fillId="3" borderId="5" xfId="0" applyNumberFormat="1" applyFill="1" applyBorder="1" applyAlignment="1">
      <alignment horizontal="right" vertical="center"/>
    </xf>
    <xf numFmtId="4" fontId="1" fillId="3" borderId="3" xfId="0" applyNumberFormat="1" applyFont="1" applyFill="1" applyBorder="1" applyAlignment="1">
      <alignment horizontal="right" vertical="center"/>
    </xf>
    <xf numFmtId="0" fontId="1" fillId="3" borderId="4" xfId="0" applyFont="1" applyFill="1" applyBorder="1"/>
    <xf numFmtId="4" fontId="1" fillId="3" borderId="8" xfId="0" applyNumberFormat="1" applyFont="1" applyFill="1" applyBorder="1" applyAlignment="1">
      <alignment horizontal="right" vertical="center"/>
    </xf>
    <xf numFmtId="0" fontId="1" fillId="3" borderId="8" xfId="0" applyFont="1" applyFill="1" applyBorder="1"/>
    <xf numFmtId="4" fontId="1" fillId="3" borderId="5" xfId="0" applyNumberFormat="1" applyFont="1" applyFill="1" applyBorder="1" applyAlignment="1">
      <alignment horizontal="right" vertical="center"/>
    </xf>
    <xf numFmtId="0" fontId="1" fillId="3" borderId="5" xfId="0" applyFont="1" applyFill="1" applyBorder="1"/>
    <xf numFmtId="0" fontId="5" fillId="0" borderId="0" xfId="0" applyFont="1"/>
    <xf numFmtId="0" fontId="1" fillId="3" borderId="10" xfId="0" applyFont="1" applyFill="1" applyBorder="1"/>
    <xf numFmtId="0" fontId="1" fillId="3" borderId="2" xfId="0" applyFont="1" applyFill="1" applyBorder="1"/>
    <xf numFmtId="164" fontId="1" fillId="3" borderId="4" xfId="0" applyNumberFormat="1" applyFont="1" applyFill="1" applyBorder="1"/>
    <xf numFmtId="164" fontId="1" fillId="3" borderId="8" xfId="0" applyNumberFormat="1" applyFont="1" applyFill="1" applyBorder="1"/>
    <xf numFmtId="0" fontId="1" fillId="3" borderId="5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1" fontId="1" fillId="3" borderId="4" xfId="0" applyNumberFormat="1" applyFont="1" applyFill="1" applyBorder="1" applyAlignment="1">
      <alignment horizontal="right"/>
    </xf>
    <xf numFmtId="1" fontId="1" fillId="3" borderId="8" xfId="0" applyNumberFormat="1" applyFont="1" applyFill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FA79-EABF-4E3B-AD09-F1CAEDB55C1F}">
  <dimension ref="A3:D36"/>
  <sheetViews>
    <sheetView topLeftCell="A6" workbookViewId="0">
      <selection activeCell="B24" sqref="B24"/>
    </sheetView>
  </sheetViews>
  <sheetFormatPr defaultRowHeight="14.4" x14ac:dyDescent="0.3"/>
  <cols>
    <col min="1" max="1" width="31.33203125" customWidth="1"/>
    <col min="2" max="2" width="34.5546875" customWidth="1"/>
    <col min="3" max="3" width="10.88671875" customWidth="1"/>
  </cols>
  <sheetData>
    <row r="3" spans="1:3" x14ac:dyDescent="0.3">
      <c r="A3" s="41" t="s">
        <v>112</v>
      </c>
      <c r="B3" s="41"/>
    </row>
    <row r="5" spans="1:3" x14ac:dyDescent="0.3">
      <c r="A5" s="1" t="s">
        <v>0</v>
      </c>
      <c r="B5" s="1" t="s">
        <v>1</v>
      </c>
      <c r="C5" t="s">
        <v>2</v>
      </c>
    </row>
    <row r="6" spans="1:3" x14ac:dyDescent="0.3">
      <c r="B6" s="2"/>
    </row>
    <row r="7" spans="1:3" x14ac:dyDescent="0.3">
      <c r="A7" t="s">
        <v>12</v>
      </c>
      <c r="B7" s="3">
        <v>500</v>
      </c>
      <c r="C7" t="s">
        <v>4</v>
      </c>
    </row>
    <row r="8" spans="1:3" x14ac:dyDescent="0.3">
      <c r="A8" t="s">
        <v>13</v>
      </c>
      <c r="B8" s="11">
        <v>650</v>
      </c>
      <c r="C8" t="s">
        <v>4</v>
      </c>
    </row>
    <row r="9" spans="1:3" x14ac:dyDescent="0.3">
      <c r="A9" t="s">
        <v>38</v>
      </c>
      <c r="B9" s="11">
        <v>500</v>
      </c>
      <c r="C9" t="s">
        <v>5</v>
      </c>
    </row>
    <row r="10" spans="1:3" x14ac:dyDescent="0.3">
      <c r="A10" t="s">
        <v>50</v>
      </c>
      <c r="B10" s="11">
        <v>3</v>
      </c>
      <c r="C10" t="s">
        <v>9</v>
      </c>
    </row>
    <row r="11" spans="1:3" x14ac:dyDescent="0.3">
      <c r="A11" t="s">
        <v>14</v>
      </c>
      <c r="B11" s="11">
        <v>500</v>
      </c>
      <c r="C11" t="s">
        <v>5</v>
      </c>
    </row>
    <row r="12" spans="1:3" x14ac:dyDescent="0.3">
      <c r="A12" t="s">
        <v>47</v>
      </c>
      <c r="B12" s="11">
        <v>20</v>
      </c>
      <c r="C12" t="s">
        <v>5</v>
      </c>
    </row>
    <row r="13" spans="1:3" x14ac:dyDescent="0.3">
      <c r="A13" t="s">
        <v>17</v>
      </c>
      <c r="B13" s="11">
        <v>18</v>
      </c>
      <c r="C13" t="s">
        <v>6</v>
      </c>
    </row>
    <row r="14" spans="1:3" x14ac:dyDescent="0.3">
      <c r="A14" t="s">
        <v>18</v>
      </c>
      <c r="B14" s="11">
        <v>23.5</v>
      </c>
      <c r="C14" t="s">
        <v>6</v>
      </c>
    </row>
    <row r="15" spans="1:3" x14ac:dyDescent="0.3">
      <c r="A15" t="s">
        <v>19</v>
      </c>
      <c r="B15" s="11">
        <v>24</v>
      </c>
      <c r="C15" t="s">
        <v>7</v>
      </c>
    </row>
    <row r="16" spans="1:3" x14ac:dyDescent="0.3">
      <c r="A16" t="s">
        <v>20</v>
      </c>
      <c r="B16" s="11">
        <v>275</v>
      </c>
      <c r="C16" t="s">
        <v>8</v>
      </c>
    </row>
    <row r="17" spans="1:4" x14ac:dyDescent="0.3">
      <c r="A17" t="s">
        <v>21</v>
      </c>
      <c r="B17" s="11">
        <v>1.5</v>
      </c>
      <c r="C17" t="s">
        <v>9</v>
      </c>
    </row>
    <row r="18" spans="1:4" x14ac:dyDescent="0.3">
      <c r="A18" t="s">
        <v>22</v>
      </c>
      <c r="B18" s="11">
        <v>75</v>
      </c>
      <c r="C18" t="s">
        <v>5</v>
      </c>
    </row>
    <row r="20" spans="1:4" x14ac:dyDescent="0.3">
      <c r="A20" s="1" t="s">
        <v>48</v>
      </c>
    </row>
    <row r="21" spans="1:4" x14ac:dyDescent="0.3">
      <c r="B21" t="s">
        <v>49</v>
      </c>
      <c r="C21" s="4">
        <f>(1.2*B7+1.6*B8)/(B10^2)</f>
        <v>182.22222222222223</v>
      </c>
      <c r="D21" t="s">
        <v>3</v>
      </c>
    </row>
    <row r="23" spans="1:4" x14ac:dyDescent="0.3">
      <c r="A23" s="1" t="s">
        <v>51</v>
      </c>
    </row>
    <row r="24" spans="1:4" x14ac:dyDescent="0.3">
      <c r="B24" t="s">
        <v>26</v>
      </c>
      <c r="C24">
        <f>(B11-B18-B12-B12/2)</f>
        <v>395</v>
      </c>
      <c r="D24" t="s">
        <v>5</v>
      </c>
    </row>
    <row r="26" spans="1:4" x14ac:dyDescent="0.3">
      <c r="A26" s="1" t="s">
        <v>52</v>
      </c>
    </row>
    <row r="27" spans="1:4" x14ac:dyDescent="0.3">
      <c r="B27" t="s">
        <v>53</v>
      </c>
      <c r="C27" s="4">
        <f>C21*B10*((B10*1000-B9)/2-C24)/1000</f>
        <v>467.40000000000003</v>
      </c>
      <c r="D27" t="s">
        <v>4</v>
      </c>
    </row>
    <row r="29" spans="1:4" x14ac:dyDescent="0.3">
      <c r="A29" s="1" t="s">
        <v>54</v>
      </c>
    </row>
    <row r="30" spans="1:4" x14ac:dyDescent="0.3">
      <c r="B30" t="s">
        <v>55</v>
      </c>
      <c r="C30" s="4">
        <f>(0.75*(0.17)*SQRT(B15)*B10*C24)</f>
        <v>740.17456302550681</v>
      </c>
      <c r="D30" t="s">
        <v>4</v>
      </c>
    </row>
    <row r="31" spans="1:4" ht="15" thickBot="1" x14ac:dyDescent="0.35"/>
    <row r="32" spans="1:4" ht="15.6" thickTop="1" thickBot="1" x14ac:dyDescent="0.35">
      <c r="A32" s="38" t="s">
        <v>57</v>
      </c>
      <c r="B32" s="39"/>
      <c r="C32" s="40"/>
    </row>
    <row r="33" spans="1:3" ht="15.6" thickTop="1" thickBot="1" x14ac:dyDescent="0.35">
      <c r="A33" s="12" t="s">
        <v>53</v>
      </c>
      <c r="B33" s="30">
        <f>C27</f>
        <v>467.40000000000003</v>
      </c>
      <c r="C33" s="28" t="s">
        <v>4</v>
      </c>
    </row>
    <row r="34" spans="1:3" ht="15.6" thickTop="1" thickBot="1" x14ac:dyDescent="0.35">
      <c r="A34" s="14" t="s">
        <v>58</v>
      </c>
      <c r="B34" s="31">
        <f>C30</f>
        <v>740.17456302550681</v>
      </c>
      <c r="C34" s="29" t="s">
        <v>4</v>
      </c>
    </row>
    <row r="35" spans="1:3" ht="15.6" thickTop="1" thickBot="1" x14ac:dyDescent="0.35">
      <c r="A35" s="13" t="s">
        <v>56</v>
      </c>
      <c r="B35" s="32" t="str">
        <f>IF(B34&gt;B33,"SAFE","UNSAFE")</f>
        <v>SAFE</v>
      </c>
      <c r="C35" s="26"/>
    </row>
    <row r="36" spans="1:3" ht="15" thickTop="1" x14ac:dyDescent="0.3"/>
  </sheetData>
  <mergeCells count="2">
    <mergeCell ref="A32:C3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4B68-A3D8-4A33-B4F6-319A9DE41D81}">
  <dimension ref="A3:D36"/>
  <sheetViews>
    <sheetView workbookViewId="0">
      <selection activeCell="B47" sqref="B47"/>
    </sheetView>
  </sheetViews>
  <sheetFormatPr defaultRowHeight="14.4" x14ac:dyDescent="0.3"/>
  <cols>
    <col min="1" max="1" width="31.33203125" customWidth="1"/>
    <col min="2" max="2" width="34.5546875" customWidth="1"/>
    <col min="3" max="3" width="10.88671875" customWidth="1"/>
  </cols>
  <sheetData>
    <row r="3" spans="1:3" x14ac:dyDescent="0.3">
      <c r="A3" s="41" t="s">
        <v>113</v>
      </c>
      <c r="B3" s="41"/>
    </row>
    <row r="5" spans="1:3" x14ac:dyDescent="0.3">
      <c r="A5" s="1" t="s">
        <v>0</v>
      </c>
      <c r="B5" s="1" t="s">
        <v>1</v>
      </c>
      <c r="C5" t="s">
        <v>2</v>
      </c>
    </row>
    <row r="6" spans="1:3" x14ac:dyDescent="0.3">
      <c r="B6" s="2"/>
    </row>
    <row r="7" spans="1:3" x14ac:dyDescent="0.3">
      <c r="A7" t="s">
        <v>12</v>
      </c>
      <c r="B7" s="3">
        <v>500</v>
      </c>
      <c r="C7" t="s">
        <v>4</v>
      </c>
    </row>
    <row r="8" spans="1:3" x14ac:dyDescent="0.3">
      <c r="A8" t="s">
        <v>13</v>
      </c>
      <c r="B8" s="11">
        <v>650</v>
      </c>
      <c r="C8" t="s">
        <v>4</v>
      </c>
    </row>
    <row r="9" spans="1:3" x14ac:dyDescent="0.3">
      <c r="A9" t="s">
        <v>38</v>
      </c>
      <c r="B9" s="11">
        <v>500</v>
      </c>
      <c r="C9" t="s">
        <v>5</v>
      </c>
    </row>
    <row r="10" spans="1:3" x14ac:dyDescent="0.3">
      <c r="A10" t="s">
        <v>50</v>
      </c>
      <c r="B10" s="11">
        <v>3</v>
      </c>
      <c r="C10" t="s">
        <v>9</v>
      </c>
    </row>
    <row r="11" spans="1:3" x14ac:dyDescent="0.3">
      <c r="A11" t="s">
        <v>14</v>
      </c>
      <c r="B11" s="11">
        <v>500</v>
      </c>
      <c r="C11" t="s">
        <v>5</v>
      </c>
    </row>
    <row r="12" spans="1:3" x14ac:dyDescent="0.3">
      <c r="A12" t="s">
        <v>47</v>
      </c>
      <c r="B12" s="11">
        <v>20</v>
      </c>
      <c r="C12" t="s">
        <v>5</v>
      </c>
    </row>
    <row r="13" spans="1:3" x14ac:dyDescent="0.3">
      <c r="A13" t="s">
        <v>17</v>
      </c>
      <c r="B13" s="11">
        <v>18</v>
      </c>
      <c r="C13" t="s">
        <v>6</v>
      </c>
    </row>
    <row r="14" spans="1:3" x14ac:dyDescent="0.3">
      <c r="A14" t="s">
        <v>18</v>
      </c>
      <c r="B14" s="11">
        <v>23.5</v>
      </c>
      <c r="C14" t="s">
        <v>6</v>
      </c>
    </row>
    <row r="15" spans="1:3" x14ac:dyDescent="0.3">
      <c r="A15" t="s">
        <v>19</v>
      </c>
      <c r="B15" s="11">
        <v>24</v>
      </c>
      <c r="C15" t="s">
        <v>7</v>
      </c>
    </row>
    <row r="16" spans="1:3" x14ac:dyDescent="0.3">
      <c r="A16" t="s">
        <v>20</v>
      </c>
      <c r="B16" s="11">
        <v>275</v>
      </c>
      <c r="C16" t="s">
        <v>8</v>
      </c>
    </row>
    <row r="17" spans="1:4" x14ac:dyDescent="0.3">
      <c r="A17" t="s">
        <v>21</v>
      </c>
      <c r="B17" s="11">
        <v>1.5</v>
      </c>
      <c r="C17" t="s">
        <v>9</v>
      </c>
    </row>
    <row r="18" spans="1:4" x14ac:dyDescent="0.3">
      <c r="A18" t="s">
        <v>22</v>
      </c>
      <c r="B18" s="11">
        <v>75</v>
      </c>
      <c r="C18" t="s">
        <v>5</v>
      </c>
    </row>
    <row r="20" spans="1:4" x14ac:dyDescent="0.3">
      <c r="A20" s="1" t="s">
        <v>48</v>
      </c>
    </row>
    <row r="21" spans="1:4" x14ac:dyDescent="0.3">
      <c r="B21" t="s">
        <v>49</v>
      </c>
      <c r="C21" s="4">
        <f>(1.2*B7+1.6*B8)/(B10^2)</f>
        <v>182.22222222222223</v>
      </c>
      <c r="D21" t="s">
        <v>3</v>
      </c>
    </row>
    <row r="23" spans="1:4" x14ac:dyDescent="0.3">
      <c r="A23" s="1" t="s">
        <v>51</v>
      </c>
    </row>
    <row r="24" spans="1:4" x14ac:dyDescent="0.3">
      <c r="B24" t="s">
        <v>26</v>
      </c>
      <c r="C24">
        <f>(B11-B18-B12)</f>
        <v>405</v>
      </c>
      <c r="D24" t="s">
        <v>5</v>
      </c>
    </row>
    <row r="26" spans="1:4" x14ac:dyDescent="0.3">
      <c r="A26" s="1" t="s">
        <v>52</v>
      </c>
    </row>
    <row r="27" spans="1:4" x14ac:dyDescent="0.3">
      <c r="B27" t="s">
        <v>53</v>
      </c>
      <c r="C27" s="4">
        <f>C21*(B10^2-((B9+C24)/1000)^2)</f>
        <v>1490.7554444444445</v>
      </c>
      <c r="D27" t="s">
        <v>4</v>
      </c>
    </row>
    <row r="29" spans="1:4" x14ac:dyDescent="0.3">
      <c r="A29" s="1" t="s">
        <v>54</v>
      </c>
    </row>
    <row r="30" spans="1:4" x14ac:dyDescent="0.3">
      <c r="B30" t="s">
        <v>55</v>
      </c>
      <c r="C30" s="4">
        <f>(0.75*(0.33)*SQRT(B15)*4*(B9+C24)*C24)/1000</f>
        <v>1777.6424713877364</v>
      </c>
      <c r="D30" t="s">
        <v>4</v>
      </c>
    </row>
    <row r="31" spans="1:4" ht="15" thickBot="1" x14ac:dyDescent="0.35"/>
    <row r="32" spans="1:4" ht="15.6" thickTop="1" thickBot="1" x14ac:dyDescent="0.35">
      <c r="A32" s="38" t="s">
        <v>57</v>
      </c>
      <c r="B32" s="39"/>
      <c r="C32" s="40"/>
    </row>
    <row r="33" spans="1:3" ht="15.6" thickTop="1" thickBot="1" x14ac:dyDescent="0.35">
      <c r="A33" s="12" t="s">
        <v>53</v>
      </c>
      <c r="B33" s="30">
        <f>C27</f>
        <v>1490.7554444444445</v>
      </c>
      <c r="C33" s="28" t="s">
        <v>4</v>
      </c>
    </row>
    <row r="34" spans="1:3" ht="15.6" thickTop="1" thickBot="1" x14ac:dyDescent="0.35">
      <c r="A34" s="14" t="s">
        <v>58</v>
      </c>
      <c r="B34" s="31">
        <f>C30</f>
        <v>1777.6424713877364</v>
      </c>
      <c r="C34" s="29" t="s">
        <v>4</v>
      </c>
    </row>
    <row r="35" spans="1:3" ht="15.6" thickTop="1" thickBot="1" x14ac:dyDescent="0.35">
      <c r="A35" s="13" t="s">
        <v>56</v>
      </c>
      <c r="B35" s="32" t="str">
        <f>IF(B34&gt;B33,"SAFE","UNSAFE")</f>
        <v>SAFE</v>
      </c>
      <c r="C35" s="26"/>
    </row>
    <row r="36" spans="1:3" ht="15" thickTop="1" x14ac:dyDescent="0.3"/>
  </sheetData>
  <mergeCells count="2">
    <mergeCell ref="A32:C32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03D2-AC57-4579-B1A7-15B4DC19CEE8}">
  <dimension ref="A1:D50"/>
  <sheetViews>
    <sheetView topLeftCell="A29" workbookViewId="0">
      <selection activeCell="B52" sqref="B52"/>
    </sheetView>
  </sheetViews>
  <sheetFormatPr defaultRowHeight="14.4" x14ac:dyDescent="0.3"/>
  <cols>
    <col min="1" max="1" width="33.21875" customWidth="1"/>
    <col min="2" max="2" width="28.6640625" customWidth="1"/>
    <col min="3" max="3" width="11.33203125" customWidth="1"/>
    <col min="4" max="4" width="10.109375" customWidth="1"/>
  </cols>
  <sheetData>
    <row r="1" spans="1:3" x14ac:dyDescent="0.3">
      <c r="A1" s="42" t="s">
        <v>104</v>
      </c>
      <c r="B1" s="42"/>
    </row>
    <row r="2" spans="1:3" x14ac:dyDescent="0.3">
      <c r="A2" s="1" t="s">
        <v>0</v>
      </c>
      <c r="B2" s="1" t="s">
        <v>1</v>
      </c>
      <c r="C2" t="s">
        <v>2</v>
      </c>
    </row>
    <row r="3" spans="1:3" x14ac:dyDescent="0.3">
      <c r="B3" s="2"/>
    </row>
    <row r="4" spans="1:3" x14ac:dyDescent="0.3">
      <c r="A4" t="s">
        <v>12</v>
      </c>
      <c r="B4" s="3">
        <v>890</v>
      </c>
      <c r="C4" t="s">
        <v>4</v>
      </c>
    </row>
    <row r="5" spans="1:3" x14ac:dyDescent="0.3">
      <c r="A5" t="s">
        <v>13</v>
      </c>
      <c r="B5" s="11">
        <v>710</v>
      </c>
      <c r="C5" t="s">
        <v>4</v>
      </c>
    </row>
    <row r="6" spans="1:3" x14ac:dyDescent="0.3">
      <c r="A6" t="s">
        <v>38</v>
      </c>
      <c r="B6" s="11">
        <v>400</v>
      </c>
      <c r="C6" t="s">
        <v>5</v>
      </c>
    </row>
    <row r="7" spans="1:3" x14ac:dyDescent="0.3">
      <c r="A7" t="s">
        <v>14</v>
      </c>
      <c r="B7" s="11">
        <v>600</v>
      </c>
      <c r="C7" t="s">
        <v>5</v>
      </c>
    </row>
    <row r="8" spans="1:3" x14ac:dyDescent="0.3">
      <c r="A8" t="s">
        <v>15</v>
      </c>
      <c r="B8" s="11">
        <v>240</v>
      </c>
      <c r="C8" t="s">
        <v>3</v>
      </c>
    </row>
    <row r="9" spans="1:3" x14ac:dyDescent="0.3">
      <c r="A9" t="s">
        <v>16</v>
      </c>
      <c r="B9" s="11">
        <v>0</v>
      </c>
      <c r="C9" t="s">
        <v>3</v>
      </c>
    </row>
    <row r="10" spans="1:3" x14ac:dyDescent="0.3">
      <c r="A10" t="s">
        <v>17</v>
      </c>
      <c r="B10" s="11">
        <v>15.74</v>
      </c>
      <c r="C10" t="s">
        <v>6</v>
      </c>
    </row>
    <row r="11" spans="1:3" x14ac:dyDescent="0.3">
      <c r="A11" t="s">
        <v>18</v>
      </c>
      <c r="B11" s="11">
        <v>23.5</v>
      </c>
      <c r="C11" t="s">
        <v>6</v>
      </c>
    </row>
    <row r="12" spans="1:3" x14ac:dyDescent="0.3">
      <c r="A12" t="s">
        <v>19</v>
      </c>
      <c r="B12" s="11">
        <v>20.7</v>
      </c>
      <c r="C12" t="s">
        <v>7</v>
      </c>
    </row>
    <row r="13" spans="1:3" x14ac:dyDescent="0.3">
      <c r="A13" t="s">
        <v>20</v>
      </c>
      <c r="B13" s="11">
        <v>415</v>
      </c>
      <c r="C13" t="s">
        <v>8</v>
      </c>
    </row>
    <row r="14" spans="1:3" x14ac:dyDescent="0.3">
      <c r="A14" t="s">
        <v>21</v>
      </c>
      <c r="B14" s="11">
        <v>1.5</v>
      </c>
      <c r="C14" t="s">
        <v>9</v>
      </c>
    </row>
    <row r="15" spans="1:3" x14ac:dyDescent="0.3">
      <c r="A15" t="s">
        <v>22</v>
      </c>
      <c r="B15" s="11">
        <v>75</v>
      </c>
      <c r="C15" t="s">
        <v>5</v>
      </c>
    </row>
    <row r="16" spans="1:3" x14ac:dyDescent="0.3">
      <c r="A16" t="s">
        <v>47</v>
      </c>
      <c r="B16" s="11">
        <v>25</v>
      </c>
      <c r="C16" t="s">
        <v>5</v>
      </c>
    </row>
    <row r="17" spans="1:4" x14ac:dyDescent="0.3">
      <c r="A17" t="s">
        <v>23</v>
      </c>
      <c r="B17" s="11">
        <v>8</v>
      </c>
    </row>
    <row r="19" spans="1:4" x14ac:dyDescent="0.3">
      <c r="A19" s="1" t="s">
        <v>25</v>
      </c>
      <c r="B19" t="s">
        <v>26</v>
      </c>
      <c r="C19">
        <f>B7-B15</f>
        <v>525</v>
      </c>
      <c r="D19" t="s">
        <v>5</v>
      </c>
    </row>
    <row r="21" spans="1:4" x14ac:dyDescent="0.3">
      <c r="A21" s="1" t="s">
        <v>27</v>
      </c>
    </row>
    <row r="22" spans="1:4" x14ac:dyDescent="0.3">
      <c r="B22" t="s">
        <v>11</v>
      </c>
      <c r="C22">
        <f>B8-B9-B11*(B7/1000)-B10*(B14-(B7/1000))</f>
        <v>211.73400000000001</v>
      </c>
      <c r="D22" t="s">
        <v>3</v>
      </c>
    </row>
    <row r="24" spans="1:4" x14ac:dyDescent="0.3">
      <c r="A24" s="1" t="s">
        <v>28</v>
      </c>
    </row>
    <row r="25" spans="1:4" x14ac:dyDescent="0.3">
      <c r="B25" t="s">
        <v>10</v>
      </c>
      <c r="C25">
        <f>CEILING(SQRT((B4+B5)/C22),0.25)</f>
        <v>2.75</v>
      </c>
      <c r="D25" t="s">
        <v>9</v>
      </c>
    </row>
    <row r="27" spans="1:4" x14ac:dyDescent="0.3">
      <c r="A27" s="1" t="s">
        <v>29</v>
      </c>
    </row>
    <row r="28" spans="1:4" x14ac:dyDescent="0.3">
      <c r="B28" t="s">
        <v>24</v>
      </c>
      <c r="C28" s="4">
        <f>(1.2*B4+1.6*B5)/C25^2</f>
        <v>291.43801652892563</v>
      </c>
      <c r="D28" t="s">
        <v>3</v>
      </c>
    </row>
    <row r="30" spans="1:4" ht="28.8" x14ac:dyDescent="0.3">
      <c r="A30" s="16" t="s">
        <v>30</v>
      </c>
      <c r="B30" s="5"/>
      <c r="C30" s="5"/>
      <c r="D30" s="5"/>
    </row>
    <row r="31" spans="1:4" x14ac:dyDescent="0.3">
      <c r="B31" t="s">
        <v>45</v>
      </c>
      <c r="C31">
        <f>((C25-B6/1000)/2)-C19/1000</f>
        <v>0.65</v>
      </c>
      <c r="D31" t="s">
        <v>9</v>
      </c>
    </row>
    <row r="32" spans="1:4" x14ac:dyDescent="0.3">
      <c r="B32" t="s">
        <v>31</v>
      </c>
      <c r="C32" s="4">
        <f>C28*C31*C25</f>
        <v>520.9454545454546</v>
      </c>
      <c r="D32" t="s">
        <v>4</v>
      </c>
    </row>
    <row r="33" spans="1:4" ht="15.6" x14ac:dyDescent="0.35">
      <c r="B33" t="s">
        <v>36</v>
      </c>
      <c r="C33" s="6">
        <f>((C32*1000)*6)/(0.75*SQRT(B12)*C25*1000)</f>
        <v>333.09213132757844</v>
      </c>
      <c r="D33" t="s">
        <v>5</v>
      </c>
    </row>
    <row r="34" spans="1:4" x14ac:dyDescent="0.3">
      <c r="B34" t="s">
        <v>32</v>
      </c>
      <c r="C34" t="str">
        <f>IF(C33&lt;C19,"SAFE","UNSAFE")</f>
        <v>SAFE</v>
      </c>
    </row>
    <row r="36" spans="1:4" ht="28.8" x14ac:dyDescent="0.3">
      <c r="A36" s="16" t="s">
        <v>33</v>
      </c>
    </row>
    <row r="37" spans="1:4" x14ac:dyDescent="0.3">
      <c r="B37" t="s">
        <v>34</v>
      </c>
      <c r="C37">
        <f>B6+C19</f>
        <v>925</v>
      </c>
      <c r="D37" t="s">
        <v>5</v>
      </c>
    </row>
    <row r="38" spans="1:4" x14ac:dyDescent="0.3">
      <c r="B38" t="s">
        <v>35</v>
      </c>
      <c r="C38" s="4">
        <f>(C25^2-(C37/1000)^2)*C28</f>
        <v>1954.6383471074382</v>
      </c>
      <c r="D38" t="s">
        <v>4</v>
      </c>
    </row>
    <row r="39" spans="1:4" ht="15.6" x14ac:dyDescent="0.35">
      <c r="B39" t="s">
        <v>37</v>
      </c>
      <c r="C39" s="6">
        <f>(C38*1000*3)/(0.75*SQRT(B12)*4*C37)</f>
        <v>464.45057968766167</v>
      </c>
      <c r="D39" t="s">
        <v>5</v>
      </c>
    </row>
    <row r="40" spans="1:4" x14ac:dyDescent="0.3">
      <c r="B40" t="s">
        <v>32</v>
      </c>
      <c r="C40" t="str">
        <f>IF(C39&lt;C19,"SAFE","UNSAFE")</f>
        <v>SAFE</v>
      </c>
    </row>
    <row r="42" spans="1:4" x14ac:dyDescent="0.3">
      <c r="A42" s="1" t="s">
        <v>39</v>
      </c>
    </row>
    <row r="43" spans="1:4" x14ac:dyDescent="0.3">
      <c r="B43" t="s">
        <v>40</v>
      </c>
      <c r="C43">
        <f>CEILING((C25*1000*MAX(C33,C39)*(1.4/B13))/(0.25*PI()*B16^2),1)</f>
        <v>9</v>
      </c>
    </row>
    <row r="45" spans="1:4" ht="15" thickBot="1" x14ac:dyDescent="0.35">
      <c r="A45" s="1" t="s">
        <v>46</v>
      </c>
    </row>
    <row r="46" spans="1:4" ht="15.6" thickTop="1" thickBot="1" x14ac:dyDescent="0.35">
      <c r="A46" s="38" t="s">
        <v>44</v>
      </c>
      <c r="B46" s="39"/>
      <c r="C46" s="40"/>
    </row>
    <row r="47" spans="1:4" ht="15.6" thickTop="1" thickBot="1" x14ac:dyDescent="0.35">
      <c r="A47" s="7" t="s">
        <v>43</v>
      </c>
      <c r="B47" s="33">
        <f>IF(AND(C40 = "SAFE",C34 = "SAFE"),C25,(C25+0.25))</f>
        <v>2.75</v>
      </c>
      <c r="C47" s="22" t="s">
        <v>9</v>
      </c>
    </row>
    <row r="48" spans="1:4" ht="15.6" thickTop="1" thickBot="1" x14ac:dyDescent="0.35">
      <c r="A48" s="8" t="s">
        <v>41</v>
      </c>
      <c r="B48" s="34" t="str">
        <f>B47&amp;" m x "&amp;B47&amp;" m"</f>
        <v>2.75 m x 2.75 m</v>
      </c>
      <c r="C48" s="24"/>
    </row>
    <row r="49" spans="1:3" ht="15.6" thickTop="1" thickBot="1" x14ac:dyDescent="0.35">
      <c r="A49" s="9" t="s">
        <v>42</v>
      </c>
      <c r="B49" s="35" t="str">
        <f>"Use "&amp; C43&amp;" - "&amp;B16&amp;" mm diameter rebars."</f>
        <v>Use 9 - 25 mm diameter rebars.</v>
      </c>
      <c r="C49" s="26"/>
    </row>
    <row r="50" spans="1:3" ht="15" thickTop="1" x14ac:dyDescent="0.3"/>
  </sheetData>
  <mergeCells count="2">
    <mergeCell ref="A46:C46"/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F9FC-687C-4EBC-9875-E040ECB01A5D}">
  <dimension ref="A1:D44"/>
  <sheetViews>
    <sheetView topLeftCell="A6" workbookViewId="0">
      <selection activeCell="G11" sqref="G11"/>
    </sheetView>
  </sheetViews>
  <sheetFormatPr defaultRowHeight="14.4" x14ac:dyDescent="0.3"/>
  <cols>
    <col min="1" max="1" width="36.5546875" style="5" customWidth="1"/>
    <col min="2" max="2" width="33" style="5" customWidth="1"/>
    <col min="3" max="3" width="9.5546875" style="5" bestFit="1" customWidth="1"/>
    <col min="4" max="16384" width="8.88671875" style="5"/>
  </cols>
  <sheetData>
    <row r="1" spans="1:3" x14ac:dyDescent="0.3">
      <c r="A1" s="41" t="s">
        <v>95</v>
      </c>
      <c r="B1" s="41"/>
    </row>
    <row r="2" spans="1:3" x14ac:dyDescent="0.3">
      <c r="A2" s="17" t="s">
        <v>0</v>
      </c>
      <c r="B2" s="17" t="s">
        <v>1</v>
      </c>
      <c r="C2" s="5" t="s">
        <v>2</v>
      </c>
    </row>
    <row r="3" spans="1:3" x14ac:dyDescent="0.3">
      <c r="B3" s="2"/>
    </row>
    <row r="4" spans="1:3" ht="15.6" x14ac:dyDescent="0.3">
      <c r="A4" s="5" t="s">
        <v>59</v>
      </c>
      <c r="B4" s="3">
        <v>700</v>
      </c>
      <c r="C4" s="5" t="s">
        <v>4</v>
      </c>
    </row>
    <row r="5" spans="1:3" ht="15.6" x14ac:dyDescent="0.3">
      <c r="A5" s="5" t="s">
        <v>60</v>
      </c>
      <c r="B5" s="3">
        <v>600</v>
      </c>
      <c r="C5" s="5" t="s">
        <v>4</v>
      </c>
    </row>
    <row r="6" spans="1:3" ht="15.6" x14ac:dyDescent="0.3">
      <c r="A6" s="5" t="s">
        <v>65</v>
      </c>
      <c r="B6" s="3">
        <v>190</v>
      </c>
      <c r="C6" s="5" t="s">
        <v>68</v>
      </c>
    </row>
    <row r="7" spans="1:3" ht="15.6" x14ac:dyDescent="0.3">
      <c r="A7" s="5" t="s">
        <v>66</v>
      </c>
      <c r="B7" s="3">
        <v>135</v>
      </c>
      <c r="C7" s="5" t="s">
        <v>68</v>
      </c>
    </row>
    <row r="8" spans="1:3" x14ac:dyDescent="0.3">
      <c r="A8" s="5" t="s">
        <v>72</v>
      </c>
      <c r="B8" s="3" t="s">
        <v>74</v>
      </c>
    </row>
    <row r="9" spans="1:3" x14ac:dyDescent="0.3">
      <c r="A9" s="5" t="s">
        <v>80</v>
      </c>
      <c r="B9" s="3" t="s">
        <v>83</v>
      </c>
    </row>
    <row r="10" spans="1:3" x14ac:dyDescent="0.3">
      <c r="A10" s="5" t="s">
        <v>61</v>
      </c>
      <c r="B10" s="3">
        <v>2.5</v>
      </c>
      <c r="C10" s="5" t="s">
        <v>9</v>
      </c>
    </row>
    <row r="11" spans="1:3" x14ac:dyDescent="0.3">
      <c r="A11" s="5" t="s">
        <v>62</v>
      </c>
      <c r="B11" s="3">
        <v>3.5</v>
      </c>
      <c r="C11" s="5" t="s">
        <v>9</v>
      </c>
    </row>
    <row r="12" spans="1:3" ht="15.6" x14ac:dyDescent="0.3">
      <c r="A12" s="5" t="s">
        <v>63</v>
      </c>
      <c r="B12" s="3">
        <v>450</v>
      </c>
      <c r="C12" s="5" t="s">
        <v>5</v>
      </c>
    </row>
    <row r="13" spans="1:3" ht="15.6" x14ac:dyDescent="0.3">
      <c r="A13" s="5" t="s">
        <v>64</v>
      </c>
      <c r="B13" s="3">
        <v>600</v>
      </c>
      <c r="C13" s="5" t="s">
        <v>5</v>
      </c>
    </row>
    <row r="14" spans="1:3" x14ac:dyDescent="0.3">
      <c r="A14" s="5" t="s">
        <v>67</v>
      </c>
      <c r="B14" s="3">
        <v>0.45</v>
      </c>
      <c r="C14" s="5" t="s">
        <v>9</v>
      </c>
    </row>
    <row r="15" spans="1:3" x14ac:dyDescent="0.3">
      <c r="A15" s="5" t="s">
        <v>17</v>
      </c>
      <c r="B15" s="3">
        <v>18</v>
      </c>
      <c r="C15" s="5" t="s">
        <v>6</v>
      </c>
    </row>
    <row r="16" spans="1:3" x14ac:dyDescent="0.3">
      <c r="A16" s="5" t="s">
        <v>18</v>
      </c>
      <c r="B16" s="3">
        <v>24</v>
      </c>
      <c r="C16" s="5" t="s">
        <v>6</v>
      </c>
    </row>
    <row r="17" spans="1:4" x14ac:dyDescent="0.3">
      <c r="A17" s="5" t="s">
        <v>21</v>
      </c>
      <c r="B17" s="3">
        <v>2.2000000000000002</v>
      </c>
      <c r="C17" s="5" t="s">
        <v>9</v>
      </c>
    </row>
    <row r="18" spans="1:4" x14ac:dyDescent="0.3">
      <c r="A18" s="5" t="s">
        <v>14</v>
      </c>
      <c r="B18" s="3">
        <v>0.7</v>
      </c>
      <c r="C18" s="5" t="s">
        <v>9</v>
      </c>
    </row>
    <row r="20" spans="1:4" x14ac:dyDescent="0.3">
      <c r="A20" s="5" t="s">
        <v>69</v>
      </c>
    </row>
    <row r="21" spans="1:4" x14ac:dyDescent="0.3">
      <c r="B21" s="5" t="s">
        <v>76</v>
      </c>
      <c r="C21" s="5">
        <f>(B4+B5)</f>
        <v>1300</v>
      </c>
      <c r="D21" s="5" t="s">
        <v>4</v>
      </c>
    </row>
    <row r="22" spans="1:4" x14ac:dyDescent="0.3">
      <c r="B22" s="5" t="s">
        <v>71</v>
      </c>
      <c r="C22" s="5">
        <f>IF(B8="Clockwise",(B6+B7),-(B6+B7))</f>
        <v>325</v>
      </c>
      <c r="D22" s="5" t="s">
        <v>68</v>
      </c>
    </row>
    <row r="23" spans="1:4" x14ac:dyDescent="0.3">
      <c r="B23" s="5" t="s">
        <v>70</v>
      </c>
      <c r="C23" s="5">
        <f>ABS(C22-C21*B14)</f>
        <v>260</v>
      </c>
      <c r="D23" s="5" t="s">
        <v>68</v>
      </c>
    </row>
    <row r="25" spans="1:4" x14ac:dyDescent="0.3">
      <c r="A25" s="5" t="s">
        <v>77</v>
      </c>
    </row>
    <row r="26" spans="1:4" x14ac:dyDescent="0.3">
      <c r="B26" s="5" t="s">
        <v>78</v>
      </c>
      <c r="C26" s="5">
        <f>(C23/C21)</f>
        <v>0.2</v>
      </c>
      <c r="D26" s="5" t="s">
        <v>9</v>
      </c>
    </row>
    <row r="27" spans="1:4" x14ac:dyDescent="0.3">
      <c r="B27" s="5" t="s">
        <v>79</v>
      </c>
      <c r="C27" s="18">
        <f>IF(B9="Parallel to B",B11/6,B10/6)</f>
        <v>0.58333333333333337</v>
      </c>
      <c r="D27" s="5" t="s">
        <v>9</v>
      </c>
    </row>
    <row r="28" spans="1:4" x14ac:dyDescent="0.3">
      <c r="B28" s="5" t="s">
        <v>84</v>
      </c>
      <c r="C28" s="5" t="str">
        <f>IF(C26&lt;C27, "No Uplift","With Uplift")</f>
        <v>No Uplift</v>
      </c>
    </row>
    <row r="30" spans="1:4" x14ac:dyDescent="0.3">
      <c r="A30" s="5" t="s">
        <v>85</v>
      </c>
    </row>
    <row r="31" spans="1:4" ht="15.6" x14ac:dyDescent="0.3">
      <c r="B31" s="5" t="s">
        <v>87</v>
      </c>
      <c r="C31" s="19">
        <f>(C21/(B10*B11))+C23/(IF(B9="Parallel to B",((B10)*(B11)^2)/6,((B11)*(B10)^2)))</f>
        <v>199.51020408163265</v>
      </c>
      <c r="D31" s="5" t="s">
        <v>3</v>
      </c>
    </row>
    <row r="32" spans="1:4" ht="15.6" x14ac:dyDescent="0.3">
      <c r="B32" s="5" t="s">
        <v>92</v>
      </c>
      <c r="C32" s="19">
        <f>(C21/(B10*B11))-C23/(IF(B9="Parallel to B",((B10)*(B11)^2)/6,((B11)*(B10)^2)))</f>
        <v>97.632653061224502</v>
      </c>
      <c r="D32" s="5" t="s">
        <v>3</v>
      </c>
    </row>
    <row r="33" spans="1:4" x14ac:dyDescent="0.3">
      <c r="C33" s="19"/>
    </row>
    <row r="34" spans="1:4" ht="15.6" x14ac:dyDescent="0.3">
      <c r="A34" s="5" t="s">
        <v>89</v>
      </c>
      <c r="B34" s="5" t="s">
        <v>93</v>
      </c>
      <c r="C34" s="19">
        <f>C31+(B16*B18)+(B17-B18)*B15</f>
        <v>243.31020408163266</v>
      </c>
      <c r="D34" s="5" t="s">
        <v>3</v>
      </c>
    </row>
    <row r="35" spans="1:4" ht="15.6" x14ac:dyDescent="0.3">
      <c r="B35" s="5" t="s">
        <v>94</v>
      </c>
      <c r="C35" s="19">
        <f>C32+(B16*B18)+(B17-B18)*B15</f>
        <v>141.4326530612245</v>
      </c>
      <c r="D35" s="5" t="s">
        <v>3</v>
      </c>
    </row>
    <row r="37" spans="1:4" ht="15" thickBot="1" x14ac:dyDescent="0.35">
      <c r="A37" s="1" t="s">
        <v>46</v>
      </c>
      <c r="B37"/>
      <c r="C37"/>
    </row>
    <row r="38" spans="1:4" ht="15.6" thickTop="1" thickBot="1" x14ac:dyDescent="0.35">
      <c r="A38" s="38" t="s">
        <v>44</v>
      </c>
      <c r="B38" s="39"/>
      <c r="C38" s="40"/>
    </row>
    <row r="39" spans="1:4" ht="16.8" thickTop="1" thickBot="1" x14ac:dyDescent="0.35">
      <c r="A39" s="7" t="s">
        <v>86</v>
      </c>
      <c r="B39" s="21">
        <f>C31</f>
        <v>199.51020408163265</v>
      </c>
      <c r="C39" s="22" t="s">
        <v>3</v>
      </c>
    </row>
    <row r="40" spans="1:4" ht="16.8" thickTop="1" thickBot="1" x14ac:dyDescent="0.35">
      <c r="A40" s="8" t="s">
        <v>88</v>
      </c>
      <c r="B40" s="23">
        <f>C32</f>
        <v>97.632653061224502</v>
      </c>
      <c r="C40" s="24" t="s">
        <v>3</v>
      </c>
    </row>
    <row r="41" spans="1:4" ht="16.8" thickTop="1" thickBot="1" x14ac:dyDescent="0.35">
      <c r="A41" s="9" t="s">
        <v>90</v>
      </c>
      <c r="B41" s="25">
        <f>C34</f>
        <v>243.31020408163266</v>
      </c>
      <c r="C41" s="26" t="s">
        <v>3</v>
      </c>
    </row>
    <row r="42" spans="1:4" ht="16.8" thickTop="1" thickBot="1" x14ac:dyDescent="0.35">
      <c r="A42" s="8" t="s">
        <v>91</v>
      </c>
      <c r="B42" s="23">
        <f>C35</f>
        <v>141.4326530612245</v>
      </c>
      <c r="C42" s="24" t="s">
        <v>3</v>
      </c>
    </row>
    <row r="43" spans="1:4" ht="15.6" thickTop="1" thickBot="1" x14ac:dyDescent="0.35">
      <c r="A43" s="9"/>
      <c r="B43" s="20"/>
      <c r="C43" s="10"/>
    </row>
    <row r="44" spans="1:4" ht="15" thickTop="1" x14ac:dyDescent="0.3"/>
  </sheetData>
  <mergeCells count="2">
    <mergeCell ref="A38:C38"/>
    <mergeCell ref="A1:B1"/>
  </mergeCells>
  <dataValidations count="2">
    <dataValidation type="list" allowBlank="1" showInputMessage="1" showErrorMessage="1" sqref="B8" xr:uid="{3C613243-7AF1-4B7E-83A1-72669166D72A}">
      <formula1>DIRECTION</formula1>
    </dataValidation>
    <dataValidation type="list" allowBlank="1" showInputMessage="1" showErrorMessage="1" sqref="B9" xr:uid="{8682DCA8-7335-4EA7-8FFC-8B86292E4C84}">
      <formula1>ORIENTATION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F427-F453-4CC0-81A0-54673C5D5A8F}">
  <dimension ref="A1:D56"/>
  <sheetViews>
    <sheetView workbookViewId="0">
      <selection activeCell="B66" sqref="B66"/>
    </sheetView>
  </sheetViews>
  <sheetFormatPr defaultRowHeight="14.4" x14ac:dyDescent="0.3"/>
  <cols>
    <col min="1" max="1" width="31.6640625" customWidth="1"/>
    <col min="2" max="2" width="37.109375" customWidth="1"/>
  </cols>
  <sheetData>
    <row r="1" spans="1:3" x14ac:dyDescent="0.3">
      <c r="A1" s="41" t="s">
        <v>96</v>
      </c>
      <c r="B1" s="41"/>
      <c r="C1" s="5"/>
    </row>
    <row r="2" spans="1:3" x14ac:dyDescent="0.3">
      <c r="A2" s="17" t="s">
        <v>0</v>
      </c>
      <c r="B2" s="17" t="s">
        <v>1</v>
      </c>
      <c r="C2" s="5" t="s">
        <v>2</v>
      </c>
    </row>
    <row r="3" spans="1:3" x14ac:dyDescent="0.3">
      <c r="A3" s="5"/>
      <c r="B3" s="2"/>
      <c r="C3" s="5"/>
    </row>
    <row r="4" spans="1:3" ht="15.6" x14ac:dyDescent="0.3">
      <c r="A4" s="5" t="s">
        <v>59</v>
      </c>
      <c r="B4" s="3">
        <v>700</v>
      </c>
      <c r="C4" s="5" t="s">
        <v>4</v>
      </c>
    </row>
    <row r="5" spans="1:3" ht="15.6" x14ac:dyDescent="0.3">
      <c r="A5" s="5" t="s">
        <v>60</v>
      </c>
      <c r="B5" s="3">
        <v>600</v>
      </c>
      <c r="C5" s="5" t="s">
        <v>4</v>
      </c>
    </row>
    <row r="6" spans="1:3" ht="15.6" x14ac:dyDescent="0.3">
      <c r="A6" s="5" t="s">
        <v>65</v>
      </c>
      <c r="B6" s="3">
        <v>190</v>
      </c>
      <c r="C6" s="5" t="s">
        <v>68</v>
      </c>
    </row>
    <row r="7" spans="1:3" ht="15.6" x14ac:dyDescent="0.3">
      <c r="A7" s="5" t="s">
        <v>66</v>
      </c>
      <c r="B7" s="3">
        <v>135</v>
      </c>
      <c r="C7" s="5" t="s">
        <v>68</v>
      </c>
    </row>
    <row r="8" spans="1:3" x14ac:dyDescent="0.3">
      <c r="A8" s="5" t="s">
        <v>72</v>
      </c>
      <c r="B8" s="3" t="s">
        <v>74</v>
      </c>
      <c r="C8" s="5"/>
    </row>
    <row r="9" spans="1:3" x14ac:dyDescent="0.3">
      <c r="A9" s="5" t="s">
        <v>80</v>
      </c>
      <c r="B9" s="3" t="s">
        <v>83</v>
      </c>
      <c r="C9" s="5"/>
    </row>
    <row r="10" spans="1:3" x14ac:dyDescent="0.3">
      <c r="A10" s="5" t="s">
        <v>61</v>
      </c>
      <c r="B10" s="3">
        <v>2.5</v>
      </c>
      <c r="C10" s="5" t="s">
        <v>9</v>
      </c>
    </row>
    <row r="11" spans="1:3" x14ac:dyDescent="0.3">
      <c r="A11" s="5" t="s">
        <v>62</v>
      </c>
      <c r="B11" s="3">
        <v>3.5</v>
      </c>
      <c r="C11" s="5" t="s">
        <v>9</v>
      </c>
    </row>
    <row r="12" spans="1:3" ht="15.6" x14ac:dyDescent="0.3">
      <c r="A12" s="5" t="s">
        <v>63</v>
      </c>
      <c r="B12" s="3">
        <v>450</v>
      </c>
      <c r="C12" s="5" t="s">
        <v>5</v>
      </c>
    </row>
    <row r="13" spans="1:3" ht="15.6" x14ac:dyDescent="0.3">
      <c r="A13" s="5" t="s">
        <v>64</v>
      </c>
      <c r="B13" s="3">
        <v>600</v>
      </c>
      <c r="C13" s="5" t="s">
        <v>5</v>
      </c>
    </row>
    <row r="14" spans="1:3" x14ac:dyDescent="0.3">
      <c r="A14" s="5" t="s">
        <v>67</v>
      </c>
      <c r="B14" s="3">
        <v>0.45</v>
      </c>
      <c r="C14" s="5" t="s">
        <v>9</v>
      </c>
    </row>
    <row r="15" spans="1:3" x14ac:dyDescent="0.3">
      <c r="A15" s="5" t="s">
        <v>17</v>
      </c>
      <c r="B15" s="3">
        <v>18</v>
      </c>
      <c r="C15" s="5" t="s">
        <v>6</v>
      </c>
    </row>
    <row r="16" spans="1:3" x14ac:dyDescent="0.3">
      <c r="A16" s="5" t="s">
        <v>18</v>
      </c>
      <c r="B16" s="3">
        <v>24</v>
      </c>
      <c r="C16" s="5" t="s">
        <v>6</v>
      </c>
    </row>
    <row r="17" spans="1:4" x14ac:dyDescent="0.3">
      <c r="A17" s="5" t="s">
        <v>21</v>
      </c>
      <c r="B17" s="3">
        <v>2.2000000000000002</v>
      </c>
      <c r="C17" s="5" t="s">
        <v>9</v>
      </c>
    </row>
    <row r="18" spans="1:4" x14ac:dyDescent="0.3">
      <c r="A18" s="5" t="s">
        <v>14</v>
      </c>
      <c r="B18" s="3">
        <v>0.6</v>
      </c>
      <c r="C18" s="5" t="s">
        <v>9</v>
      </c>
    </row>
    <row r="19" spans="1:4" x14ac:dyDescent="0.3">
      <c r="A19" s="5" t="s">
        <v>97</v>
      </c>
      <c r="B19" s="3">
        <v>27.5</v>
      </c>
      <c r="C19" s="5" t="s">
        <v>7</v>
      </c>
    </row>
    <row r="20" spans="1:4" x14ac:dyDescent="0.3">
      <c r="A20" s="5" t="s">
        <v>20</v>
      </c>
      <c r="B20" s="3">
        <v>275</v>
      </c>
      <c r="C20" s="5" t="s">
        <v>8</v>
      </c>
    </row>
    <row r="21" spans="1:4" x14ac:dyDescent="0.3">
      <c r="A21" s="5" t="s">
        <v>22</v>
      </c>
      <c r="B21" s="3">
        <v>75</v>
      </c>
      <c r="C21" s="5" t="s">
        <v>5</v>
      </c>
    </row>
    <row r="22" spans="1:4" x14ac:dyDescent="0.3">
      <c r="A22" s="5" t="s">
        <v>105</v>
      </c>
      <c r="B22" s="3">
        <v>20</v>
      </c>
      <c r="C22" s="5" t="s">
        <v>5</v>
      </c>
    </row>
    <row r="23" spans="1:4" x14ac:dyDescent="0.3">
      <c r="A23" s="5" t="s">
        <v>107</v>
      </c>
      <c r="B23" s="3">
        <v>2.1150000000000002</v>
      </c>
      <c r="C23" s="5" t="s">
        <v>9</v>
      </c>
    </row>
    <row r="25" spans="1:4" x14ac:dyDescent="0.3">
      <c r="A25" s="5" t="s">
        <v>69</v>
      </c>
    </row>
    <row r="26" spans="1:4" x14ac:dyDescent="0.3">
      <c r="B26" t="s">
        <v>98</v>
      </c>
      <c r="C26">
        <f>1.2*B4+1.6*B5</f>
        <v>1800</v>
      </c>
      <c r="D26" t="s">
        <v>4</v>
      </c>
    </row>
    <row r="27" spans="1:4" x14ac:dyDescent="0.3">
      <c r="B27" t="s">
        <v>99</v>
      </c>
      <c r="C27">
        <f>1.2*B6+1.6*B7</f>
        <v>444</v>
      </c>
      <c r="D27" t="s">
        <v>68</v>
      </c>
    </row>
    <row r="28" spans="1:4" x14ac:dyDescent="0.3">
      <c r="B28" t="s">
        <v>100</v>
      </c>
      <c r="C28">
        <f>ABS(C27-C26*B14)</f>
        <v>366</v>
      </c>
      <c r="D28" t="s">
        <v>68</v>
      </c>
    </row>
    <row r="30" spans="1:4" x14ac:dyDescent="0.3">
      <c r="A30" s="5" t="s">
        <v>77</v>
      </c>
      <c r="B30" s="5"/>
      <c r="C30" s="5"/>
      <c r="D30" s="5"/>
    </row>
    <row r="31" spans="1:4" x14ac:dyDescent="0.3">
      <c r="A31" s="5"/>
      <c r="B31" s="5" t="s">
        <v>78</v>
      </c>
      <c r="C31" s="18">
        <f>(C28/C26)</f>
        <v>0.20333333333333334</v>
      </c>
      <c r="D31" s="5" t="s">
        <v>9</v>
      </c>
    </row>
    <row r="32" spans="1:4" x14ac:dyDescent="0.3">
      <c r="A32" s="5"/>
      <c r="B32" s="5" t="s">
        <v>79</v>
      </c>
      <c r="C32" s="18">
        <f>IF(B9="Parallel to B",B11/6,B10/6)</f>
        <v>0.58333333333333337</v>
      </c>
      <c r="D32" s="5" t="s">
        <v>9</v>
      </c>
    </row>
    <row r="33" spans="1:4" x14ac:dyDescent="0.3">
      <c r="A33" s="5"/>
      <c r="B33" s="5" t="s">
        <v>84</v>
      </c>
      <c r="C33" s="5" t="str">
        <f>IF(C31&lt;C32, "No Uplift","With Uplift")</f>
        <v>No Uplift</v>
      </c>
      <c r="D33" s="5"/>
    </row>
    <row r="35" spans="1:4" x14ac:dyDescent="0.3">
      <c r="A35" s="5" t="s">
        <v>85</v>
      </c>
      <c r="B35" s="5"/>
      <c r="C35" s="5"/>
      <c r="D35" s="5"/>
    </row>
    <row r="36" spans="1:4" ht="15.6" x14ac:dyDescent="0.3">
      <c r="A36" s="5"/>
      <c r="B36" s="5" t="s">
        <v>114</v>
      </c>
      <c r="C36" s="19">
        <f>(C26/(B10*B11))+C28/(IF(B9="Parallel to B",((B10)*(B11)^2)/6,((B10)*(B11)^2)))</f>
        <v>277.42040816326528</v>
      </c>
      <c r="D36" s="5" t="s">
        <v>3</v>
      </c>
    </row>
    <row r="37" spans="1:4" ht="15.6" x14ac:dyDescent="0.3">
      <c r="A37" s="5"/>
      <c r="B37" s="5" t="s">
        <v>116</v>
      </c>
      <c r="C37" s="19">
        <f>(C26/(B10*B11))-C28/(IF(B9="Parallel to B",((B10)*(B11)^2)/6,((B10)*(B11)^2)))</f>
        <v>134.00816326530614</v>
      </c>
      <c r="D37" s="5" t="s">
        <v>3</v>
      </c>
    </row>
    <row r="39" spans="1:4" x14ac:dyDescent="0.3">
      <c r="A39" t="s">
        <v>101</v>
      </c>
    </row>
    <row r="40" spans="1:4" ht="15.6" x14ac:dyDescent="0.35">
      <c r="B40" t="s">
        <v>102</v>
      </c>
      <c r="C40">
        <f>B18*1000-B21-B22/2</f>
        <v>515</v>
      </c>
      <c r="D40" t="s">
        <v>5</v>
      </c>
    </row>
    <row r="41" spans="1:4" ht="15.6" x14ac:dyDescent="0.35">
      <c r="B41" t="s">
        <v>103</v>
      </c>
      <c r="C41">
        <f>B18*1000-B21-B22-B22/2</f>
        <v>495</v>
      </c>
      <c r="D41" t="s">
        <v>5</v>
      </c>
    </row>
    <row r="43" spans="1:4" ht="15.6" x14ac:dyDescent="0.35">
      <c r="A43" t="s">
        <v>106</v>
      </c>
    </row>
    <row r="44" spans="1:4" ht="15.6" x14ac:dyDescent="0.35">
      <c r="B44" t="s">
        <v>108</v>
      </c>
      <c r="C44" s="6">
        <f>((C37-C36)*(B23-0))/B11+C36</f>
        <v>190.75843731778423</v>
      </c>
      <c r="D44" t="s">
        <v>3</v>
      </c>
    </row>
    <row r="46" spans="1:4" x14ac:dyDescent="0.3">
      <c r="A46" t="s">
        <v>109</v>
      </c>
    </row>
    <row r="47" spans="1:4" x14ac:dyDescent="0.3">
      <c r="B47" t="s">
        <v>53</v>
      </c>
      <c r="C47" s="6">
        <f>0.5*(C44+C37)*(IF(B9="Parallel to B",B11-B23,B10-B23))*(IF(B9="Parallel to B",B10,B11))</f>
        <v>562.25217725947516</v>
      </c>
      <c r="D47" t="s">
        <v>4</v>
      </c>
    </row>
    <row r="49" spans="1:4" x14ac:dyDescent="0.3">
      <c r="A49" t="s">
        <v>110</v>
      </c>
    </row>
    <row r="50" spans="1:4" x14ac:dyDescent="0.3">
      <c r="B50" t="s">
        <v>111</v>
      </c>
      <c r="C50" s="6">
        <f>(0.75*SQRT(B19)*(IF(B9="Parallel to B",B10,B11))*MAX(C40:C41))*0.17</f>
        <v>860.84263741215727</v>
      </c>
      <c r="D50" t="s">
        <v>4</v>
      </c>
    </row>
    <row r="51" spans="1:4" ht="15" thickBot="1" x14ac:dyDescent="0.35"/>
    <row r="52" spans="1:4" ht="15.6" thickTop="1" thickBot="1" x14ac:dyDescent="0.35">
      <c r="A52" s="38" t="s">
        <v>57</v>
      </c>
      <c r="B52" s="39"/>
      <c r="C52" s="40"/>
    </row>
    <row r="53" spans="1:4" ht="15.6" thickTop="1" thickBot="1" x14ac:dyDescent="0.35">
      <c r="A53" s="12" t="s">
        <v>53</v>
      </c>
      <c r="B53" s="30">
        <f>C47</f>
        <v>562.25217725947516</v>
      </c>
      <c r="C53" s="28" t="s">
        <v>4</v>
      </c>
    </row>
    <row r="54" spans="1:4" ht="15.6" thickTop="1" thickBot="1" x14ac:dyDescent="0.35">
      <c r="A54" s="14" t="s">
        <v>58</v>
      </c>
      <c r="B54" s="31">
        <f>C50</f>
        <v>860.84263741215727</v>
      </c>
      <c r="C54" s="29" t="s">
        <v>4</v>
      </c>
    </row>
    <row r="55" spans="1:4" ht="15.6" thickTop="1" thickBot="1" x14ac:dyDescent="0.35">
      <c r="A55" s="13" t="s">
        <v>56</v>
      </c>
      <c r="B55" s="32" t="str">
        <f>IF(B54&gt;B53,"SAFE","UNSAFE")</f>
        <v>SAFE</v>
      </c>
      <c r="C55" s="26"/>
    </row>
    <row r="56" spans="1:4" ht="15" thickTop="1" x14ac:dyDescent="0.3"/>
  </sheetData>
  <mergeCells count="2">
    <mergeCell ref="A1:B1"/>
    <mergeCell ref="A52:C52"/>
  </mergeCells>
  <dataValidations count="2">
    <dataValidation type="list" allowBlank="1" showInputMessage="1" showErrorMessage="1" sqref="B9" xr:uid="{86AFED7A-7FEF-4C3F-9AF8-75695182E648}">
      <formula1>ORIENTATION</formula1>
    </dataValidation>
    <dataValidation type="list" allowBlank="1" showInputMessage="1" showErrorMessage="1" sqref="B8" xr:uid="{9A48833E-2261-445A-9B1D-2051B52B6859}">
      <formula1>DIRECTION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AD3BD-DA61-4DEC-9723-B2D2C60A836C}">
  <dimension ref="A1:D59"/>
  <sheetViews>
    <sheetView tabSelected="1" topLeftCell="A37" workbookViewId="0">
      <selection activeCell="G51" sqref="G51"/>
    </sheetView>
  </sheetViews>
  <sheetFormatPr defaultRowHeight="14.4" x14ac:dyDescent="0.3"/>
  <cols>
    <col min="1" max="1" width="39.44140625" customWidth="1"/>
    <col min="2" max="2" width="39.5546875" customWidth="1"/>
    <col min="3" max="3" width="9.5546875" bestFit="1" customWidth="1"/>
  </cols>
  <sheetData>
    <row r="1" spans="1:3" x14ac:dyDescent="0.3">
      <c r="A1" s="41" t="s">
        <v>115</v>
      </c>
      <c r="B1" s="41"/>
      <c r="C1" s="5"/>
    </row>
    <row r="2" spans="1:3" x14ac:dyDescent="0.3">
      <c r="A2" s="17" t="s">
        <v>0</v>
      </c>
      <c r="B2" s="17" t="s">
        <v>1</v>
      </c>
      <c r="C2" s="5" t="s">
        <v>2</v>
      </c>
    </row>
    <row r="3" spans="1:3" x14ac:dyDescent="0.3">
      <c r="A3" s="5"/>
      <c r="B3" s="2"/>
      <c r="C3" s="5"/>
    </row>
    <row r="4" spans="1:3" ht="15.6" x14ac:dyDescent="0.3">
      <c r="A4" s="5" t="s">
        <v>59</v>
      </c>
      <c r="B4" s="3">
        <v>700</v>
      </c>
      <c r="C4" s="5" t="s">
        <v>4</v>
      </c>
    </row>
    <row r="5" spans="1:3" ht="15.6" x14ac:dyDescent="0.3">
      <c r="A5" s="5" t="s">
        <v>60</v>
      </c>
      <c r="B5" s="3">
        <v>600</v>
      </c>
      <c r="C5" s="5" t="s">
        <v>4</v>
      </c>
    </row>
    <row r="6" spans="1:3" ht="15.6" x14ac:dyDescent="0.3">
      <c r="A6" s="5" t="s">
        <v>65</v>
      </c>
      <c r="B6" s="3">
        <v>190</v>
      </c>
      <c r="C6" s="5" t="s">
        <v>68</v>
      </c>
    </row>
    <row r="7" spans="1:3" ht="15.6" x14ac:dyDescent="0.3">
      <c r="A7" s="5" t="s">
        <v>66</v>
      </c>
      <c r="B7" s="3">
        <v>135</v>
      </c>
      <c r="C7" s="5" t="s">
        <v>68</v>
      </c>
    </row>
    <row r="8" spans="1:3" x14ac:dyDescent="0.3">
      <c r="A8" s="5" t="s">
        <v>72</v>
      </c>
      <c r="B8" s="3" t="s">
        <v>74</v>
      </c>
      <c r="C8" s="5"/>
    </row>
    <row r="9" spans="1:3" x14ac:dyDescent="0.3">
      <c r="A9" s="5" t="s">
        <v>80</v>
      </c>
      <c r="B9" s="3" t="s">
        <v>83</v>
      </c>
      <c r="C9" s="5"/>
    </row>
    <row r="10" spans="1:3" x14ac:dyDescent="0.3">
      <c r="A10" s="5" t="s">
        <v>61</v>
      </c>
      <c r="B10" s="3">
        <v>2.5</v>
      </c>
      <c r="C10" s="5" t="s">
        <v>9</v>
      </c>
    </row>
    <row r="11" spans="1:3" x14ac:dyDescent="0.3">
      <c r="A11" s="5" t="s">
        <v>62</v>
      </c>
      <c r="B11" s="3">
        <v>3.5</v>
      </c>
      <c r="C11" s="5" t="s">
        <v>9</v>
      </c>
    </row>
    <row r="12" spans="1:3" ht="15.6" x14ac:dyDescent="0.3">
      <c r="A12" s="5" t="s">
        <v>63</v>
      </c>
      <c r="B12" s="3">
        <v>450</v>
      </c>
      <c r="C12" s="5" t="s">
        <v>5</v>
      </c>
    </row>
    <row r="13" spans="1:3" ht="15.6" x14ac:dyDescent="0.3">
      <c r="A13" s="5" t="s">
        <v>64</v>
      </c>
      <c r="B13" s="3">
        <v>600</v>
      </c>
      <c r="C13" s="5" t="s">
        <v>5</v>
      </c>
    </row>
    <row r="14" spans="1:3" x14ac:dyDescent="0.3">
      <c r="A14" s="5" t="s">
        <v>67</v>
      </c>
      <c r="B14" s="3">
        <v>0.45</v>
      </c>
      <c r="C14" s="5" t="s">
        <v>9</v>
      </c>
    </row>
    <row r="15" spans="1:3" x14ac:dyDescent="0.3">
      <c r="A15" s="5" t="s">
        <v>17</v>
      </c>
      <c r="B15" s="3">
        <v>18</v>
      </c>
      <c r="C15" s="5" t="s">
        <v>6</v>
      </c>
    </row>
    <row r="16" spans="1:3" x14ac:dyDescent="0.3">
      <c r="A16" s="5" t="s">
        <v>18</v>
      </c>
      <c r="B16" s="3">
        <v>24</v>
      </c>
      <c r="C16" s="5" t="s">
        <v>6</v>
      </c>
    </row>
    <row r="17" spans="1:4" x14ac:dyDescent="0.3">
      <c r="A17" s="5" t="s">
        <v>21</v>
      </c>
      <c r="B17" s="3">
        <v>2.2000000000000002</v>
      </c>
      <c r="C17" s="5" t="s">
        <v>9</v>
      </c>
    </row>
    <row r="18" spans="1:4" x14ac:dyDescent="0.3">
      <c r="A18" s="5" t="s">
        <v>14</v>
      </c>
      <c r="B18" s="3">
        <v>0.6</v>
      </c>
      <c r="C18" s="5" t="s">
        <v>9</v>
      </c>
    </row>
    <row r="19" spans="1:4" x14ac:dyDescent="0.3">
      <c r="A19" s="5" t="s">
        <v>97</v>
      </c>
      <c r="B19" s="3">
        <v>27.5</v>
      </c>
      <c r="C19" s="5" t="s">
        <v>7</v>
      </c>
    </row>
    <row r="20" spans="1:4" x14ac:dyDescent="0.3">
      <c r="A20" s="5" t="s">
        <v>20</v>
      </c>
      <c r="B20" s="3">
        <v>275</v>
      </c>
      <c r="C20" s="5" t="s">
        <v>8</v>
      </c>
    </row>
    <row r="21" spans="1:4" x14ac:dyDescent="0.3">
      <c r="A21" s="5" t="s">
        <v>22</v>
      </c>
      <c r="B21" s="3">
        <v>75</v>
      </c>
      <c r="C21" s="5" t="s">
        <v>5</v>
      </c>
    </row>
    <row r="22" spans="1:4" x14ac:dyDescent="0.3">
      <c r="A22" s="5" t="s">
        <v>105</v>
      </c>
      <c r="B22" s="3">
        <v>20</v>
      </c>
      <c r="C22" s="5" t="s">
        <v>5</v>
      </c>
    </row>
    <row r="23" spans="1:4" ht="15.6" x14ac:dyDescent="0.3">
      <c r="A23" s="5" t="s">
        <v>117</v>
      </c>
      <c r="B23" s="3">
        <v>1.6</v>
      </c>
      <c r="C23" s="5" t="s">
        <v>9</v>
      </c>
    </row>
    <row r="25" spans="1:4" x14ac:dyDescent="0.3">
      <c r="A25" s="5" t="s">
        <v>69</v>
      </c>
    </row>
    <row r="26" spans="1:4" x14ac:dyDescent="0.3">
      <c r="B26" t="s">
        <v>98</v>
      </c>
      <c r="C26">
        <f>1.2*B4+1.6*B5</f>
        <v>1800</v>
      </c>
      <c r="D26" t="s">
        <v>4</v>
      </c>
    </row>
    <row r="27" spans="1:4" x14ac:dyDescent="0.3">
      <c r="B27" t="s">
        <v>99</v>
      </c>
      <c r="C27">
        <f>1.2*B6+1.6*B7</f>
        <v>444</v>
      </c>
      <c r="D27" t="s">
        <v>68</v>
      </c>
    </row>
    <row r="28" spans="1:4" x14ac:dyDescent="0.3">
      <c r="B28" t="s">
        <v>100</v>
      </c>
      <c r="C28">
        <f>ABS(C27-C26*B14)</f>
        <v>366</v>
      </c>
      <c r="D28" t="s">
        <v>68</v>
      </c>
    </row>
    <row r="30" spans="1:4" x14ac:dyDescent="0.3">
      <c r="A30" s="5" t="s">
        <v>77</v>
      </c>
      <c r="B30" s="5"/>
      <c r="C30" s="5"/>
      <c r="D30" s="5"/>
    </row>
    <row r="31" spans="1:4" x14ac:dyDescent="0.3">
      <c r="A31" s="5"/>
      <c r="B31" s="5" t="s">
        <v>78</v>
      </c>
      <c r="C31" s="18">
        <f>(C28/C26)</f>
        <v>0.20333333333333334</v>
      </c>
      <c r="D31" s="5" t="s">
        <v>9</v>
      </c>
    </row>
    <row r="32" spans="1:4" x14ac:dyDescent="0.3">
      <c r="A32" s="5"/>
      <c r="B32" s="5" t="s">
        <v>79</v>
      </c>
      <c r="C32" s="18">
        <f>IF(B9="Parallel to B",B11/6,B10/6)</f>
        <v>0.58333333333333337</v>
      </c>
      <c r="D32" s="5" t="s">
        <v>9</v>
      </c>
    </row>
    <row r="33" spans="1:4" x14ac:dyDescent="0.3">
      <c r="A33" s="5"/>
      <c r="B33" s="5" t="s">
        <v>84</v>
      </c>
      <c r="C33" s="5" t="str">
        <f>IF(C31&lt;C32, "No Uplift","With Uplift")</f>
        <v>No Uplift</v>
      </c>
      <c r="D33" s="5"/>
    </row>
    <row r="35" spans="1:4" x14ac:dyDescent="0.3">
      <c r="A35" s="5" t="s">
        <v>85</v>
      </c>
      <c r="B35" s="5"/>
      <c r="C35" s="5"/>
      <c r="D35" s="5"/>
    </row>
    <row r="36" spans="1:4" ht="15.6" x14ac:dyDescent="0.3">
      <c r="A36" s="5"/>
      <c r="B36" s="5" t="s">
        <v>114</v>
      </c>
      <c r="C36" s="19">
        <f>(C26/(B10*B11))+C28/(IF(B9="Parallel to B",((B10)*(B11)^2)/6,((B10)*(B11)^2)))</f>
        <v>277.42040816326528</v>
      </c>
      <c r="D36" s="5" t="s">
        <v>3</v>
      </c>
    </row>
    <row r="37" spans="1:4" ht="15.6" x14ac:dyDescent="0.3">
      <c r="A37" s="5"/>
      <c r="B37" s="5" t="s">
        <v>116</v>
      </c>
      <c r="C37" s="19">
        <f>(C26/(B10*B11))-C28/(IF(B9="Parallel to B",((B10)*(B11)^2)/6,((B10)*(B11)^2)))</f>
        <v>134.00816326530614</v>
      </c>
      <c r="D37" s="5" t="s">
        <v>3</v>
      </c>
    </row>
    <row r="39" spans="1:4" x14ac:dyDescent="0.3">
      <c r="A39" t="s">
        <v>101</v>
      </c>
    </row>
    <row r="40" spans="1:4" ht="15.6" x14ac:dyDescent="0.35">
      <c r="B40" t="s">
        <v>102</v>
      </c>
      <c r="C40">
        <f>B18*1000-B21-B22/2</f>
        <v>515</v>
      </c>
      <c r="D40" t="s">
        <v>5</v>
      </c>
    </row>
    <row r="41" spans="1:4" ht="15.6" x14ac:dyDescent="0.35">
      <c r="B41" t="s">
        <v>103</v>
      </c>
      <c r="C41">
        <f>B18*1000-B21-B22-B22/2</f>
        <v>495</v>
      </c>
      <c r="D41" t="s">
        <v>5</v>
      </c>
    </row>
    <row r="43" spans="1:4" ht="15.6" x14ac:dyDescent="0.35">
      <c r="A43" t="s">
        <v>119</v>
      </c>
      <c r="B43" t="s">
        <v>118</v>
      </c>
      <c r="C43" s="6">
        <f>((C37-C36)*(B23-0)/(B11-0)+C36)</f>
        <v>211.8605247813411</v>
      </c>
      <c r="D43" t="s">
        <v>3</v>
      </c>
    </row>
    <row r="45" spans="1:4" x14ac:dyDescent="0.3">
      <c r="A45" t="s">
        <v>120</v>
      </c>
    </row>
    <row r="46" spans="1:4" x14ac:dyDescent="0.3">
      <c r="B46" t="s">
        <v>121</v>
      </c>
      <c r="C46" s="6">
        <f>((B10*(B11-B23)^2)/6)*(C43+2*C37)</f>
        <v>721.81476384839652</v>
      </c>
      <c r="D46" t="s">
        <v>68</v>
      </c>
    </row>
    <row r="48" spans="1:4" x14ac:dyDescent="0.3">
      <c r="A48" t="s">
        <v>122</v>
      </c>
      <c r="B48" s="27"/>
    </row>
    <row r="49" spans="1:4" x14ac:dyDescent="0.3">
      <c r="B49" t="s">
        <v>123</v>
      </c>
      <c r="C49">
        <f>1.4/B20</f>
        <v>5.0909090909090904E-3</v>
      </c>
    </row>
    <row r="51" spans="1:4" x14ac:dyDescent="0.3">
      <c r="A51" t="s">
        <v>124</v>
      </c>
    </row>
    <row r="52" spans="1:4" x14ac:dyDescent="0.3">
      <c r="B52" t="s">
        <v>125</v>
      </c>
      <c r="C52">
        <f>CEILING((C49*B10*1000*C40)/(0.25*PI()*B22^2),1)</f>
        <v>21</v>
      </c>
      <c r="D52" t="s">
        <v>127</v>
      </c>
    </row>
    <row r="53" spans="1:4" x14ac:dyDescent="0.3">
      <c r="B53" t="s">
        <v>126</v>
      </c>
      <c r="C53">
        <f>CEILING((C49*B11*1000*C41)/(0.25*PI()*B22^2),1)</f>
        <v>29</v>
      </c>
      <c r="D53" t="s">
        <v>127</v>
      </c>
    </row>
    <row r="54" spans="1:4" ht="15" thickBot="1" x14ac:dyDescent="0.35"/>
    <row r="55" spans="1:4" ht="15.6" thickTop="1" thickBot="1" x14ac:dyDescent="0.35">
      <c r="A55" s="38" t="s">
        <v>57</v>
      </c>
      <c r="B55" s="39"/>
      <c r="C55" s="40"/>
    </row>
    <row r="56" spans="1:4" ht="15.6" thickTop="1" thickBot="1" x14ac:dyDescent="0.35">
      <c r="A56" s="12" t="s">
        <v>128</v>
      </c>
      <c r="B56" s="36" t="str">
        <f>"Use "&amp; C52&amp;" - "&amp;B22&amp;" mm diameter rebars"</f>
        <v>Use 21 - 20 mm diameter rebars</v>
      </c>
      <c r="C56" s="28"/>
    </row>
    <row r="57" spans="1:4" ht="15.6" thickTop="1" thickBot="1" x14ac:dyDescent="0.35">
      <c r="A57" s="14" t="s">
        <v>129</v>
      </c>
      <c r="B57" s="37" t="str">
        <f>"Use "&amp; C53&amp;" - "&amp;B22&amp;" mm diameter rebars"</f>
        <v>Use 29 - 20 mm diameter rebars</v>
      </c>
      <c r="C57" s="29"/>
    </row>
    <row r="58" spans="1:4" ht="15.6" thickTop="1" thickBot="1" x14ac:dyDescent="0.35">
      <c r="A58" s="13"/>
      <c r="B58" s="15"/>
      <c r="C58" s="10"/>
    </row>
    <row r="59" spans="1:4" ht="15" thickTop="1" x14ac:dyDescent="0.3"/>
  </sheetData>
  <mergeCells count="2">
    <mergeCell ref="A1:B1"/>
    <mergeCell ref="A55:C55"/>
  </mergeCells>
  <dataValidations count="2">
    <dataValidation type="list" allowBlank="1" showInputMessage="1" showErrorMessage="1" sqref="B8" xr:uid="{FA3955B6-03C3-41F3-9E80-7314C9C51576}">
      <formula1>DIRECTION</formula1>
    </dataValidation>
    <dataValidation type="list" allowBlank="1" showInputMessage="1" showErrorMessage="1" sqref="B9" xr:uid="{1F275F7D-EE55-437E-9CB1-1A15DD3DD300}">
      <formula1>ORIENTATION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4D3D-092A-4FF0-B36C-42BA6F528E59}">
  <dimension ref="A2:D4"/>
  <sheetViews>
    <sheetView workbookViewId="0">
      <selection activeCell="D3" sqref="D3:D4"/>
    </sheetView>
  </sheetViews>
  <sheetFormatPr defaultRowHeight="14.4" x14ac:dyDescent="0.3"/>
  <sheetData>
    <row r="2" spans="1:4" x14ac:dyDescent="0.3">
      <c r="A2" t="s">
        <v>73</v>
      </c>
      <c r="D2" t="s">
        <v>81</v>
      </c>
    </row>
    <row r="3" spans="1:4" x14ac:dyDescent="0.3">
      <c r="A3" t="s">
        <v>74</v>
      </c>
      <c r="D3" t="s">
        <v>82</v>
      </c>
    </row>
    <row r="4" spans="1:4" x14ac:dyDescent="0.3">
      <c r="A4" t="s">
        <v>75</v>
      </c>
      <c r="D4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2849-E252-46A5-B31E-7C85B097E76A}">
  <dimension ref="A2:D44"/>
  <sheetViews>
    <sheetView workbookViewId="0">
      <selection activeCell="G19" sqref="G19"/>
    </sheetView>
  </sheetViews>
  <sheetFormatPr defaultRowHeight="14.4" x14ac:dyDescent="0.3"/>
  <cols>
    <col min="1" max="1" width="36.5546875" style="5" customWidth="1"/>
    <col min="2" max="2" width="33" style="5" customWidth="1"/>
    <col min="3" max="3" width="9.5546875" style="5" bestFit="1" customWidth="1"/>
    <col min="4" max="16384" width="8.88671875" style="5"/>
  </cols>
  <sheetData>
    <row r="2" spans="1:3" x14ac:dyDescent="0.3">
      <c r="A2" s="17" t="s">
        <v>0</v>
      </c>
      <c r="B2" s="17" t="s">
        <v>1</v>
      </c>
      <c r="C2" s="5" t="s">
        <v>2</v>
      </c>
    </row>
    <row r="3" spans="1:3" x14ac:dyDescent="0.3">
      <c r="B3" s="2"/>
    </row>
    <row r="4" spans="1:3" ht="15.6" x14ac:dyDescent="0.3">
      <c r="A4" s="5" t="s">
        <v>59</v>
      </c>
      <c r="B4" s="3">
        <v>2000</v>
      </c>
      <c r="C4" s="5" t="s">
        <v>4</v>
      </c>
    </row>
    <row r="5" spans="1:3" ht="15.6" x14ac:dyDescent="0.3">
      <c r="A5" s="5" t="s">
        <v>60</v>
      </c>
      <c r="B5" s="3">
        <v>400</v>
      </c>
      <c r="C5" s="5" t="s">
        <v>4</v>
      </c>
    </row>
    <row r="6" spans="1:3" ht="15.6" x14ac:dyDescent="0.3">
      <c r="A6" s="5" t="s">
        <v>65</v>
      </c>
      <c r="B6" s="3">
        <v>300</v>
      </c>
      <c r="C6" s="5" t="s">
        <v>68</v>
      </c>
    </row>
    <row r="7" spans="1:3" ht="15.6" x14ac:dyDescent="0.3">
      <c r="A7" s="5" t="s">
        <v>66</v>
      </c>
      <c r="B7" s="3">
        <v>92</v>
      </c>
      <c r="C7" s="5" t="s">
        <v>68</v>
      </c>
    </row>
    <row r="8" spans="1:3" x14ac:dyDescent="0.3">
      <c r="A8" s="5" t="s">
        <v>72</v>
      </c>
      <c r="B8" s="3" t="s">
        <v>74</v>
      </c>
    </row>
    <row r="9" spans="1:3" x14ac:dyDescent="0.3">
      <c r="A9" s="5" t="s">
        <v>80</v>
      </c>
      <c r="B9" s="3" t="s">
        <v>83</v>
      </c>
    </row>
    <row r="10" spans="1:3" x14ac:dyDescent="0.3">
      <c r="A10" s="5" t="s">
        <v>61</v>
      </c>
      <c r="B10" s="3">
        <v>2.5</v>
      </c>
      <c r="C10" s="5" t="s">
        <v>9</v>
      </c>
    </row>
    <row r="11" spans="1:3" x14ac:dyDescent="0.3">
      <c r="A11" s="5" t="s">
        <v>62</v>
      </c>
      <c r="B11" s="3">
        <v>3</v>
      </c>
      <c r="C11" s="5" t="s">
        <v>9</v>
      </c>
    </row>
    <row r="12" spans="1:3" ht="15.6" x14ac:dyDescent="0.3">
      <c r="A12" s="5" t="s">
        <v>63</v>
      </c>
      <c r="B12" s="3">
        <v>450</v>
      </c>
      <c r="C12" s="5" t="s">
        <v>5</v>
      </c>
    </row>
    <row r="13" spans="1:3" ht="15.6" x14ac:dyDescent="0.3">
      <c r="A13" s="5" t="s">
        <v>64</v>
      </c>
      <c r="B13" s="3">
        <v>600</v>
      </c>
      <c r="C13" s="5" t="s">
        <v>5</v>
      </c>
    </row>
    <row r="14" spans="1:3" x14ac:dyDescent="0.3">
      <c r="A14" s="5" t="s">
        <v>67</v>
      </c>
      <c r="B14" s="3">
        <v>0</v>
      </c>
      <c r="C14" s="5" t="s">
        <v>9</v>
      </c>
    </row>
    <row r="15" spans="1:3" x14ac:dyDescent="0.3">
      <c r="A15" s="5" t="s">
        <v>17</v>
      </c>
      <c r="B15" s="3">
        <v>18</v>
      </c>
      <c r="C15" s="5" t="s">
        <v>6</v>
      </c>
    </row>
    <row r="16" spans="1:3" x14ac:dyDescent="0.3">
      <c r="A16" s="5" t="s">
        <v>18</v>
      </c>
      <c r="B16" s="3">
        <v>23.5</v>
      </c>
      <c r="C16" s="5" t="s">
        <v>6</v>
      </c>
    </row>
    <row r="17" spans="1:4" x14ac:dyDescent="0.3">
      <c r="A17" s="5" t="s">
        <v>21</v>
      </c>
      <c r="B17" s="3">
        <v>1.8</v>
      </c>
      <c r="C17" s="5" t="s">
        <v>9</v>
      </c>
    </row>
    <row r="18" spans="1:4" x14ac:dyDescent="0.3">
      <c r="A18" s="5" t="s">
        <v>14</v>
      </c>
      <c r="B18" s="3">
        <v>0.6</v>
      </c>
      <c r="C18" s="5" t="s">
        <v>9</v>
      </c>
    </row>
    <row r="20" spans="1:4" x14ac:dyDescent="0.3">
      <c r="A20" s="5" t="s">
        <v>69</v>
      </c>
    </row>
    <row r="21" spans="1:4" x14ac:dyDescent="0.3">
      <c r="B21" s="5" t="s">
        <v>76</v>
      </c>
      <c r="C21" s="5">
        <f>(B4+B5)</f>
        <v>2400</v>
      </c>
      <c r="D21" s="5" t="s">
        <v>4</v>
      </c>
    </row>
    <row r="22" spans="1:4" x14ac:dyDescent="0.3">
      <c r="B22" s="5" t="s">
        <v>71</v>
      </c>
      <c r="C22" s="5">
        <f>IF(B8="Clockwise",(B6+B7),-(B6+B7))</f>
        <v>392</v>
      </c>
      <c r="D22" s="5" t="s">
        <v>68</v>
      </c>
    </row>
    <row r="23" spans="1:4" x14ac:dyDescent="0.3">
      <c r="B23" s="5" t="s">
        <v>70</v>
      </c>
      <c r="C23" s="5">
        <f>ABS(C22-C21*B14)</f>
        <v>392</v>
      </c>
      <c r="D23" s="5" t="s">
        <v>68</v>
      </c>
    </row>
    <row r="25" spans="1:4" x14ac:dyDescent="0.3">
      <c r="A25" s="5" t="s">
        <v>77</v>
      </c>
    </row>
    <row r="26" spans="1:4" x14ac:dyDescent="0.3">
      <c r="B26" s="5" t="s">
        <v>78</v>
      </c>
      <c r="C26" s="5">
        <f>(C23/C21)</f>
        <v>0.16333333333333333</v>
      </c>
      <c r="D26" s="5" t="s">
        <v>9</v>
      </c>
    </row>
    <row r="27" spans="1:4" x14ac:dyDescent="0.3">
      <c r="B27" s="5" t="s">
        <v>79</v>
      </c>
      <c r="C27" s="18">
        <f>IF(B9="Parallel to B",B11/6,B10/6)</f>
        <v>0.5</v>
      </c>
      <c r="D27" s="5" t="s">
        <v>9</v>
      </c>
    </row>
    <row r="28" spans="1:4" x14ac:dyDescent="0.3">
      <c r="B28" s="5" t="s">
        <v>84</v>
      </c>
      <c r="C28" s="5" t="str">
        <f>IF(C26&lt;C27, "No Uplift","With Uplift")</f>
        <v>No Uplift</v>
      </c>
    </row>
    <row r="30" spans="1:4" x14ac:dyDescent="0.3">
      <c r="A30" s="5" t="s">
        <v>85</v>
      </c>
    </row>
    <row r="31" spans="1:4" ht="15.6" x14ac:dyDescent="0.3">
      <c r="B31" s="5" t="s">
        <v>87</v>
      </c>
      <c r="C31" s="19">
        <f>(C21/(B10*B11))+C23/(IF(B9="Parallel to B",((B10)*(B11)^2)/6,((B11)*(B10)^2)))</f>
        <v>424.5333333333333</v>
      </c>
      <c r="D31" s="5" t="s">
        <v>3</v>
      </c>
    </row>
    <row r="32" spans="1:4" ht="15.6" x14ac:dyDescent="0.3">
      <c r="B32" s="5" t="s">
        <v>92</v>
      </c>
      <c r="C32" s="19">
        <f>(C21/(B10*B11))-C23/(IF(B9="Parallel to B",((B10)*(B11)^2)/6,((B11)*(B10)^2)))</f>
        <v>215.46666666666667</v>
      </c>
      <c r="D32" s="5" t="s">
        <v>3</v>
      </c>
    </row>
    <row r="33" spans="1:4" x14ac:dyDescent="0.3">
      <c r="C33" s="19"/>
    </row>
    <row r="34" spans="1:4" ht="15.6" x14ac:dyDescent="0.3">
      <c r="A34" s="5" t="s">
        <v>89</v>
      </c>
      <c r="B34" s="5" t="s">
        <v>93</v>
      </c>
      <c r="C34" s="19">
        <f>C31+(B16*B18)+(B17-B18)*B15</f>
        <v>460.23333333333335</v>
      </c>
      <c r="D34" s="5" t="s">
        <v>3</v>
      </c>
    </row>
    <row r="35" spans="1:4" ht="15.6" x14ac:dyDescent="0.3">
      <c r="B35" s="5" t="s">
        <v>94</v>
      </c>
      <c r="C35" s="19">
        <f>C32+(B16*B18)+(B17-B18)*B15</f>
        <v>251.16666666666666</v>
      </c>
      <c r="D35" s="5" t="s">
        <v>3</v>
      </c>
    </row>
    <row r="37" spans="1:4" ht="15" thickBot="1" x14ac:dyDescent="0.35">
      <c r="A37" s="1" t="s">
        <v>46</v>
      </c>
      <c r="B37"/>
      <c r="C37"/>
    </row>
    <row r="38" spans="1:4" ht="15.6" thickTop="1" thickBot="1" x14ac:dyDescent="0.35">
      <c r="A38" s="38" t="s">
        <v>44</v>
      </c>
      <c r="B38" s="39"/>
      <c r="C38" s="40"/>
    </row>
    <row r="39" spans="1:4" ht="16.8" thickTop="1" thickBot="1" x14ac:dyDescent="0.35">
      <c r="A39" s="7" t="s">
        <v>86</v>
      </c>
      <c r="B39" s="21">
        <f>C31</f>
        <v>424.5333333333333</v>
      </c>
      <c r="C39" s="22" t="s">
        <v>3</v>
      </c>
    </row>
    <row r="40" spans="1:4" ht="16.8" thickTop="1" thickBot="1" x14ac:dyDescent="0.35">
      <c r="A40" s="8" t="s">
        <v>88</v>
      </c>
      <c r="B40" s="23">
        <f>C32</f>
        <v>215.46666666666667</v>
      </c>
      <c r="C40" s="24" t="s">
        <v>3</v>
      </c>
    </row>
    <row r="41" spans="1:4" ht="16.8" thickTop="1" thickBot="1" x14ac:dyDescent="0.35">
      <c r="A41" s="9" t="s">
        <v>90</v>
      </c>
      <c r="B41" s="25">
        <f>C34</f>
        <v>460.23333333333335</v>
      </c>
      <c r="C41" s="26" t="s">
        <v>3</v>
      </c>
    </row>
    <row r="42" spans="1:4" ht="16.8" thickTop="1" thickBot="1" x14ac:dyDescent="0.35">
      <c r="A42" s="8" t="s">
        <v>91</v>
      </c>
      <c r="B42" s="23">
        <f>C35</f>
        <v>251.16666666666666</v>
      </c>
      <c r="C42" s="24" t="s">
        <v>3</v>
      </c>
    </row>
    <row r="43" spans="1:4" ht="15.6" thickTop="1" thickBot="1" x14ac:dyDescent="0.35">
      <c r="A43" s="9"/>
      <c r="B43" s="20"/>
      <c r="C43" s="10"/>
    </row>
    <row r="44" spans="1:4" ht="15" thickTop="1" x14ac:dyDescent="0.3"/>
  </sheetData>
  <mergeCells count="1">
    <mergeCell ref="A38:C38"/>
  </mergeCells>
  <dataValidations count="2">
    <dataValidation type="list" allowBlank="1" showInputMessage="1" showErrorMessage="1" sqref="B9" xr:uid="{20EA078B-8071-4421-8521-2EDCD46EEE75}">
      <formula1>ORIENTATION</formula1>
    </dataValidation>
    <dataValidation type="list" allowBlank="1" showInputMessage="1" showErrorMessage="1" sqref="B8" xr:uid="{96EC3F9B-36C2-423E-BCF1-21A93B8FDA3D}">
      <formula1>DIRECTION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SQUARE 1</vt:lpstr>
      <vt:lpstr>SQUARE 2</vt:lpstr>
      <vt:lpstr>SQUARE 3</vt:lpstr>
      <vt:lpstr>RECT. 1</vt:lpstr>
      <vt:lpstr>RECT. 2</vt:lpstr>
      <vt:lpstr>RECT. 3</vt:lpstr>
      <vt:lpstr>Sheet1</vt:lpstr>
      <vt:lpstr>Sheet2</vt:lpstr>
      <vt:lpstr>DIRECTION</vt:lpstr>
      <vt:lpstr>ORIENTATION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4905</dc:creator>
  <cp:lastModifiedBy>4905</cp:lastModifiedBy>
  <dcterms:created xsi:type="dcterms:W3CDTF">2025-04-03T06:13:00Z</dcterms:created>
  <dcterms:modified xsi:type="dcterms:W3CDTF">2025-04-08T15:25:19Z</dcterms:modified>
</cp:coreProperties>
</file>