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ANCELOT\Downloads\"/>
    </mc:Choice>
  </mc:AlternateContent>
  <xr:revisionPtr revIDLastSave="0" documentId="13_ncr:1_{C7A1571F-ADE1-4EBC-89B7-182BB4A8A917}" xr6:coauthVersionLast="47" xr6:coauthVersionMax="47" xr10:uidLastSave="{00000000-0000-0000-0000-000000000000}"/>
  <bookViews>
    <workbookView xWindow="-108" yWindow="-108" windowWidth="23256" windowHeight="12576" firstSheet="1" activeTab="2" xr2:uid="{A205E174-5F28-4502-BB5D-DC34082475FA}"/>
  </bookViews>
  <sheets>
    <sheet name="ANALYSIS BEAM SHEAR" sheetId="2" r:id="rId1"/>
    <sheet name="ANALYSIS PUNCHING SHEAR" sheetId="5" r:id="rId2"/>
    <sheet name="DESIGN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0" i="5" l="1"/>
  <c r="B34" i="5" s="1"/>
  <c r="C27" i="5"/>
  <c r="C24" i="5"/>
  <c r="C21" i="5"/>
  <c r="B35" i="2"/>
  <c r="B34" i="2"/>
  <c r="B33" i="2"/>
  <c r="C30" i="2"/>
  <c r="C27" i="2"/>
  <c r="C24" i="2"/>
  <c r="C21" i="2"/>
  <c r="B33" i="5" l="1"/>
  <c r="B35" i="5" s="1"/>
  <c r="C25" i="1"/>
  <c r="C37" i="1" l="1"/>
  <c r="C31" i="1"/>
  <c r="C19" i="1"/>
  <c r="C22" i="1" l="1"/>
  <c r="C28" i="1" s="1"/>
  <c r="C32" i="1" l="1"/>
  <c r="C33" i="1" s="1"/>
  <c r="C38" i="1"/>
  <c r="C39" i="1" s="1"/>
  <c r="C40" i="1" s="1"/>
  <c r="C34" i="1" l="1"/>
  <c r="B47" i="1" s="1"/>
  <c r="B48" i="1" s="1"/>
  <c r="C43" i="1"/>
  <c r="B49" i="1" s="1"/>
</calcChain>
</file>

<file path=xl/sharedStrings.xml><?xml version="1.0" encoding="utf-8"?>
<sst xmlns="http://schemas.openxmlformats.org/spreadsheetml/2006/main" count="156" uniqueCount="59">
  <si>
    <t>Input Values:</t>
  </si>
  <si>
    <t>Value</t>
  </si>
  <si>
    <t>Units</t>
  </si>
  <si>
    <t>kPa</t>
  </si>
  <si>
    <t>kN</t>
  </si>
  <si>
    <t>mm</t>
  </si>
  <si>
    <t>kN/m3</t>
  </si>
  <si>
    <t>Mpa</t>
  </si>
  <si>
    <t>MPa</t>
  </si>
  <si>
    <t>m</t>
  </si>
  <si>
    <t>Footing Dimension (B) =</t>
  </si>
  <si>
    <t>Net Soil Pressure (qeff) =</t>
  </si>
  <si>
    <t>Dead Load (DL)</t>
  </si>
  <si>
    <t>Live Load (LL)</t>
  </si>
  <si>
    <t>Thickness of Footing (t)</t>
  </si>
  <si>
    <t>Allowable Soil Pressure (qa)</t>
  </si>
  <si>
    <t>Slab Pressure (s)</t>
  </si>
  <si>
    <t>Soil Unit Weight (y)</t>
  </si>
  <si>
    <t>Concrete Unit Weight (yc)</t>
  </si>
  <si>
    <t>Concrete Compressive Strength (fc')</t>
  </si>
  <si>
    <t>Steel Yield Strength (fy)</t>
  </si>
  <si>
    <t>Depth of Footing (Df)</t>
  </si>
  <si>
    <t>Concrete Cover (cc)</t>
  </si>
  <si>
    <t>Number of Steel Bars (n)</t>
  </si>
  <si>
    <t>Ultimate Upward Pressure (qu)</t>
  </si>
  <si>
    <t>Step 1: Initial Effective Depth</t>
  </si>
  <si>
    <t>Effective Depth (d) =</t>
  </si>
  <si>
    <t>Step 2: Solving for Effective Soil Pressure</t>
  </si>
  <si>
    <t>Step 3: Solving Dimension of Footing</t>
  </si>
  <si>
    <t>Step 4: Ultimate Upward Soil Pressure</t>
  </si>
  <si>
    <t>Step 5: Check if Safe in Beam Shear
(One-Way Shear)</t>
  </si>
  <si>
    <t>Beam Shear Capacity  (Vu) =</t>
  </si>
  <si>
    <t>Check if Safe</t>
  </si>
  <si>
    <t>Step 6: Check if Safe in Punching Shear
(Two-Way Shear)</t>
  </si>
  <si>
    <t>c + d</t>
  </si>
  <si>
    <t>Punching Shear Capacity (Vu)</t>
  </si>
  <si>
    <r>
      <t>Effective Depth (d</t>
    </r>
    <r>
      <rPr>
        <vertAlign val="subscript"/>
        <sz val="11"/>
        <color theme="1"/>
        <rFont val="Aptos Narrow"/>
        <family val="2"/>
        <scheme val="minor"/>
      </rPr>
      <t>1</t>
    </r>
    <r>
      <rPr>
        <sz val="11"/>
        <color theme="1"/>
        <rFont val="Aptos Narrow"/>
        <family val="2"/>
        <scheme val="minor"/>
      </rPr>
      <t>) =</t>
    </r>
  </si>
  <si>
    <r>
      <t>Effective Depth (d</t>
    </r>
    <r>
      <rPr>
        <vertAlign val="subscript"/>
        <sz val="11"/>
        <color theme="1"/>
        <rFont val="Aptos Narrow"/>
        <family val="2"/>
        <scheme val="minor"/>
      </rPr>
      <t>2</t>
    </r>
    <r>
      <rPr>
        <sz val="11"/>
        <color theme="1"/>
        <rFont val="Aptos Narrow"/>
        <family val="2"/>
        <scheme val="minor"/>
      </rPr>
      <t>)</t>
    </r>
  </si>
  <si>
    <t>Size of Column (c)</t>
  </si>
  <si>
    <t>Step 7: Reinforcement of Square Footing</t>
  </si>
  <si>
    <t>Required Number of Steel Bars (n) =</t>
  </si>
  <si>
    <t>Footing Dimension</t>
  </si>
  <si>
    <t xml:space="preserve">Number of Bars on Both Ways </t>
  </si>
  <si>
    <t>Final Dimension</t>
  </si>
  <si>
    <t>Summay of Results</t>
  </si>
  <si>
    <t>Effective Dimension (x) =</t>
  </si>
  <si>
    <t>Output Values (Final Answers)</t>
  </si>
  <si>
    <r>
      <t>Main Bar Diameter (</t>
    </r>
    <r>
      <rPr>
        <sz val="11"/>
        <color theme="1"/>
        <rFont val="Symbol"/>
        <family val="1"/>
        <charset val="2"/>
      </rPr>
      <t>Æ)</t>
    </r>
  </si>
  <si>
    <t>Step 1: Ultimate Soil Pressure</t>
  </si>
  <si>
    <t>Ultimate Soil Pressure (qu) =</t>
  </si>
  <si>
    <t>Size of Footing (B)</t>
  </si>
  <si>
    <t>Step 2: Effective Depth</t>
  </si>
  <si>
    <t>Step 3: Solving Demand Load</t>
  </si>
  <si>
    <t>Demand Load (Vu) =</t>
  </si>
  <si>
    <t>Step 4: Solving Capacity of Footing</t>
  </si>
  <si>
    <r>
      <t>Capacity of Footing (</t>
    </r>
    <r>
      <rPr>
        <sz val="11"/>
        <color theme="1"/>
        <rFont val="Symbol"/>
        <family val="1"/>
        <charset val="2"/>
      </rPr>
      <t>Æ</t>
    </r>
    <r>
      <rPr>
        <sz val="11"/>
        <color theme="1"/>
        <rFont val="Aptos Narrow"/>
        <family val="2"/>
      </rPr>
      <t>Vc) =</t>
    </r>
  </si>
  <si>
    <t>Remarks</t>
  </si>
  <si>
    <t>Output Values:</t>
  </si>
  <si>
    <r>
      <t>Capacity of Footing (</t>
    </r>
    <r>
      <rPr>
        <sz val="11"/>
        <color theme="1"/>
        <rFont val="Symbol"/>
        <family val="1"/>
        <charset val="2"/>
      </rPr>
      <t>Æ</t>
    </r>
    <r>
      <rPr>
        <sz val="11"/>
        <color theme="1"/>
        <rFont val="Aptos Narrow"/>
        <family val="2"/>
        <scheme val="minor"/>
      </rPr>
      <t>c) =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</si>
</sst>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Symbol"/>
      <family val="1"/>
      <charset val="2"/>
    </font>
    <font>
      <sz val="11"/>
      <color theme="1"/>
      <name val="Aptos Narrow"/>
      <family val="2"/>
    </font>
    <font>
      <vertAlign val="subscript"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0" fillId="0" borderId="0" xfId="0" applyNumberFormat="1"/>
    <xf numFmtId="0" fontId="0" fillId="0" borderId="0" xfId="0" applyAlignment="1">
      <alignment vertical="center"/>
    </xf>
    <xf numFmtId="2" fontId="0" fillId="0" borderId="0" xfId="0" applyNumberFormat="1"/>
    <xf numFmtId="0" fontId="0" fillId="3" borderId="8" xfId="0" applyFill="1" applyBorder="1"/>
    <xf numFmtId="0" fontId="0" fillId="3" borderId="9" xfId="0" applyFill="1" applyBorder="1" applyAlignment="1">
      <alignment horizontal="center" vertical="center"/>
    </xf>
    <xf numFmtId="0" fontId="0" fillId="3" borderId="3" xfId="0" applyFill="1" applyBorder="1" applyAlignment="1">
      <alignment horizontal="right" vertical="center"/>
    </xf>
    <xf numFmtId="0" fontId="0" fillId="3" borderId="4" xfId="0" applyFill="1" applyBorder="1"/>
    <xf numFmtId="0" fontId="0" fillId="3" borderId="2" xfId="0" applyFill="1" applyBorder="1" applyAlignment="1">
      <alignment horizontal="center" vertical="center"/>
    </xf>
    <xf numFmtId="0" fontId="0" fillId="3" borderId="8" xfId="0" applyFill="1" applyBorder="1" applyAlignment="1">
      <alignment horizontal="right" vertical="center"/>
    </xf>
    <xf numFmtId="0" fontId="0" fillId="3" borderId="10" xfId="0" applyFill="1" applyBorder="1" applyAlignment="1">
      <alignment horizontal="center" vertical="center"/>
    </xf>
    <xf numFmtId="0" fontId="0" fillId="3" borderId="5" xfId="0" applyFill="1" applyBorder="1" applyAlignment="1">
      <alignment horizontal="right" vertical="center"/>
    </xf>
    <xf numFmtId="0" fontId="0" fillId="3" borderId="5" xfId="0" applyFill="1" applyBorder="1"/>
    <xf numFmtId="0" fontId="1" fillId="2" borderId="1" xfId="0" applyFont="1" applyFill="1" applyBorder="1" applyAlignment="1">
      <alignment horizontal="center"/>
    </xf>
    <xf numFmtId="0" fontId="0" fillId="3" borderId="11" xfId="0" applyFill="1" applyBorder="1"/>
    <xf numFmtId="164" fontId="0" fillId="3" borderId="4" xfId="0" applyNumberFormat="1" applyFill="1" applyBorder="1"/>
    <xf numFmtId="0" fontId="0" fillId="3" borderId="10" xfId="0" applyFill="1" applyBorder="1"/>
    <xf numFmtId="0" fontId="0" fillId="3" borderId="2" xfId="0" applyFill="1" applyBorder="1"/>
    <xf numFmtId="164" fontId="0" fillId="3" borderId="8" xfId="0" applyNumberFormat="1" applyFill="1" applyBorder="1"/>
    <xf numFmtId="0" fontId="0" fillId="3" borderId="5" xfId="0" applyFill="1" applyBorder="1" applyAlignment="1">
      <alignment horizontal="right"/>
    </xf>
    <xf numFmtId="0" fontId="1" fillId="0" borderId="0" xfId="0" applyFont="1" applyAlignment="1">
      <alignment wrapText="1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7FA79-EABF-4E3B-AD09-F1CAEDB55C1F}">
  <dimension ref="A5:D36"/>
  <sheetViews>
    <sheetView workbookViewId="0">
      <selection activeCell="J8" sqref="J8"/>
    </sheetView>
  </sheetViews>
  <sheetFormatPr defaultRowHeight="14.4" x14ac:dyDescent="0.3"/>
  <cols>
    <col min="1" max="1" width="31.33203125" customWidth="1"/>
    <col min="2" max="2" width="34.5546875" customWidth="1"/>
    <col min="3" max="3" width="10.88671875" customWidth="1"/>
  </cols>
  <sheetData>
    <row r="5" spans="1:3" x14ac:dyDescent="0.3">
      <c r="A5" s="1" t="s">
        <v>0</v>
      </c>
      <c r="B5" s="1" t="s">
        <v>1</v>
      </c>
      <c r="C5" t="s">
        <v>2</v>
      </c>
    </row>
    <row r="6" spans="1:3" x14ac:dyDescent="0.3">
      <c r="B6" s="2"/>
    </row>
    <row r="7" spans="1:3" x14ac:dyDescent="0.3">
      <c r="A7" t="s">
        <v>12</v>
      </c>
      <c r="B7" s="3">
        <v>500</v>
      </c>
      <c r="C7" t="s">
        <v>4</v>
      </c>
    </row>
    <row r="8" spans="1:3" x14ac:dyDescent="0.3">
      <c r="A8" t="s">
        <v>13</v>
      </c>
      <c r="B8" s="16">
        <v>650</v>
      </c>
      <c r="C8" t="s">
        <v>4</v>
      </c>
    </row>
    <row r="9" spans="1:3" x14ac:dyDescent="0.3">
      <c r="A9" t="s">
        <v>38</v>
      </c>
      <c r="B9" s="16">
        <v>500</v>
      </c>
      <c r="C9" t="s">
        <v>5</v>
      </c>
    </row>
    <row r="10" spans="1:3" x14ac:dyDescent="0.3">
      <c r="A10" t="s">
        <v>50</v>
      </c>
      <c r="B10" s="16">
        <v>3</v>
      </c>
      <c r="C10" t="s">
        <v>9</v>
      </c>
    </row>
    <row r="11" spans="1:3" x14ac:dyDescent="0.3">
      <c r="A11" t="s">
        <v>14</v>
      </c>
      <c r="B11" s="16">
        <v>500</v>
      </c>
      <c r="C11" t="s">
        <v>5</v>
      </c>
    </row>
    <row r="12" spans="1:3" x14ac:dyDescent="0.3">
      <c r="A12" t="s">
        <v>47</v>
      </c>
      <c r="B12" s="16">
        <v>20</v>
      </c>
      <c r="C12" t="s">
        <v>5</v>
      </c>
    </row>
    <row r="13" spans="1:3" x14ac:dyDescent="0.3">
      <c r="A13" t="s">
        <v>17</v>
      </c>
      <c r="B13" s="16">
        <v>18</v>
      </c>
      <c r="C13" t="s">
        <v>6</v>
      </c>
    </row>
    <row r="14" spans="1:3" x14ac:dyDescent="0.3">
      <c r="A14" t="s">
        <v>18</v>
      </c>
      <c r="B14" s="16">
        <v>23.5</v>
      </c>
      <c r="C14" t="s">
        <v>6</v>
      </c>
    </row>
    <row r="15" spans="1:3" x14ac:dyDescent="0.3">
      <c r="A15" t="s">
        <v>19</v>
      </c>
      <c r="B15" s="16">
        <v>24</v>
      </c>
      <c r="C15" t="s">
        <v>7</v>
      </c>
    </row>
    <row r="16" spans="1:3" x14ac:dyDescent="0.3">
      <c r="A16" t="s">
        <v>20</v>
      </c>
      <c r="B16" s="16">
        <v>275</v>
      </c>
      <c r="C16" t="s">
        <v>8</v>
      </c>
    </row>
    <row r="17" spans="1:4" x14ac:dyDescent="0.3">
      <c r="A17" t="s">
        <v>21</v>
      </c>
      <c r="B17" s="16">
        <v>1.5</v>
      </c>
      <c r="C17" t="s">
        <v>9</v>
      </c>
    </row>
    <row r="18" spans="1:4" x14ac:dyDescent="0.3">
      <c r="A18" t="s">
        <v>22</v>
      </c>
      <c r="B18" s="16">
        <v>75</v>
      </c>
      <c r="C18" t="s">
        <v>5</v>
      </c>
    </row>
    <row r="20" spans="1:4" x14ac:dyDescent="0.3">
      <c r="A20" s="1" t="s">
        <v>48</v>
      </c>
    </row>
    <row r="21" spans="1:4" x14ac:dyDescent="0.3">
      <c r="B21" t="s">
        <v>49</v>
      </c>
      <c r="C21" s="4">
        <f>(1.2*B7+1.6*B8)/(B10^2)</f>
        <v>182.22222222222223</v>
      </c>
      <c r="D21" t="s">
        <v>3</v>
      </c>
    </row>
    <row r="23" spans="1:4" x14ac:dyDescent="0.3">
      <c r="A23" s="1" t="s">
        <v>51</v>
      </c>
    </row>
    <row r="24" spans="1:4" x14ac:dyDescent="0.3">
      <c r="B24" t="s">
        <v>26</v>
      </c>
      <c r="C24">
        <f>(B11-B18-B12-B12/2)</f>
        <v>395</v>
      </c>
      <c r="D24" t="s">
        <v>5</v>
      </c>
    </row>
    <row r="26" spans="1:4" x14ac:dyDescent="0.3">
      <c r="A26" s="1" t="s">
        <v>52</v>
      </c>
    </row>
    <row r="27" spans="1:4" x14ac:dyDescent="0.3">
      <c r="B27" t="s">
        <v>53</v>
      </c>
      <c r="C27" s="4">
        <f>C21*B10*((B10*1000-B9)/2-C24)/1000</f>
        <v>467.40000000000003</v>
      </c>
      <c r="D27" t="s">
        <v>4</v>
      </c>
    </row>
    <row r="29" spans="1:4" x14ac:dyDescent="0.3">
      <c r="A29" s="1" t="s">
        <v>54</v>
      </c>
    </row>
    <row r="30" spans="1:4" x14ac:dyDescent="0.3">
      <c r="B30" t="s">
        <v>55</v>
      </c>
      <c r="C30" s="4">
        <f>(0.75*(0.17)*SQRT(B15)*B10*C24)</f>
        <v>740.17456302550681</v>
      </c>
      <c r="D30" t="s">
        <v>4</v>
      </c>
    </row>
    <row r="31" spans="1:4" ht="15" thickBot="1" x14ac:dyDescent="0.35"/>
    <row r="32" spans="1:4" ht="15.6" thickTop="1" thickBot="1" x14ac:dyDescent="0.35">
      <c r="A32" s="24" t="s">
        <v>57</v>
      </c>
      <c r="B32" s="25"/>
      <c r="C32" s="26"/>
    </row>
    <row r="33" spans="1:3" ht="15.6" thickTop="1" thickBot="1" x14ac:dyDescent="0.35">
      <c r="A33" s="17" t="s">
        <v>53</v>
      </c>
      <c r="B33" s="18">
        <f>C27</f>
        <v>467.40000000000003</v>
      </c>
      <c r="C33" s="19" t="s">
        <v>4</v>
      </c>
    </row>
    <row r="34" spans="1:3" ht="15.6" thickTop="1" thickBot="1" x14ac:dyDescent="0.35">
      <c r="A34" s="20" t="s">
        <v>58</v>
      </c>
      <c r="B34" s="21">
        <f>C30</f>
        <v>740.17456302550681</v>
      </c>
      <c r="C34" s="20" t="s">
        <v>4</v>
      </c>
    </row>
    <row r="35" spans="1:3" ht="15.6" thickTop="1" thickBot="1" x14ac:dyDescent="0.35">
      <c r="A35" s="19" t="s">
        <v>56</v>
      </c>
      <c r="B35" s="22" t="str">
        <f>IF(B34&gt;B33,"SAFE","UNSAFE")</f>
        <v>SAFE</v>
      </c>
      <c r="C35" s="15"/>
    </row>
    <row r="36" spans="1:3" ht="15" thickTop="1" x14ac:dyDescent="0.3"/>
  </sheetData>
  <mergeCells count="1">
    <mergeCell ref="A32:C3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B4B68-A3D8-4A33-B4F6-319A9DE41D81}">
  <dimension ref="A5:D36"/>
  <sheetViews>
    <sheetView workbookViewId="0">
      <selection activeCell="E36" sqref="E36"/>
    </sheetView>
  </sheetViews>
  <sheetFormatPr defaultRowHeight="14.4" x14ac:dyDescent="0.3"/>
  <cols>
    <col min="1" max="1" width="31.33203125" customWidth="1"/>
    <col min="2" max="2" width="34.5546875" customWidth="1"/>
    <col min="3" max="3" width="10.88671875" customWidth="1"/>
  </cols>
  <sheetData>
    <row r="5" spans="1:3" x14ac:dyDescent="0.3">
      <c r="A5" s="1" t="s">
        <v>0</v>
      </c>
      <c r="B5" s="1" t="s">
        <v>1</v>
      </c>
      <c r="C5" t="s">
        <v>2</v>
      </c>
    </row>
    <row r="6" spans="1:3" x14ac:dyDescent="0.3">
      <c r="B6" s="2"/>
    </row>
    <row r="7" spans="1:3" x14ac:dyDescent="0.3">
      <c r="A7" t="s">
        <v>12</v>
      </c>
      <c r="B7" s="3">
        <v>500</v>
      </c>
      <c r="C7" t="s">
        <v>4</v>
      </c>
    </row>
    <row r="8" spans="1:3" x14ac:dyDescent="0.3">
      <c r="A8" t="s">
        <v>13</v>
      </c>
      <c r="B8" s="16">
        <v>650</v>
      </c>
      <c r="C8" t="s">
        <v>4</v>
      </c>
    </row>
    <row r="9" spans="1:3" x14ac:dyDescent="0.3">
      <c r="A9" t="s">
        <v>38</v>
      </c>
      <c r="B9" s="16">
        <v>500</v>
      </c>
      <c r="C9" t="s">
        <v>5</v>
      </c>
    </row>
    <row r="10" spans="1:3" x14ac:dyDescent="0.3">
      <c r="A10" t="s">
        <v>50</v>
      </c>
      <c r="B10" s="16">
        <v>3</v>
      </c>
      <c r="C10" t="s">
        <v>9</v>
      </c>
    </row>
    <row r="11" spans="1:3" x14ac:dyDescent="0.3">
      <c r="A11" t="s">
        <v>14</v>
      </c>
      <c r="B11" s="16">
        <v>500</v>
      </c>
      <c r="C11" t="s">
        <v>5</v>
      </c>
    </row>
    <row r="12" spans="1:3" x14ac:dyDescent="0.3">
      <c r="A12" t="s">
        <v>47</v>
      </c>
      <c r="B12" s="16">
        <v>20</v>
      </c>
      <c r="C12" t="s">
        <v>5</v>
      </c>
    </row>
    <row r="13" spans="1:3" x14ac:dyDescent="0.3">
      <c r="A13" t="s">
        <v>17</v>
      </c>
      <c r="B13" s="16">
        <v>18</v>
      </c>
      <c r="C13" t="s">
        <v>6</v>
      </c>
    </row>
    <row r="14" spans="1:3" x14ac:dyDescent="0.3">
      <c r="A14" t="s">
        <v>18</v>
      </c>
      <c r="B14" s="16">
        <v>23.5</v>
      </c>
      <c r="C14" t="s">
        <v>6</v>
      </c>
    </row>
    <row r="15" spans="1:3" x14ac:dyDescent="0.3">
      <c r="A15" t="s">
        <v>19</v>
      </c>
      <c r="B15" s="16">
        <v>24</v>
      </c>
      <c r="C15" t="s">
        <v>7</v>
      </c>
    </row>
    <row r="16" spans="1:3" x14ac:dyDescent="0.3">
      <c r="A16" t="s">
        <v>20</v>
      </c>
      <c r="B16" s="16">
        <v>275</v>
      </c>
      <c r="C16" t="s">
        <v>8</v>
      </c>
    </row>
    <row r="17" spans="1:4" x14ac:dyDescent="0.3">
      <c r="A17" t="s">
        <v>21</v>
      </c>
      <c r="B17" s="16">
        <v>1.5</v>
      </c>
      <c r="C17" t="s">
        <v>9</v>
      </c>
    </row>
    <row r="18" spans="1:4" x14ac:dyDescent="0.3">
      <c r="A18" t="s">
        <v>22</v>
      </c>
      <c r="B18" s="16">
        <v>75</v>
      </c>
      <c r="C18" t="s">
        <v>5</v>
      </c>
    </row>
    <row r="20" spans="1:4" x14ac:dyDescent="0.3">
      <c r="A20" s="1" t="s">
        <v>48</v>
      </c>
    </row>
    <row r="21" spans="1:4" x14ac:dyDescent="0.3">
      <c r="B21" t="s">
        <v>49</v>
      </c>
      <c r="C21" s="4">
        <f>(1.2*B7+1.6*B8)/(B10^2)</f>
        <v>182.22222222222223</v>
      </c>
      <c r="D21" t="s">
        <v>3</v>
      </c>
    </row>
    <row r="23" spans="1:4" x14ac:dyDescent="0.3">
      <c r="A23" s="1" t="s">
        <v>51</v>
      </c>
    </row>
    <row r="24" spans="1:4" x14ac:dyDescent="0.3">
      <c r="B24" t="s">
        <v>26</v>
      </c>
      <c r="C24">
        <f>(B11-B18-B12)</f>
        <v>405</v>
      </c>
      <c r="D24" t="s">
        <v>5</v>
      </c>
    </row>
    <row r="26" spans="1:4" x14ac:dyDescent="0.3">
      <c r="A26" s="1" t="s">
        <v>52</v>
      </c>
    </row>
    <row r="27" spans="1:4" x14ac:dyDescent="0.3">
      <c r="B27" t="s">
        <v>53</v>
      </c>
      <c r="C27" s="4">
        <f>C21*(B10^2-((B9+C24)/1000)^2)</f>
        <v>1490.7554444444445</v>
      </c>
      <c r="D27" t="s">
        <v>4</v>
      </c>
    </row>
    <row r="29" spans="1:4" x14ac:dyDescent="0.3">
      <c r="A29" s="1" t="s">
        <v>54</v>
      </c>
    </row>
    <row r="30" spans="1:4" x14ac:dyDescent="0.3">
      <c r="B30" t="s">
        <v>55</v>
      </c>
      <c r="C30" s="4">
        <f>(0.75*(0.33)*SQRT(B15)*4*(B9+C24)*C24)/1000</f>
        <v>1777.6424713877364</v>
      </c>
      <c r="D30" t="s">
        <v>4</v>
      </c>
    </row>
    <row r="31" spans="1:4" ht="15" thickBot="1" x14ac:dyDescent="0.35"/>
    <row r="32" spans="1:4" ht="15.6" thickTop="1" thickBot="1" x14ac:dyDescent="0.35">
      <c r="A32" s="24" t="s">
        <v>57</v>
      </c>
      <c r="B32" s="25"/>
      <c r="C32" s="26"/>
    </row>
    <row r="33" spans="1:3" ht="15.6" thickTop="1" thickBot="1" x14ac:dyDescent="0.35">
      <c r="A33" s="17" t="s">
        <v>53</v>
      </c>
      <c r="B33" s="18">
        <f>C27</f>
        <v>1490.7554444444445</v>
      </c>
      <c r="C33" s="19" t="s">
        <v>4</v>
      </c>
    </row>
    <row r="34" spans="1:3" ht="15.6" thickTop="1" thickBot="1" x14ac:dyDescent="0.35">
      <c r="A34" s="20" t="s">
        <v>58</v>
      </c>
      <c r="B34" s="21">
        <f>C30</f>
        <v>1777.6424713877364</v>
      </c>
      <c r="C34" s="20" t="s">
        <v>4</v>
      </c>
    </row>
    <row r="35" spans="1:3" ht="15.6" thickTop="1" thickBot="1" x14ac:dyDescent="0.35">
      <c r="A35" s="19" t="s">
        <v>56</v>
      </c>
      <c r="B35" s="22" t="str">
        <f>IF(B34&gt;B33,"SAFE","UNSAFE")</f>
        <v>SAFE</v>
      </c>
      <c r="C35" s="15"/>
    </row>
    <row r="36" spans="1:3" ht="15" thickTop="1" x14ac:dyDescent="0.3"/>
  </sheetData>
  <mergeCells count="1">
    <mergeCell ref="A32:C3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5003D2-AC57-4579-B1A7-15B4DC19CEE8}">
  <dimension ref="A2:D50"/>
  <sheetViews>
    <sheetView tabSelected="1" zoomScale="130" zoomScaleNormal="130" workbookViewId="0">
      <selection activeCell="F48" sqref="F48"/>
    </sheetView>
  </sheetViews>
  <sheetFormatPr defaultRowHeight="14.4" x14ac:dyDescent="0.3"/>
  <cols>
    <col min="1" max="1" width="33.21875" customWidth="1"/>
    <col min="2" max="2" width="28.6640625" customWidth="1"/>
    <col min="3" max="3" width="11.33203125" customWidth="1"/>
    <col min="4" max="4" width="10.109375" customWidth="1"/>
  </cols>
  <sheetData>
    <row r="2" spans="1:3" x14ac:dyDescent="0.3">
      <c r="A2" s="1" t="s">
        <v>0</v>
      </c>
      <c r="B2" s="1" t="s">
        <v>1</v>
      </c>
      <c r="C2" t="s">
        <v>2</v>
      </c>
    </row>
    <row r="3" spans="1:3" x14ac:dyDescent="0.3">
      <c r="B3" s="2"/>
    </row>
    <row r="4" spans="1:3" x14ac:dyDescent="0.3">
      <c r="A4" t="s">
        <v>12</v>
      </c>
      <c r="B4" s="3">
        <v>890</v>
      </c>
      <c r="C4" t="s">
        <v>4</v>
      </c>
    </row>
    <row r="5" spans="1:3" x14ac:dyDescent="0.3">
      <c r="A5" t="s">
        <v>13</v>
      </c>
      <c r="B5" s="16">
        <v>710</v>
      </c>
      <c r="C5" t="s">
        <v>4</v>
      </c>
    </row>
    <row r="6" spans="1:3" x14ac:dyDescent="0.3">
      <c r="A6" t="s">
        <v>38</v>
      </c>
      <c r="B6" s="16">
        <v>400</v>
      </c>
      <c r="C6" t="s">
        <v>5</v>
      </c>
    </row>
    <row r="7" spans="1:3" x14ac:dyDescent="0.3">
      <c r="A7" t="s">
        <v>14</v>
      </c>
      <c r="B7" s="16">
        <v>600</v>
      </c>
      <c r="C7" t="s">
        <v>5</v>
      </c>
    </row>
    <row r="8" spans="1:3" x14ac:dyDescent="0.3">
      <c r="A8" t="s">
        <v>15</v>
      </c>
      <c r="B8" s="16">
        <v>240</v>
      </c>
      <c r="C8" t="s">
        <v>3</v>
      </c>
    </row>
    <row r="9" spans="1:3" x14ac:dyDescent="0.3">
      <c r="A9" t="s">
        <v>16</v>
      </c>
      <c r="B9" s="16">
        <v>0</v>
      </c>
      <c r="C9" t="s">
        <v>3</v>
      </c>
    </row>
    <row r="10" spans="1:3" x14ac:dyDescent="0.3">
      <c r="A10" t="s">
        <v>17</v>
      </c>
      <c r="B10" s="16">
        <v>15.74</v>
      </c>
      <c r="C10" t="s">
        <v>6</v>
      </c>
    </row>
    <row r="11" spans="1:3" x14ac:dyDescent="0.3">
      <c r="A11" t="s">
        <v>18</v>
      </c>
      <c r="B11" s="16">
        <v>23.5</v>
      </c>
      <c r="C11" t="s">
        <v>6</v>
      </c>
    </row>
    <row r="12" spans="1:3" x14ac:dyDescent="0.3">
      <c r="A12" t="s">
        <v>19</v>
      </c>
      <c r="B12" s="16">
        <v>20.7</v>
      </c>
      <c r="C12" t="s">
        <v>7</v>
      </c>
    </row>
    <row r="13" spans="1:3" x14ac:dyDescent="0.3">
      <c r="A13" t="s">
        <v>20</v>
      </c>
      <c r="B13" s="16">
        <v>415</v>
      </c>
      <c r="C13" t="s">
        <v>8</v>
      </c>
    </row>
    <row r="14" spans="1:3" x14ac:dyDescent="0.3">
      <c r="A14" t="s">
        <v>21</v>
      </c>
      <c r="B14" s="16">
        <v>1.5</v>
      </c>
      <c r="C14" t="s">
        <v>9</v>
      </c>
    </row>
    <row r="15" spans="1:3" x14ac:dyDescent="0.3">
      <c r="A15" t="s">
        <v>22</v>
      </c>
      <c r="B15" s="16">
        <v>75</v>
      </c>
      <c r="C15" t="s">
        <v>5</v>
      </c>
    </row>
    <row r="16" spans="1:3" x14ac:dyDescent="0.3">
      <c r="A16" t="s">
        <v>47</v>
      </c>
      <c r="B16" s="16">
        <v>25</v>
      </c>
      <c r="C16" t="s">
        <v>5</v>
      </c>
    </row>
    <row r="17" spans="1:4" x14ac:dyDescent="0.3">
      <c r="A17" t="s">
        <v>23</v>
      </c>
      <c r="B17" s="16">
        <v>8</v>
      </c>
    </row>
    <row r="19" spans="1:4" x14ac:dyDescent="0.3">
      <c r="A19" s="1" t="s">
        <v>25</v>
      </c>
      <c r="B19" t="s">
        <v>26</v>
      </c>
      <c r="C19">
        <f>B7-B15</f>
        <v>525</v>
      </c>
      <c r="D19" t="s">
        <v>5</v>
      </c>
    </row>
    <row r="21" spans="1:4" x14ac:dyDescent="0.3">
      <c r="A21" s="1" t="s">
        <v>27</v>
      </c>
    </row>
    <row r="22" spans="1:4" x14ac:dyDescent="0.3">
      <c r="B22" t="s">
        <v>11</v>
      </c>
      <c r="C22">
        <f>B8-B9-B11*(B7/1000)-B10*(B14-(B7/1000))</f>
        <v>211.73400000000001</v>
      </c>
      <c r="D22" t="s">
        <v>3</v>
      </c>
    </row>
    <row r="24" spans="1:4" x14ac:dyDescent="0.3">
      <c r="A24" s="1" t="s">
        <v>28</v>
      </c>
    </row>
    <row r="25" spans="1:4" x14ac:dyDescent="0.3">
      <c r="B25" t="s">
        <v>10</v>
      </c>
      <c r="C25">
        <f>CEILING(SQRT((B4+B5)/C22),0.25)</f>
        <v>2.75</v>
      </c>
      <c r="D25" t="s">
        <v>9</v>
      </c>
    </row>
    <row r="27" spans="1:4" x14ac:dyDescent="0.3">
      <c r="A27" s="1" t="s">
        <v>29</v>
      </c>
    </row>
    <row r="28" spans="1:4" x14ac:dyDescent="0.3">
      <c r="B28" t="s">
        <v>24</v>
      </c>
      <c r="C28" s="4">
        <f>(1.2*B4+1.6*B5)/C25^2</f>
        <v>291.43801652892563</v>
      </c>
      <c r="D28" t="s">
        <v>3</v>
      </c>
    </row>
    <row r="30" spans="1:4" ht="28.8" x14ac:dyDescent="0.3">
      <c r="A30" s="23" t="s">
        <v>30</v>
      </c>
      <c r="B30" s="5"/>
      <c r="C30" s="5"/>
      <c r="D30" s="5"/>
    </row>
    <row r="31" spans="1:4" x14ac:dyDescent="0.3">
      <c r="B31" t="s">
        <v>45</v>
      </c>
      <c r="C31">
        <f>((C25-B6/1000)/2)-C19/1000</f>
        <v>0.65</v>
      </c>
      <c r="D31" t="s">
        <v>9</v>
      </c>
    </row>
    <row r="32" spans="1:4" x14ac:dyDescent="0.3">
      <c r="B32" t="s">
        <v>31</v>
      </c>
      <c r="C32" s="4">
        <f>C28*C31*C25</f>
        <v>520.9454545454546</v>
      </c>
      <c r="D32" t="s">
        <v>4</v>
      </c>
    </row>
    <row r="33" spans="1:4" ht="15.6" x14ac:dyDescent="0.35">
      <c r="B33" t="s">
        <v>36</v>
      </c>
      <c r="C33" s="6">
        <f>((C32*1000)*6)/(0.75*SQRT(B12)*C25*1000)</f>
        <v>333.09213132757844</v>
      </c>
      <c r="D33" t="s">
        <v>5</v>
      </c>
    </row>
    <row r="34" spans="1:4" x14ac:dyDescent="0.3">
      <c r="B34" t="s">
        <v>32</v>
      </c>
      <c r="C34" t="str">
        <f>IF(C33&lt;C19,"SAFE","UNSAFE")</f>
        <v>SAFE</v>
      </c>
    </row>
    <row r="36" spans="1:4" ht="28.8" x14ac:dyDescent="0.3">
      <c r="A36" s="23" t="s">
        <v>33</v>
      </c>
    </row>
    <row r="37" spans="1:4" x14ac:dyDescent="0.3">
      <c r="B37" t="s">
        <v>34</v>
      </c>
      <c r="C37">
        <f>B6+C19</f>
        <v>925</v>
      </c>
      <c r="D37" t="s">
        <v>5</v>
      </c>
    </row>
    <row r="38" spans="1:4" x14ac:dyDescent="0.3">
      <c r="B38" t="s">
        <v>35</v>
      </c>
      <c r="C38" s="4">
        <f>(C25^2-(C37/1000)^2)*C28</f>
        <v>1954.6383471074382</v>
      </c>
      <c r="D38" t="s">
        <v>4</v>
      </c>
    </row>
    <row r="39" spans="1:4" ht="15.6" x14ac:dyDescent="0.35">
      <c r="B39" t="s">
        <v>37</v>
      </c>
      <c r="C39" s="6">
        <f>(C38*1000*3)/(0.75*SQRT(B12)*4*C37)</f>
        <v>464.45057968766167</v>
      </c>
      <c r="D39" t="s">
        <v>5</v>
      </c>
    </row>
    <row r="40" spans="1:4" x14ac:dyDescent="0.3">
      <c r="B40" t="s">
        <v>32</v>
      </c>
      <c r="C40" t="str">
        <f>IF(C39&lt;C19,"SAFE","UNSAFE")</f>
        <v>SAFE</v>
      </c>
    </row>
    <row r="42" spans="1:4" x14ac:dyDescent="0.3">
      <c r="A42" s="1" t="s">
        <v>39</v>
      </c>
    </row>
    <row r="43" spans="1:4" x14ac:dyDescent="0.3">
      <c r="B43" t="s">
        <v>40</v>
      </c>
      <c r="C43">
        <f>CEILING((C25*1000*MAX(C33,C39)*(1.4/B13))/(0.25*PI()*B16^2),1)</f>
        <v>9</v>
      </c>
    </row>
    <row r="45" spans="1:4" ht="15" thickBot="1" x14ac:dyDescent="0.35">
      <c r="A45" s="1" t="s">
        <v>46</v>
      </c>
    </row>
    <row r="46" spans="1:4" ht="15.6" thickTop="1" thickBot="1" x14ac:dyDescent="0.35">
      <c r="A46" s="24" t="s">
        <v>44</v>
      </c>
      <c r="B46" s="25"/>
      <c r="C46" s="26"/>
    </row>
    <row r="47" spans="1:4" ht="15.6" thickTop="1" thickBot="1" x14ac:dyDescent="0.35">
      <c r="A47" s="8" t="s">
        <v>43</v>
      </c>
      <c r="B47" s="9">
        <f>IF(AND(C40 = "SAFE",C34 = "SAFE"),C25,(C25+0.25))</f>
        <v>2.75</v>
      </c>
      <c r="C47" s="10" t="s">
        <v>9</v>
      </c>
    </row>
    <row r="48" spans="1:4" ht="15.6" thickTop="1" thickBot="1" x14ac:dyDescent="0.35">
      <c r="A48" s="11" t="s">
        <v>41</v>
      </c>
      <c r="B48" s="12" t="str">
        <f>B47&amp;" m x "&amp;B47&amp;" m"</f>
        <v>2.75 m x 2.75 m</v>
      </c>
      <c r="C48" s="7"/>
    </row>
    <row r="49" spans="1:3" ht="15.6" thickTop="1" thickBot="1" x14ac:dyDescent="0.35">
      <c r="A49" s="13" t="s">
        <v>42</v>
      </c>
      <c r="B49" s="14" t="str">
        <f>"Use "&amp; C43&amp;" - "&amp;B16&amp;" mm diameter rebars."</f>
        <v>Use 9 - 25 mm diameter rebars.</v>
      </c>
      <c r="C49" s="15"/>
    </row>
    <row r="50" spans="1:3" ht="15" thickTop="1" x14ac:dyDescent="0.3"/>
  </sheetData>
  <mergeCells count="1">
    <mergeCell ref="A46:C4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ANALYSIS BEAM SHEAR</vt:lpstr>
      <vt:lpstr>ANALYSIS PUNCHING SHEAR</vt:lpstr>
      <vt:lpstr>DESIGN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4905</dc:creator>
  <cp:lastModifiedBy>Lancelot Oleriana</cp:lastModifiedBy>
  <dcterms:created xsi:type="dcterms:W3CDTF">2025-04-03T06:13:00Z</dcterms:created>
  <dcterms:modified xsi:type="dcterms:W3CDTF">2025-04-06T10:44:36Z</dcterms:modified>
</cp:coreProperties>
</file>