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ott-my.sharepoint.com/personal/hendry_widyanto_abbott_com/Documents/1 - Personal/Document/"/>
    </mc:Choice>
  </mc:AlternateContent>
  <xr:revisionPtr revIDLastSave="2967" documentId="8_{6E034013-20CD-404C-8220-824832C556B5}" xr6:coauthVersionLast="47" xr6:coauthVersionMax="47" xr10:uidLastSave="{B59E9705-6982-48B7-B16A-55D9E0A444F8}"/>
  <bookViews>
    <workbookView xWindow="-108" yWindow="-108" windowWidth="23256" windowHeight="12456" activeTab="6" xr2:uid="{E63F075B-1148-4E84-91F9-3B05297FFB13}"/>
  </bookViews>
  <sheets>
    <sheet name="Finance" sheetId="7" r:id="rId1"/>
    <sheet name="Finance 2" sheetId="4" state="hidden" r:id="rId2"/>
    <sheet name="Budget" sheetId="13" r:id="rId3"/>
    <sheet name="Transaction" sheetId="1" r:id="rId4"/>
    <sheet name="Pivot" sheetId="5" r:id="rId5"/>
    <sheet name="Finance 2023" sheetId="12" r:id="rId6"/>
    <sheet name="Finance 2024" sheetId="14" r:id="rId7"/>
    <sheet name="Finance 2024 (2)" sheetId="17" r:id="rId8"/>
  </sheets>
  <definedNames>
    <definedName name="_xlnm._FilterDatabase" localSheetId="3" hidden="1">Transaction!$A$1:$G$256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4" l="1"/>
  <c r="H31" i="14" l="1"/>
  <c r="I3" i="14"/>
  <c r="I3" i="17" l="1"/>
  <c r="I4" i="17"/>
  <c r="H4" i="17" s="1"/>
  <c r="H30" i="17"/>
  <c r="I30" i="17"/>
  <c r="G30" i="17" s="1"/>
  <c r="L25" i="17" s="1"/>
  <c r="N25" i="17" s="1"/>
  <c r="I38" i="17"/>
  <c r="G38" i="17"/>
  <c r="I37" i="17"/>
  <c r="G37" i="17"/>
  <c r="I36" i="17"/>
  <c r="G36" i="17"/>
  <c r="H35" i="17"/>
  <c r="I35" i="17" s="1"/>
  <c r="G35" i="17" s="1"/>
  <c r="L28" i="17" s="1"/>
  <c r="N28" i="17" s="1"/>
  <c r="I34" i="17"/>
  <c r="G34" i="17" s="1"/>
  <c r="I33" i="17"/>
  <c r="H33" i="17" s="1"/>
  <c r="I32" i="17"/>
  <c r="G32" i="17" s="1"/>
  <c r="I31" i="17"/>
  <c r="G31" i="17" s="1"/>
  <c r="I29" i="17"/>
  <c r="G29" i="17"/>
  <c r="H28" i="17"/>
  <c r="I28" i="17" s="1"/>
  <c r="G28" i="17" s="1"/>
  <c r="L26" i="17" s="1"/>
  <c r="N27" i="17"/>
  <c r="I27" i="17"/>
  <c r="G27" i="17"/>
  <c r="I26" i="17"/>
  <c r="G26" i="17"/>
  <c r="I25" i="17"/>
  <c r="G25" i="17"/>
  <c r="L24" i="17" s="1"/>
  <c r="D19" i="17"/>
  <c r="D18" i="17"/>
  <c r="H13" i="17"/>
  <c r="G13" i="17"/>
  <c r="I11" i="17"/>
  <c r="H11" i="17"/>
  <c r="I10" i="17"/>
  <c r="H10" i="17" s="1"/>
  <c r="I9" i="17"/>
  <c r="H9" i="17"/>
  <c r="I8" i="17"/>
  <c r="H8" i="17" s="1"/>
  <c r="L7" i="17"/>
  <c r="I7" i="17"/>
  <c r="H7" i="17"/>
  <c r="L6" i="17"/>
  <c r="I6" i="17"/>
  <c r="H6" i="17"/>
  <c r="L5" i="17"/>
  <c r="L3" i="17"/>
  <c r="I41" i="14"/>
  <c r="G41" i="14" s="1"/>
  <c r="L26" i="14"/>
  <c r="I30" i="14"/>
  <c r="G30" i="14" s="1"/>
  <c r="H35" i="14"/>
  <c r="I33" i="14"/>
  <c r="H33" i="14" s="1"/>
  <c r="I34" i="14"/>
  <c r="G34" i="14" s="1"/>
  <c r="I35" i="14"/>
  <c r="G35" i="14" s="1"/>
  <c r="L28" i="14" s="1"/>
  <c r="H28" i="14"/>
  <c r="I28" i="14" s="1"/>
  <c r="G28" i="14" s="1"/>
  <c r="I38" i="14"/>
  <c r="G38" i="14" s="1"/>
  <c r="L25" i="14" s="1"/>
  <c r="I37" i="14"/>
  <c r="G37" i="14" s="1"/>
  <c r="I36" i="14"/>
  <c r="G36" i="14" s="1"/>
  <c r="I32" i="14"/>
  <c r="G32" i="14" s="1"/>
  <c r="I31" i="14"/>
  <c r="G31" i="14" s="1"/>
  <c r="I29" i="14"/>
  <c r="G29" i="14" s="1"/>
  <c r="I27" i="14"/>
  <c r="G27" i="14" s="1"/>
  <c r="N27" i="14"/>
  <c r="I26" i="14"/>
  <c r="G26" i="14" s="1"/>
  <c r="I25" i="14"/>
  <c r="G25" i="14" s="1"/>
  <c r="D19" i="14"/>
  <c r="D18" i="14"/>
  <c r="H13" i="14"/>
  <c r="G13" i="14"/>
  <c r="I11" i="14"/>
  <c r="H11" i="14" s="1"/>
  <c r="I10" i="14"/>
  <c r="H10" i="14" s="1"/>
  <c r="I9" i="14"/>
  <c r="H9" i="14" s="1"/>
  <c r="I8" i="14"/>
  <c r="H8" i="14" s="1"/>
  <c r="L7" i="14"/>
  <c r="I7" i="14"/>
  <c r="H7" i="14" s="1"/>
  <c r="L6" i="14"/>
  <c r="L5" i="14" s="1"/>
  <c r="I4" i="14"/>
  <c r="H4" i="14" s="1"/>
  <c r="L3" i="14"/>
  <c r="H8" i="13"/>
  <c r="C16" i="13"/>
  <c r="F5" i="13"/>
  <c r="F4" i="13"/>
  <c r="J12" i="12"/>
  <c r="H41" i="12"/>
  <c r="F41" i="12"/>
  <c r="F22" i="7"/>
  <c r="L2" i="13"/>
  <c r="I2" i="13"/>
  <c r="C6" i="13"/>
  <c r="F2" i="13"/>
  <c r="F7" i="13" s="1"/>
  <c r="C15" i="13"/>
  <c r="C14" i="13"/>
  <c r="C8" i="13"/>
  <c r="K27" i="12"/>
  <c r="K25" i="12"/>
  <c r="C5" i="13"/>
  <c r="C2" i="13"/>
  <c r="I3" i="13"/>
  <c r="C3" i="13"/>
  <c r="K24" i="12"/>
  <c r="M25" i="12"/>
  <c r="M27" i="12"/>
  <c r="K39" i="12"/>
  <c r="K5" i="12"/>
  <c r="D18" i="12"/>
  <c r="M34" i="12"/>
  <c r="M26" i="12"/>
  <c r="M24" i="12"/>
  <c r="L35" i="12"/>
  <c r="K37" i="12"/>
  <c r="K35" i="12"/>
  <c r="K34" i="12"/>
  <c r="F28" i="12"/>
  <c r="N35" i="12"/>
  <c r="M36" i="12"/>
  <c r="M37" i="12"/>
  <c r="M35" i="12"/>
  <c r="M39" i="12"/>
  <c r="G28" i="12"/>
  <c r="H28" i="12" s="1"/>
  <c r="F15" i="7"/>
  <c r="J26" i="7"/>
  <c r="J25" i="7"/>
  <c r="J24" i="7"/>
  <c r="J23" i="7"/>
  <c r="J22" i="7"/>
  <c r="H11" i="12"/>
  <c r="G11" i="12" s="1"/>
  <c r="K25" i="7"/>
  <c r="K22" i="7"/>
  <c r="K24" i="7" s="1"/>
  <c r="K26" i="7" s="1"/>
  <c r="K23" i="7"/>
  <c r="G27" i="7"/>
  <c r="G32" i="7"/>
  <c r="H32" i="7"/>
  <c r="H33" i="12"/>
  <c r="G33" i="12" s="1"/>
  <c r="H38" i="12"/>
  <c r="F38" i="12" s="1"/>
  <c r="H37" i="12"/>
  <c r="F37" i="12"/>
  <c r="H36" i="12"/>
  <c r="F36" i="12" s="1"/>
  <c r="H35" i="12"/>
  <c r="F35" i="12" s="1"/>
  <c r="H34" i="12"/>
  <c r="F34" i="12"/>
  <c r="H32" i="12"/>
  <c r="F32" i="12" s="1"/>
  <c r="K28" i="12" s="1"/>
  <c r="H31" i="12"/>
  <c r="F31" i="12" s="1"/>
  <c r="H30" i="12"/>
  <c r="F30" i="12" s="1"/>
  <c r="H29" i="12"/>
  <c r="F29" i="12" s="1"/>
  <c r="H27" i="12"/>
  <c r="F27" i="12" s="1"/>
  <c r="H26" i="12"/>
  <c r="F26" i="12" s="1"/>
  <c r="H25" i="12"/>
  <c r="F25" i="12"/>
  <c r="G13" i="12"/>
  <c r="F13" i="12"/>
  <c r="H10" i="12"/>
  <c r="G10" i="12" s="1"/>
  <c r="H9" i="12"/>
  <c r="G9" i="12" s="1"/>
  <c r="H8" i="12"/>
  <c r="G8" i="12" s="1"/>
  <c r="K7" i="12"/>
  <c r="H7" i="12"/>
  <c r="G7" i="12" s="1"/>
  <c r="K6" i="12"/>
  <c r="H4" i="12"/>
  <c r="K3" i="12"/>
  <c r="G3" i="12"/>
  <c r="F3" i="12"/>
  <c r="F15" i="12" s="1"/>
  <c r="H27" i="7"/>
  <c r="F27" i="7" s="1"/>
  <c r="F6" i="7"/>
  <c r="H6" i="7" s="1"/>
  <c r="G6" i="7" s="1"/>
  <c r="H40" i="7"/>
  <c r="H36" i="7"/>
  <c r="F36" i="7" s="1"/>
  <c r="H33" i="7"/>
  <c r="F33" i="7" s="1"/>
  <c r="H37" i="7"/>
  <c r="H35" i="7"/>
  <c r="F35" i="7" s="1"/>
  <c r="H34" i="7"/>
  <c r="F34" i="7" s="1"/>
  <c r="H31" i="7"/>
  <c r="F31" i="7" s="1"/>
  <c r="G22" i="5"/>
  <c r="G17" i="5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F40" i="7"/>
  <c r="F37" i="7"/>
  <c r="H30" i="7"/>
  <c r="F30" i="7" s="1"/>
  <c r="H29" i="7"/>
  <c r="F29" i="7" s="1"/>
  <c r="H28" i="7"/>
  <c r="F28" i="7" s="1"/>
  <c r="H26" i="7"/>
  <c r="F26" i="7" s="1"/>
  <c r="H25" i="7"/>
  <c r="F25" i="7" s="1"/>
  <c r="H24" i="7"/>
  <c r="F24" i="7" s="1"/>
  <c r="K15" i="7"/>
  <c r="O14" i="7"/>
  <c r="N14" i="7"/>
  <c r="N16" i="7" s="1"/>
  <c r="K14" i="7"/>
  <c r="K16" i="7" s="1"/>
  <c r="O13" i="7"/>
  <c r="G12" i="7"/>
  <c r="F12" i="7"/>
  <c r="H10" i="7"/>
  <c r="G10" i="7" s="1"/>
  <c r="H9" i="7"/>
  <c r="G9" i="7" s="1"/>
  <c r="H8" i="7"/>
  <c r="G8" i="7" s="1"/>
  <c r="K7" i="7"/>
  <c r="H7" i="7"/>
  <c r="G7" i="7" s="1"/>
  <c r="K6" i="7"/>
  <c r="K5" i="7" s="1"/>
  <c r="H4" i="7"/>
  <c r="K3" i="7"/>
  <c r="G3" i="7"/>
  <c r="F3" i="7"/>
  <c r="G16" i="5"/>
  <c r="G15" i="5"/>
  <c r="I15" i="17" l="1"/>
  <c r="I20" i="17" s="1"/>
  <c r="M26" i="17"/>
  <c r="N26" i="17"/>
  <c r="O26" i="17" s="1"/>
  <c r="I16" i="17"/>
  <c r="I21" i="17"/>
  <c r="N24" i="17"/>
  <c r="I41" i="17"/>
  <c r="G3" i="17"/>
  <c r="H3" i="17"/>
  <c r="G3" i="14"/>
  <c r="G15" i="14" s="1"/>
  <c r="G20" i="14" s="1"/>
  <c r="H3" i="14"/>
  <c r="H15" i="14" s="1"/>
  <c r="H20" i="14" s="1"/>
  <c r="N25" i="14"/>
  <c r="H41" i="14"/>
  <c r="N28" i="14"/>
  <c r="I6" i="14"/>
  <c r="I15" i="14"/>
  <c r="L24" i="14"/>
  <c r="L3" i="13"/>
  <c r="L4" i="13" s="1"/>
  <c r="I4" i="13"/>
  <c r="K29" i="12"/>
  <c r="M28" i="12"/>
  <c r="K38" i="12"/>
  <c r="M38" i="12" s="1"/>
  <c r="L25" i="12"/>
  <c r="N25" i="12"/>
  <c r="F20" i="12"/>
  <c r="F21" i="12"/>
  <c r="G41" i="12"/>
  <c r="H15" i="12"/>
  <c r="H21" i="12" s="1"/>
  <c r="D19" i="12"/>
  <c r="F6" i="12"/>
  <c r="H6" i="12" s="1"/>
  <c r="G4" i="12"/>
  <c r="G15" i="12" s="1"/>
  <c r="H14" i="7"/>
  <c r="H20" i="7" s="1"/>
  <c r="O16" i="7"/>
  <c r="G40" i="7"/>
  <c r="G4" i="7"/>
  <c r="G14" i="7" s="1"/>
  <c r="G19" i="7" s="1"/>
  <c r="H19" i="7"/>
  <c r="D18" i="7"/>
  <c r="D17" i="7"/>
  <c r="H15" i="7"/>
  <c r="F14" i="7"/>
  <c r="I18" i="17" l="1"/>
  <c r="I19" i="17"/>
  <c r="H15" i="17"/>
  <c r="G15" i="17"/>
  <c r="G41" i="17"/>
  <c r="H41" i="17"/>
  <c r="H21" i="14"/>
  <c r="G16" i="14"/>
  <c r="G18" i="14" s="1"/>
  <c r="B18" i="14" s="1"/>
  <c r="I16" i="14"/>
  <c r="I21" i="14"/>
  <c r="I20" i="14"/>
  <c r="N24" i="14"/>
  <c r="G21" i="14"/>
  <c r="B21" i="14" s="1"/>
  <c r="B20" i="14"/>
  <c r="N26" i="14"/>
  <c r="O26" i="14" s="1"/>
  <c r="M26" i="14"/>
  <c r="H6" i="14"/>
  <c r="F16" i="12"/>
  <c r="F18" i="12" s="1"/>
  <c r="H16" i="12"/>
  <c r="H18" i="12" s="1"/>
  <c r="H20" i="12"/>
  <c r="G21" i="12"/>
  <c r="G20" i="12"/>
  <c r="B21" i="12"/>
  <c r="B20" i="12"/>
  <c r="G6" i="12"/>
  <c r="G20" i="7"/>
  <c r="H17" i="7"/>
  <c r="F20" i="7"/>
  <c r="B20" i="7" s="1"/>
  <c r="F19" i="7"/>
  <c r="B19" i="7" s="1"/>
  <c r="H21" i="17" l="1"/>
  <c r="H20" i="17"/>
  <c r="H16" i="17"/>
  <c r="G21" i="17"/>
  <c r="B21" i="17" s="1"/>
  <c r="G20" i="17"/>
  <c r="B20" i="17" s="1"/>
  <c r="G16" i="17"/>
  <c r="I23" i="17"/>
  <c r="I40" i="17" s="1"/>
  <c r="I42" i="17" s="1"/>
  <c r="I43" i="17" s="1"/>
  <c r="H16" i="14"/>
  <c r="G19" i="14"/>
  <c r="B19" i="14" s="1"/>
  <c r="I19" i="14"/>
  <c r="I18" i="14"/>
  <c r="F19" i="12"/>
  <c r="G16" i="12"/>
  <c r="G15" i="7"/>
  <c r="C18" i="7"/>
  <c r="H18" i="7" s="1"/>
  <c r="H22" i="7" s="1"/>
  <c r="F17" i="7"/>
  <c r="H19" i="17" l="1"/>
  <c r="H18" i="17"/>
  <c r="H23" i="17" s="1"/>
  <c r="H40" i="17" s="1"/>
  <c r="H42" i="17" s="1"/>
  <c r="H43" i="17" s="1"/>
  <c r="G19" i="17"/>
  <c r="B19" i="17" s="1"/>
  <c r="G18" i="17"/>
  <c r="G23" i="14"/>
  <c r="L29" i="14" s="1"/>
  <c r="K34" i="14" s="1"/>
  <c r="H18" i="14"/>
  <c r="H19" i="14"/>
  <c r="I23" i="14"/>
  <c r="I40" i="14" s="1"/>
  <c r="I42" i="14" s="1"/>
  <c r="I43" i="14" s="1"/>
  <c r="F23" i="12"/>
  <c r="K40" i="12" s="1"/>
  <c r="H19" i="12"/>
  <c r="B18" i="12"/>
  <c r="G19" i="12"/>
  <c r="G18" i="12"/>
  <c r="B19" i="12"/>
  <c r="H39" i="7"/>
  <c r="H41" i="7" s="1"/>
  <c r="H42" i="7" s="1"/>
  <c r="F18" i="7"/>
  <c r="B18" i="7" s="1"/>
  <c r="G17" i="7"/>
  <c r="G18" i="7"/>
  <c r="B17" i="7"/>
  <c r="L31" i="14" l="1"/>
  <c r="B18" i="17"/>
  <c r="G23" i="17"/>
  <c r="C23" i="14"/>
  <c r="G40" i="14"/>
  <c r="G42" i="14" s="1"/>
  <c r="G43" i="14" s="1"/>
  <c r="B23" i="14"/>
  <c r="H23" i="14"/>
  <c r="K42" i="12"/>
  <c r="K31" i="12"/>
  <c r="H23" i="12"/>
  <c r="G23" i="12"/>
  <c r="B23" i="12"/>
  <c r="F40" i="12"/>
  <c r="F42" i="12" s="1"/>
  <c r="F43" i="12" s="1"/>
  <c r="G22" i="7"/>
  <c r="F39" i="7"/>
  <c r="F41" i="7" s="1"/>
  <c r="F42" i="7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2" i="1"/>
  <c r="H34" i="4"/>
  <c r="G34" i="4"/>
  <c r="K31" i="4"/>
  <c r="L31" i="4"/>
  <c r="J31" i="4"/>
  <c r="H31" i="4"/>
  <c r="F31" i="4"/>
  <c r="L30" i="4"/>
  <c r="J30" i="4"/>
  <c r="K30" i="4"/>
  <c r="H30" i="4"/>
  <c r="F30" i="4"/>
  <c r="K29" i="4"/>
  <c r="L29" i="4"/>
  <c r="J29" i="4"/>
  <c r="H29" i="4"/>
  <c r="F29" i="4"/>
  <c r="L28" i="4"/>
  <c r="J28" i="4"/>
  <c r="K28" i="4"/>
  <c r="H28" i="4"/>
  <c r="F28" i="4"/>
  <c r="K27" i="4"/>
  <c r="L27" i="4"/>
  <c r="J27" i="4"/>
  <c r="H27" i="4"/>
  <c r="F27" i="4"/>
  <c r="K26" i="4"/>
  <c r="L26" i="4"/>
  <c r="J26" i="4"/>
  <c r="H26" i="4"/>
  <c r="F26" i="4"/>
  <c r="K25" i="4"/>
  <c r="L25" i="4"/>
  <c r="J25" i="4"/>
  <c r="H25" i="4"/>
  <c r="F25" i="4"/>
  <c r="K24" i="4"/>
  <c r="L24" i="4"/>
  <c r="J24" i="4"/>
  <c r="H24" i="4"/>
  <c r="F24" i="4"/>
  <c r="R16" i="4"/>
  <c r="Q16" i="4"/>
  <c r="O15" i="4"/>
  <c r="R14" i="4"/>
  <c r="Q14" i="4"/>
  <c r="R13" i="4"/>
  <c r="K12" i="4"/>
  <c r="J12" i="4"/>
  <c r="G12" i="4"/>
  <c r="F12" i="4"/>
  <c r="L10" i="4"/>
  <c r="K10" i="4"/>
  <c r="H10" i="4"/>
  <c r="G10" i="4"/>
  <c r="L9" i="4"/>
  <c r="K9" i="4"/>
  <c r="H9" i="4"/>
  <c r="G9" i="4"/>
  <c r="L8" i="4"/>
  <c r="K8" i="4"/>
  <c r="H8" i="4"/>
  <c r="G8" i="4"/>
  <c r="O7" i="4"/>
  <c r="L7" i="4"/>
  <c r="K7" i="4"/>
  <c r="H7" i="4"/>
  <c r="H14" i="4"/>
  <c r="O6" i="4"/>
  <c r="O5" i="4"/>
  <c r="L4" i="4"/>
  <c r="K4" i="4"/>
  <c r="H4" i="4"/>
  <c r="G4" i="4"/>
  <c r="O3" i="4"/>
  <c r="L3" i="4"/>
  <c r="L34" i="4"/>
  <c r="K3" i="4"/>
  <c r="K14" i="4"/>
  <c r="J3" i="4"/>
  <c r="J14" i="4"/>
  <c r="G3" i="4"/>
  <c r="F3" i="4"/>
  <c r="H19" i="4"/>
  <c r="H20" i="4"/>
  <c r="K19" i="4"/>
  <c r="K20" i="4"/>
  <c r="K34" i="4"/>
  <c r="J34" i="4"/>
  <c r="J19" i="4"/>
  <c r="J20" i="4"/>
  <c r="L14" i="4"/>
  <c r="J6" i="4"/>
  <c r="L6" i="4"/>
  <c r="K6" i="4"/>
  <c r="O14" i="4"/>
  <c r="O16" i="4"/>
  <c r="F34" i="4"/>
  <c r="F14" i="4"/>
  <c r="G7" i="4"/>
  <c r="G14" i="4"/>
  <c r="F6" i="4"/>
  <c r="H6" i="4"/>
  <c r="G20" i="4"/>
  <c r="G19" i="4"/>
  <c r="L19" i="4"/>
  <c r="L20" i="4"/>
  <c r="L15" i="4"/>
  <c r="D18" i="4"/>
  <c r="D17" i="4"/>
  <c r="K15" i="4"/>
  <c r="F19" i="4"/>
  <c r="B19" i="4"/>
  <c r="F20" i="4"/>
  <c r="B20" i="4"/>
  <c r="F15" i="4"/>
  <c r="J15" i="4"/>
  <c r="G6" i="4"/>
  <c r="H15" i="4"/>
  <c r="H18" i="4"/>
  <c r="H17" i="4"/>
  <c r="L18" i="4"/>
  <c r="L17" i="4"/>
  <c r="J18" i="4"/>
  <c r="J17" i="4"/>
  <c r="J22" i="4"/>
  <c r="J33" i="4"/>
  <c r="J35" i="4"/>
  <c r="F17" i="4"/>
  <c r="F18" i="4"/>
  <c r="B18" i="4"/>
  <c r="K18" i="4"/>
  <c r="K17" i="4"/>
  <c r="G15" i="4"/>
  <c r="H22" i="4"/>
  <c r="H33" i="4"/>
  <c r="H35" i="4"/>
  <c r="H36" i="4"/>
  <c r="L22" i="4"/>
  <c r="L33" i="4"/>
  <c r="L35" i="4"/>
  <c r="B17" i="4"/>
  <c r="F22" i="4"/>
  <c r="G18" i="4"/>
  <c r="G17" i="4"/>
  <c r="K22" i="4"/>
  <c r="K33" i="4"/>
  <c r="K35" i="4"/>
  <c r="G22" i="4"/>
  <c r="G33" i="4"/>
  <c r="G35" i="4"/>
  <c r="G36" i="4"/>
  <c r="F33" i="4"/>
  <c r="F35" i="4"/>
  <c r="F36" i="4"/>
  <c r="B22" i="4"/>
  <c r="C2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2" i="1"/>
  <c r="G40" i="17" l="1"/>
  <c r="G42" i="17" s="1"/>
  <c r="G43" i="17" s="1"/>
  <c r="L29" i="17"/>
  <c r="B23" i="17"/>
  <c r="C23" i="17"/>
  <c r="H40" i="14"/>
  <c r="H42" i="14" s="1"/>
  <c r="H43" i="14" s="1"/>
  <c r="N29" i="14"/>
  <c r="N31" i="14" s="1"/>
  <c r="M40" i="12"/>
  <c r="M42" i="12" s="1"/>
  <c r="M29" i="12"/>
  <c r="M31" i="12" s="1"/>
  <c r="G40" i="12"/>
  <c r="G42" i="12" s="1"/>
  <c r="G43" i="12" s="1"/>
  <c r="H40" i="12"/>
  <c r="H42" i="12" s="1"/>
  <c r="H43" i="12" s="1"/>
  <c r="C23" i="12"/>
  <c r="G39" i="7"/>
  <c r="C22" i="7"/>
  <c r="B22" i="7"/>
  <c r="N29" i="17" l="1"/>
  <c r="N31" i="17" s="1"/>
  <c r="L31" i="17"/>
  <c r="G41" i="7"/>
  <c r="G42" i="7" s="1"/>
</calcChain>
</file>

<file path=xl/sharedStrings.xml><?xml version="1.0" encoding="utf-8"?>
<sst xmlns="http://schemas.openxmlformats.org/spreadsheetml/2006/main" count="1078" uniqueCount="292">
  <si>
    <t>Categories</t>
  </si>
  <si>
    <t>Date</t>
  </si>
  <si>
    <t>Purchase</t>
  </si>
  <si>
    <t>Direct Debit</t>
  </si>
  <si>
    <t>Direct Deposit</t>
  </si>
  <si>
    <t>Fee</t>
  </si>
  <si>
    <t>HOLIDAY STATIONS 0312 PLYMOUTH</t>
  </si>
  <si>
    <t>STORMKING BREWPUB AND MINNEAPOLI...</t>
  </si>
  <si>
    <t>TARGET 00032003 MINNEAPOL...</t>
  </si>
  <si>
    <t>HONK MSP 612-3751301</t>
  </si>
  <si>
    <t>REVOLUT*1560* 844-7443512</t>
  </si>
  <si>
    <t>HOLIDAY STATIONS 3826 MINNEAPOLI...</t>
  </si>
  <si>
    <t>KUNG FU TEA MINNEAPOLIS</t>
  </si>
  <si>
    <t>HONG KONG NOODLE MINNEAPOLIS</t>
  </si>
  <si>
    <t>ROOSTERS MGC MINNEAPOLIS</t>
  </si>
  <si>
    <t>TARGET 00022293 SAINT PAU...</t>
  </si>
  <si>
    <t>ROOMSTER CORP 646-862-2841</t>
  </si>
  <si>
    <t>PAYPAL *STEAM GAMES 4029357733</t>
  </si>
  <si>
    <t>AMAZON.COM*HZ62 AMAZON.COM SEATT...</t>
  </si>
  <si>
    <t>RETURN - PAYPAL *DAVILASSERV PR...</t>
  </si>
  <si>
    <t>VESTA *AT&amp;T PREPAID 866-608-300...</t>
  </si>
  <si>
    <t>UBER TRIP 8005928996</t>
  </si>
  <si>
    <t>FRESH THYME #51 24 30TH AVE SE M...</t>
  </si>
  <si>
    <t>FOREIGN TRANSACTION FEE</t>
  </si>
  <si>
    <t>NETFLIX.COM AMSTERDAM</t>
  </si>
  <si>
    <t>O'REILLY AUTO P HOPKINS</t>
  </si>
  <si>
    <t>PAYPAL *DAVILASSERV PR 402935773...</t>
  </si>
  <si>
    <t>DRAGON STAR ORI ST PAUL</t>
  </si>
  <si>
    <t>BURGER KING #12250 Q07 MINNEAPOL...</t>
  </si>
  <si>
    <t>RETURN - LEVIS OUTLET 281 EAGAN</t>
  </si>
  <si>
    <t>RETURN - EXPRESS #1732 EAGAN</t>
  </si>
  <si>
    <t>PP*CROSSCONCES SHAKOPEE</t>
  </si>
  <si>
    <t>LINDT CHOCOLATE #464 EAGAN</t>
  </si>
  <si>
    <t>GAP OUTLET US 2564 398 EAGAN</t>
  </si>
  <si>
    <t>LEVIS OUTLET 281 EAGAN</t>
  </si>
  <si>
    <t>EXPRESS #1732 EAGAN</t>
  </si>
  <si>
    <t>UNDER ARMOUR WILLIAMSB EAGAN</t>
  </si>
  <si>
    <t>UNDER ARMOUR RETAIL OF EAGAN</t>
  </si>
  <si>
    <t>ADIDAS 6231 EAGAN EAGAN</t>
  </si>
  <si>
    <t>SQ *VIKING CREAMERY / EAGAN</t>
  </si>
  <si>
    <t>RAISING CANE'S #LC1 MINNEAPOLIS</t>
  </si>
  <si>
    <t>CVS/PHARMACY #08941 MINNEAPOLIS</t>
  </si>
  <si>
    <t>KOREA RESTAURANT MINNEAPOLIS</t>
  </si>
  <si>
    <t>ROOMIES.COM DARLING POINT</t>
  </si>
  <si>
    <t>EUREST ST JUDE CAFEQPS PLYMOUTH</t>
  </si>
  <si>
    <t>MPLSMETERSAPP 8090 612-3437275</t>
  </si>
  <si>
    <t>KOWLOON RESTAURANT MINNEAPOLIS</t>
  </si>
  <si>
    <t>LASALLE COURT PARKING MINNEAPOLI...</t>
  </si>
  <si>
    <t>GENT CUTS AND GROOMING MINNEAPOL...</t>
  </si>
  <si>
    <t>VENMO PAYMENT</t>
  </si>
  <si>
    <t>Driver Services eServices</t>
  </si>
  <si>
    <t>ABBOTT CARDIOVAS REG SALARY</t>
  </si>
  <si>
    <t>PL*AmericanCampu WEB PMTS</t>
  </si>
  <si>
    <t>PL*PAYLEASE WEB PMTS</t>
  </si>
  <si>
    <t>VENMO CASHOUT</t>
  </si>
  <si>
    <t>Type</t>
  </si>
  <si>
    <t>Description</t>
  </si>
  <si>
    <t>Amount $</t>
  </si>
  <si>
    <t>Balance $</t>
  </si>
  <si>
    <t>Food</t>
  </si>
  <si>
    <t>Haircut</t>
  </si>
  <si>
    <t>Gas</t>
  </si>
  <si>
    <t>Misc</t>
  </si>
  <si>
    <t>Rent</t>
  </si>
  <si>
    <t>Salary</t>
  </si>
  <si>
    <t>Phone Plan</t>
  </si>
  <si>
    <t>Minneapolis</t>
  </si>
  <si>
    <t>Bi-Weekly</t>
  </si>
  <si>
    <t>Monthly</t>
  </si>
  <si>
    <t>Yearly</t>
  </si>
  <si>
    <t>Gross Income</t>
  </si>
  <si>
    <t>Temecula</t>
  </si>
  <si>
    <t>Life Imputed Income</t>
  </si>
  <si>
    <t>San Diego</t>
  </si>
  <si>
    <t>401k Contribution</t>
  </si>
  <si>
    <t>San Fransisco</t>
  </si>
  <si>
    <t>HSA Contribution</t>
  </si>
  <si>
    <t>Santa Clara</t>
  </si>
  <si>
    <t>Health Insurance</t>
  </si>
  <si>
    <t>Dental Insurance</t>
  </si>
  <si>
    <t>Life Insurance</t>
  </si>
  <si>
    <t>Federal</t>
  </si>
  <si>
    <t>State</t>
  </si>
  <si>
    <t>Allowance</t>
  </si>
  <si>
    <t>Collabera</t>
  </si>
  <si>
    <t>Abbott</t>
  </si>
  <si>
    <t>Medicare - Taxable Wages</t>
  </si>
  <si>
    <t>Federal Withholding - Taxable Wages</t>
  </si>
  <si>
    <t>401k + HSA</t>
  </si>
  <si>
    <t>Total</t>
  </si>
  <si>
    <t>Federal Tax</t>
  </si>
  <si>
    <t>CA State Tax</t>
  </si>
  <si>
    <t>Social Security</t>
  </si>
  <si>
    <t>Medicare</t>
  </si>
  <si>
    <t>Take Home Pay</t>
  </si>
  <si>
    <t>Electricity</t>
  </si>
  <si>
    <t>Car Insurance</t>
  </si>
  <si>
    <t>Car Maintenance</t>
  </si>
  <si>
    <t>Barber</t>
  </si>
  <si>
    <t>Food + Other</t>
  </si>
  <si>
    <t>Saving</t>
  </si>
  <si>
    <t>401k Match</t>
  </si>
  <si>
    <t>Saving + Investment</t>
  </si>
  <si>
    <t>Extra</t>
  </si>
  <si>
    <t>Sum of Amount $</t>
  </si>
  <si>
    <t>Grand Total</t>
  </si>
  <si>
    <t>Row Labels</t>
  </si>
  <si>
    <t>ATM FEE REFUND</t>
  </si>
  <si>
    <t>ATM FEE Refund</t>
  </si>
  <si>
    <t>U.S. BANK US BANK WAYZATA WAYZATA, MN, US</t>
  </si>
  <si>
    <t>Luckys Station S Excelsior, MN, US</t>
  </si>
  <si>
    <t>DRAGON STAR ORI ST PAUL, MN, US</t>
  </si>
  <si>
    <t>HONG KONG NOODLE MINNEAPOLIS, MN, US</t>
  </si>
  <si>
    <t>TARGET T- 1300 Univers Saint Paul, MN, US</t>
  </si>
  <si>
    <t>GOOGLE *GOOGLE STORAGE MOUNTAIN VIEW, CA, US</t>
  </si>
  <si>
    <t>TOWN HALL BREWERY MINNEAPOLIS, MN, US</t>
  </si>
  <si>
    <t>KUNG FU TEA MINNEAPOLIS, MN, US</t>
  </si>
  <si>
    <t>PAYPAL *EBAY US 4029357733, CA, US</t>
  </si>
  <si>
    <t>AMAZON.COM*I05C AMAZON.COM SEATTLE, WA, US</t>
  </si>
  <si>
    <t>TARGET 00022293 SAINT PAUL, MN, US</t>
  </si>
  <si>
    <t>AMAZON.COM*HU9R AMAZON.COM SEATTLE, WA, US</t>
  </si>
  <si>
    <t>SOUTHEAST AUTO SERVI MINNEAPOLIS, MN, US</t>
  </si>
  <si>
    <t>AMAZON.COM SEATTLE, WA, US</t>
  </si>
  <si>
    <t>REVOLUT*1560* 844-7443512, NY, US</t>
  </si>
  <si>
    <t>FRESH THYME #510 24 30 MINNEAPOLIS, MN, US</t>
  </si>
  <si>
    <t>MPRB PARKING APP 612-2306400, MN, US</t>
  </si>
  <si>
    <t>CVSPHARMACY #08941 MINNEAPOLIS, MN, US</t>
  </si>
  <si>
    <t>TARGET 00021014 SAINT PAUL, MN, US</t>
  </si>
  <si>
    <t>HOLIDAY STATIONS 0312 PLYMOUTH, MN, US</t>
  </si>
  <si>
    <t>BURST ORAL CARE WALNUT, CA, US</t>
  </si>
  <si>
    <t>CAPITAL ONE ACCTVERIFY</t>
  </si>
  <si>
    <t>HOLIDAY STATIONS 3826 MINNEAPOLIS, MN, US</t>
  </si>
  <si>
    <t>CAPITAL ONE N.A. CAPITALONE</t>
  </si>
  <si>
    <t>Speedway 717 Snelling Ave N St Paul, MN, US</t>
  </si>
  <si>
    <t>NETFLIX.COM AMSTERDAM, NL, NL</t>
  </si>
  <si>
    <t>SPEEDWAY 04760 717 SNE ST. PAUL, MN, US</t>
  </si>
  <si>
    <t>VESTA *AT&amp;T PREPAID 866-608-3007, OR, US</t>
  </si>
  <si>
    <t>GOOGLE *PAPER WORLD MOUNTAIN VIEW, CA, US</t>
  </si>
  <si>
    <t>AMAZON.COM*EN3T AMAZON.COM SEATTLE, WA, US</t>
  </si>
  <si>
    <t>BURGER KING #12250 Q07 MINNEAPOLIS, MN, US</t>
  </si>
  <si>
    <t>PAYPAL *MICROSOFT STOR 4029357733, WA, US</t>
  </si>
  <si>
    <t>KARYAKARSA.COM *ABE028 JAKARTA SLT, ID, IK</t>
  </si>
  <si>
    <t>GOOGLE *FAME IT 855-836-3987, CA, US</t>
  </si>
  <si>
    <t>DRAGON STAR ORIENTAL ST PAUL, MN, US</t>
  </si>
  <si>
    <t>AMAZON.COM*EJ6K AMAZON.COM SEATTLE, WA, US</t>
  </si>
  <si>
    <t>FEDEX 940746252548 MEMPHIS, TN, US</t>
  </si>
  <si>
    <t>TARGET 00032003 MINNEAPOLIS, MN, US</t>
  </si>
  <si>
    <t>OxygenCons P2P</t>
  </si>
  <si>
    <t>GENT CUTS AND GROOMING MINNEAPOLIS, WA, US</t>
  </si>
  <si>
    <t>LEGENDARY SPICE MINNEAPOLIS, MN, US</t>
  </si>
  <si>
    <t>LASALLE COURT PARKING MINNEAPOLIS, MN, US</t>
  </si>
  <si>
    <t>MPLSMETERSAPP 8090 612-3437275, MN, US</t>
  </si>
  <si>
    <t>USPS CHANGE OF ADDRESS 800-238-3150, TN, US</t>
  </si>
  <si>
    <t>CAPITAL ONE MOBILE PMT</t>
  </si>
  <si>
    <t>ATM Refund</t>
  </si>
  <si>
    <t>ATM Withdrawal</t>
  </si>
  <si>
    <t xml:space="preserve">Purchase </t>
  </si>
  <si>
    <t xml:space="preserve">Direct Debit </t>
  </si>
  <si>
    <t xml:space="preserve">Purchase Return </t>
  </si>
  <si>
    <t xml:space="preserve">Direct Deposit </t>
  </si>
  <si>
    <t xml:space="preserve">Foreign Transaction Fee </t>
  </si>
  <si>
    <t>Rent Deposit</t>
  </si>
  <si>
    <t>Jun</t>
  </si>
  <si>
    <t>Jul</t>
  </si>
  <si>
    <t>Column Labels</t>
  </si>
  <si>
    <t>Month</t>
  </si>
  <si>
    <t>Pre-Tax</t>
  </si>
  <si>
    <t>Post-Tax</t>
  </si>
  <si>
    <t>TRANSFER MONEY TO BROKERAGE XXXX9092</t>
  </si>
  <si>
    <t>AMAZON.COM*3H05 AMAZON.COM SEATTLE, WA, US</t>
  </si>
  <si>
    <t>TARGET T- 29676 Rancho Temecula, CA, US</t>
  </si>
  <si>
    <t>TARGET T- 280 E Via Ra Escondido, CA, US</t>
  </si>
  <si>
    <t>La Sorpresa Asi Escondido, CA, US</t>
  </si>
  <si>
    <t>IOWA JUDICIAL BRANCH 2 515-3484778, IA, US</t>
  </si>
  <si>
    <t>CA0308 WASH N GO SAN DIEGO, CA, US</t>
  </si>
  <si>
    <t>SHELL SERVICE S TEMECULA, CA, US</t>
  </si>
  <si>
    <t>O'REILLY AUTO P TEMECULA, CA, US</t>
  </si>
  <si>
    <t>IN N OUT BURGER 069 SAN DIEGO, CA, US</t>
  </si>
  <si>
    <t>SIMPANG ASIA LOS ANGELES, CA, US</t>
  </si>
  <si>
    <t>AMAZON.COM*9J8L AMAZON.COM SEATTLE, WA, US</t>
  </si>
  <si>
    <t>CIRCLE K 09432 TEMECULA, CA, US</t>
  </si>
  <si>
    <t>MACY'S 1555 CAMINO FASHION VALLE, CA, US</t>
  </si>
  <si>
    <t>LACMA MUSEUM BOX OFC W LOS ANGELES, CA, US</t>
  </si>
  <si>
    <t>COUNTY OF LA BEACHES &amp; MARINA DEL RE, CA, US</t>
  </si>
  <si>
    <t>MN DEPT OF REVEN MNSTTAXRFD</t>
  </si>
  <si>
    <t>SQ *AUDES EL CAJON, CA, US</t>
  </si>
  <si>
    <t>SQ *ICE CHURRO GOSQ.COM, CA, US</t>
  </si>
  <si>
    <t>PARKING CONCEPTS INC L LOS ANGELES, CA, US</t>
  </si>
  <si>
    <t>LOS DOS PEDROS SAN DIEGO, CA, US</t>
  </si>
  <si>
    <t>7-ELEVEN 5555 MISSION RD US BONSALL, CA, US</t>
  </si>
  <si>
    <t>NNT GEORGE KIRI 43094 VIA DOS PICOS TEMECULA, CA, US</t>
  </si>
  <si>
    <t>MACY'S 40780 WINCHE TEMECULA, CA, US</t>
  </si>
  <si>
    <t>WAL-MART #2708 32225 TEMECULA PKWY TEMECULA, CA, US</t>
  </si>
  <si>
    <t>AGAPE AUTO TEMECULA, CA, US</t>
  </si>
  <si>
    <t>AMAZON.COM*FJ5O AMAZON.COM SEATTLE, WA, US</t>
  </si>
  <si>
    <t>RANCHO FORD TEMECULA, CA, US</t>
  </si>
  <si>
    <t>FD *CA DMV 672 TEMECULA, CA, US</t>
  </si>
  <si>
    <t>FD *CA DMV 672 *SVC 8007770133, CA, US</t>
  </si>
  <si>
    <t>MACY'S 547 4333 LA JOLLA VIL LA JOLLA, CA, US</t>
  </si>
  <si>
    <t>SUNGLASS HUT 2798 SAN DIEGO, CA, US</t>
  </si>
  <si>
    <t>STARS &amp; STRIPES 10 OSBORN ST NATIONAL CITY, CA, US</t>
  </si>
  <si>
    <t>USS MIDWAY MUSEUM SAN DIEGO, CA, US</t>
  </si>
  <si>
    <t>168 MARKET #180 ROWLAND HEIGH, CA, US</t>
  </si>
  <si>
    <t>TST* MARKET ON 8TH- IN NATIONAL CITY, CA, US</t>
  </si>
  <si>
    <t>PORT OF SAN DIEGO, CA 704-817-2500, NC, US</t>
  </si>
  <si>
    <t>ACE PARKING 1507 SAN DIEGO, CA, US</t>
  </si>
  <si>
    <t>SQ *+62 STREET FOOD WALNUT, CA, US</t>
  </si>
  <si>
    <t>CIRCLE K 09447 FALLBROOK, CA, US</t>
  </si>
  <si>
    <t>KETCH BREWING SAN DIEGO, CA, US</t>
  </si>
  <si>
    <t>GEICO AUTO WASHINGTON, DC, US</t>
  </si>
  <si>
    <t>SUNGLASS HUT 3422 TEMECULA, CA, US</t>
  </si>
  <si>
    <t>STEAMGAMES.COM 4259522 BELLEVUE, WA, US</t>
  </si>
  <si>
    <t>TARGET 00003590 TEMECULA, CA, US</t>
  </si>
  <si>
    <t>AMAZON.COM*YF8I AMAZON.COM SEATTLE, WA, US</t>
  </si>
  <si>
    <t>STARBUCKS 67802 TEMECULA, CA, US</t>
  </si>
  <si>
    <t>STEAM PURCHASE 425-9522985, WA, US</t>
  </si>
  <si>
    <t>TARGET 00028027 ESCONDIDO, CA, US</t>
  </si>
  <si>
    <t>SUNGLASS HUT 4778 CARLSBAD, CA, US</t>
  </si>
  <si>
    <t>SHELL SERVICE S CARLSBAD, CA, US</t>
  </si>
  <si>
    <t>CSC SERVICEWORK SAN DIEGO, CA, US</t>
  </si>
  <si>
    <t>SP RANDOLPH RANDOLPH, MA, US</t>
  </si>
  <si>
    <t>NAYAX AIR 2 HUNT VALLEY, MD, US</t>
  </si>
  <si>
    <t>G&amp;M OIL#53 OCEANSIDE, CA, US</t>
  </si>
  <si>
    <t>STARBUCKS STORE 05679 SOLANA BEACH, CA, US</t>
  </si>
  <si>
    <t>IN N OUT BURGER 071 SAN DIEGO, CA, US</t>
  </si>
  <si>
    <t>TARGET 00028712 OCEANSIDE, CA, US</t>
  </si>
  <si>
    <t>DIJA MARA OCEANSIDE, CA, US</t>
  </si>
  <si>
    <t>DIAMOND PARKING SD030 SAN DIEGO, CA, US</t>
  </si>
  <si>
    <t>MAUI JIM WEB 8886665905, IL, US</t>
  </si>
  <si>
    <t>WALMART.COM AA 8009666546, AR, US</t>
  </si>
  <si>
    <t>IHOP #0834 TEMECULA, CA, US</t>
  </si>
  <si>
    <t>SHADOW MOUNTAIN VIEW, CA, US</t>
  </si>
  <si>
    <t>ARCO42703001 ARCO #42703 AMPM TEMECULA, CA, US</t>
  </si>
  <si>
    <t>SQ *RARE TEA TEMECULA, CA, US</t>
  </si>
  <si>
    <t>SQ *BARBER JESSE TEMECULA, CA, US</t>
  </si>
  <si>
    <t>PY *KUNG FU TEA 26487 YNEZ RD STE G TEMECULA, CA, US</t>
  </si>
  <si>
    <t>IN N OUT BURGER 062 TEMECULA, CA, US</t>
  </si>
  <si>
    <t>WM SUPERCENTER Wal-Mart Store OCEANSIDE, CA, US</t>
  </si>
  <si>
    <t xml:space="preserve">Atm Withdrawal </t>
  </si>
  <si>
    <t>Walmart Superce 705 COLLEGE BLVD OCEANSIDE, CA, US</t>
  </si>
  <si>
    <t>SQ *THIRSTEA TEMECULA, CA, US</t>
  </si>
  <si>
    <t>JADE CHINA MURRIETA, CA, US</t>
  </si>
  <si>
    <t>PROMENADE, CA-HCO. TEMECULA, CA, US</t>
  </si>
  <si>
    <t>ORIENTAL FOOD MA ESCONDIDO, CA, US</t>
  </si>
  <si>
    <t>CSC SERVICEWORK FALLBROOK, CA, US</t>
  </si>
  <si>
    <t>TARGET 00002741 ESCONDIDO, CA, US</t>
  </si>
  <si>
    <t>CHEVRON 0357803 SAN DIEGO, CA, US</t>
  </si>
  <si>
    <t>UPTOWN TEMECULA AUTO S TEMECULA, CA, US</t>
  </si>
  <si>
    <t>Travel</t>
  </si>
  <si>
    <t>Investment</t>
  </si>
  <si>
    <t>Cash Withdrawal</t>
  </si>
  <si>
    <t>Car Ticket</t>
  </si>
  <si>
    <t>Aug</t>
  </si>
  <si>
    <t>Gym</t>
  </si>
  <si>
    <t>Personal Trainer</t>
  </si>
  <si>
    <t>Netflix + Youtube</t>
  </si>
  <si>
    <t>Car Wash</t>
  </si>
  <si>
    <t>Protein</t>
  </si>
  <si>
    <t>Coursera</t>
  </si>
  <si>
    <t>Vacation Buy</t>
  </si>
  <si>
    <t>Expense</t>
  </si>
  <si>
    <t>Save - Checking 2</t>
  </si>
  <si>
    <t>Save - Saving - Car</t>
  </si>
  <si>
    <t>Save - Saving - Personal</t>
  </si>
  <si>
    <t>Save - Saving - Netflix &amp; Youtube</t>
  </si>
  <si>
    <t>Extra Gas and Food</t>
  </si>
  <si>
    <t>Biweekly</t>
  </si>
  <si>
    <t>Food + Gas</t>
  </si>
  <si>
    <t>Bank</t>
  </si>
  <si>
    <t>Ticket</t>
  </si>
  <si>
    <t>Geico</t>
  </si>
  <si>
    <t>Uber</t>
  </si>
  <si>
    <t>Remaining</t>
  </si>
  <si>
    <t>Final Value</t>
  </si>
  <si>
    <t>Budget</t>
  </si>
  <si>
    <t>Budget Yogya</t>
  </si>
  <si>
    <t>Car Oil Change</t>
  </si>
  <si>
    <t>Actual Rent</t>
  </si>
  <si>
    <t>Cut Gym</t>
  </si>
  <si>
    <t>Cut Car Wash</t>
  </si>
  <si>
    <t>Done</t>
  </si>
  <si>
    <t>Gift 1</t>
  </si>
  <si>
    <t>Gift 2</t>
  </si>
  <si>
    <t>Gift</t>
  </si>
  <si>
    <t>Netflix + Youtube + EOS</t>
  </si>
  <si>
    <t>Other</t>
  </si>
  <si>
    <t>Capital - Rent</t>
  </si>
  <si>
    <t>Etrade - Checking 1</t>
  </si>
  <si>
    <t>Etrade - Checking 2 - Car Insurance &amp; Maintenance</t>
  </si>
  <si>
    <t>Etrade - Checking 2 - Personal</t>
  </si>
  <si>
    <t xml:space="preserve"> Etrade - Checking 2 - Netflix &amp; Youtube &amp; EOS</t>
  </si>
  <si>
    <t>Etrade - Savings -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</si>
</sst>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1">
    <xf numFmtId="0" fontId="0" fillId="0" borderId="0" xfId="0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0" fontId="0" fillId="0" borderId="0" xfId="2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pivotButton="1"/>
    <xf numFmtId="44" fontId="0" fillId="0" borderId="1" xfId="0" applyNumberFormat="1" applyBorder="1"/>
    <xf numFmtId="4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0" fillId="0" borderId="1" xfId="0" applyNumberFormat="1" applyBorder="1" applyAlignment="1">
      <alignment vertical="center"/>
    </xf>
    <xf numFmtId="44" fontId="0" fillId="0" borderId="1" xfId="0" applyNumberFormat="1" applyBorder="1" applyAlignment="1">
      <alignment horizontal="left" vertical="center"/>
    </xf>
    <xf numFmtId="4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4" fontId="0" fillId="0" borderId="0" xfId="1" applyFont="1"/>
    <xf numFmtId="44" fontId="2" fillId="2" borderId="0" xfId="3" applyNumberFormat="1" applyAlignment="1">
      <alignment horizontal="left"/>
    </xf>
    <xf numFmtId="44" fontId="0" fillId="0" borderId="0" xfId="0" applyNumberFormat="1" applyAlignment="1">
      <alignment horizontal="center"/>
    </xf>
    <xf numFmtId="44" fontId="2" fillId="2" borderId="0" xfId="3" applyNumberFormat="1"/>
    <xf numFmtId="44" fontId="0" fillId="0" borderId="0" xfId="0" applyNumberFormat="1" applyBorder="1" applyAlignment="1">
      <alignment horizontal="left" vertical="center"/>
    </xf>
    <xf numFmtId="44" fontId="0" fillId="0" borderId="0" xfId="0" applyNumberFormat="1" applyBorder="1" applyAlignment="1">
      <alignment horizontal="left"/>
    </xf>
    <xf numFmtId="4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44" fontId="0" fillId="0" borderId="0" xfId="0" applyNumberFormat="1" applyBorder="1"/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dyanto, Hendry" refreshedDate="44806.617237268518" createdVersion="7" refreshedVersion="7" minRefreshableVersion="3" recordCount="255" xr:uid="{1D6BD66E-B0C7-4E5A-8184-FD0B59247FC0}">
  <cacheSource type="worksheet">
    <worksheetSource name="Table1"/>
  </cacheSource>
  <cacheFields count="8">
    <cacheField name="Month" numFmtId="14">
      <sharedItems count="3">
        <s v="Jun"/>
        <s v="Jul"/>
        <s v="Aug"/>
      </sharedItems>
    </cacheField>
    <cacheField name="Date" numFmtId="14">
      <sharedItems containsSemiMixedTypes="0" containsNonDate="0" containsDate="1" containsString="0" minDate="2022-06-01T00:00:00" maxDate="2022-08-30T00:00:00" count="75"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1T00:00:00"/>
        <d v="2022-06-12T00:00:00"/>
        <d v="2022-06-13T00:00:00"/>
        <d v="2022-06-14T00:00:00"/>
        <d v="2022-06-16T00:00:00"/>
        <d v="2022-06-17T00:00:00"/>
        <d v="2022-06-18T00:00:00"/>
        <d v="2022-06-19T00:00:00"/>
        <d v="2022-06-20T00:00:00"/>
        <d v="2022-06-21T00:00:00"/>
        <d v="2022-06-23T00:00:00"/>
        <d v="2022-06-24T00:00:00"/>
        <d v="2022-06-25T00:00:00"/>
        <d v="2022-06-26T00:00:00"/>
        <d v="2022-06-27T00:00:00"/>
        <d v="2022-06-28T00:00:00"/>
        <d v="2022-07-01T00:00:00"/>
        <d v="2022-07-02T00:00:00"/>
        <d v="2022-07-03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5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</sharedItems>
      <fieldGroup par="7" base="1">
        <rangePr groupBy="days" startDate="2022-06-01T00:00:00" endDate="2022-08-30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0/2022"/>
        </groupItems>
      </fieldGroup>
    </cacheField>
    <cacheField name="Type" numFmtId="0">
      <sharedItems/>
    </cacheField>
    <cacheField name="Description" numFmtId="0">
      <sharedItems/>
    </cacheField>
    <cacheField name="Categories" numFmtId="0">
      <sharedItems count="15">
        <s v="Food"/>
        <s v="Haircut"/>
        <s v="Gas"/>
        <s v="Misc"/>
        <s v="Rent"/>
        <s v="Extra"/>
        <s v="Salary"/>
        <s v="Phone Plan"/>
        <s v="Rent Deposit"/>
        <s v="Car Maintenance"/>
        <s v="Car Ticket"/>
        <s v="Travel"/>
        <s v="Car Insurance"/>
        <s v="Investment"/>
        <s v="Cash Withdrawal"/>
      </sharedItems>
    </cacheField>
    <cacheField name="Amount $" numFmtId="44">
      <sharedItems containsSemiMixedTypes="0" containsString="0" containsNumber="1" minValue="-3750" maxValue="3825.76"/>
    </cacheField>
    <cacheField name="Balance $" numFmtId="44">
      <sharedItems containsSemiMixedTypes="0" containsString="0" containsNumber="1" minValue="708.73" maxValue="8410.43"/>
    </cacheField>
    <cacheField name="Months" numFmtId="0" databaseField="0">
      <fieldGroup base="1">
        <rangePr groupBy="months" startDate="2022-06-01T00:00:00" endDate="2022-08-30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s v="Purchase"/>
    <s v="TARGET 00032003 MINNEAPOL..."/>
    <x v="0"/>
    <n v="-25.4"/>
    <n v="4587.95"/>
  </r>
  <r>
    <x v="0"/>
    <x v="0"/>
    <s v="Purchase"/>
    <s v="KUNG FU TEA MINNEAPOLIS"/>
    <x v="0"/>
    <n v="-6.81"/>
    <n v="4581.1400000000003"/>
  </r>
  <r>
    <x v="0"/>
    <x v="1"/>
    <s v="Purchase"/>
    <s v="REVOLUT*1560* 844-7443512"/>
    <x v="0"/>
    <n v="-100"/>
    <n v="4481.1400000000003"/>
  </r>
  <r>
    <x v="0"/>
    <x v="2"/>
    <s v="Purchase"/>
    <s v="BURGER KING #12250 Q07 MINNEAPOL..."/>
    <x v="0"/>
    <n v="-9.17"/>
    <n v="4471.97"/>
  </r>
  <r>
    <x v="0"/>
    <x v="3"/>
    <s v="Purchase"/>
    <s v="GENT CUTS AND GROOMING MINNEAPOL..."/>
    <x v="1"/>
    <n v="-71.34"/>
    <n v="4400.63"/>
  </r>
  <r>
    <x v="0"/>
    <x v="3"/>
    <s v="Purchase"/>
    <s v="LASALLE COURT PARKING MINNEAPOLI..."/>
    <x v="1"/>
    <n v="-6"/>
    <n v="4394.63"/>
  </r>
  <r>
    <x v="0"/>
    <x v="4"/>
    <s v="Purchase"/>
    <s v="HOLIDAY STATIONS 3826 MINNEAPOLI..."/>
    <x v="2"/>
    <n v="-47.21"/>
    <n v="4347.42"/>
  </r>
  <r>
    <x v="0"/>
    <x v="4"/>
    <s v="Direct Deposit"/>
    <s v="VENMO CASHOUT"/>
    <x v="3"/>
    <n v="133.91999999999999"/>
    <n v="4481.34"/>
  </r>
  <r>
    <x v="0"/>
    <x v="4"/>
    <s v="Purchase"/>
    <s v="KOWLOON RESTAURANT MINNEAPOLIS"/>
    <x v="0"/>
    <n v="-12.96"/>
    <n v="4468.38"/>
  </r>
  <r>
    <x v="0"/>
    <x v="4"/>
    <s v="Purchase"/>
    <s v="KOWLOON RESTAURANT MINNEAPOLIS"/>
    <x v="3"/>
    <n v="-93.17"/>
    <n v="4375.21"/>
  </r>
  <r>
    <x v="0"/>
    <x v="4"/>
    <s v="Purchase"/>
    <s v="MPLSMETERSAPP 8090 612-3437275"/>
    <x v="3"/>
    <n v="-3.75"/>
    <n v="4371.46"/>
  </r>
  <r>
    <x v="0"/>
    <x v="5"/>
    <s v="Direct Debit"/>
    <s v="PL*PAYLEASE WEB PMTS"/>
    <x v="4"/>
    <n v="-1"/>
    <n v="4370.46"/>
  </r>
  <r>
    <x v="0"/>
    <x v="5"/>
    <s v="Direct Debit"/>
    <s v="PL*AmericanCampu WEB PMTS"/>
    <x v="4"/>
    <n v="-718.95"/>
    <n v="3651.51"/>
  </r>
  <r>
    <x v="0"/>
    <x v="5"/>
    <s v="Purchase"/>
    <s v="EUREST ST JUDE CAFEQPS PLYMOUTH"/>
    <x v="0"/>
    <n v="-7.82"/>
    <n v="3643.69"/>
  </r>
  <r>
    <x v="0"/>
    <x v="6"/>
    <s v="Purchase"/>
    <s v="ROOMIES.COM DARLING POINT"/>
    <x v="5"/>
    <n v="-40"/>
    <n v="3603.69"/>
  </r>
  <r>
    <x v="0"/>
    <x v="6"/>
    <s v="Fee"/>
    <s v="FOREIGN TRANSACTION FEE"/>
    <x v="5"/>
    <n v="-0.4"/>
    <n v="3603.29"/>
  </r>
  <r>
    <x v="0"/>
    <x v="6"/>
    <s v="Purchase"/>
    <s v="KUNG FU TEA MINNEAPOLIS"/>
    <x v="0"/>
    <n v="-6.7"/>
    <n v="3596.59"/>
  </r>
  <r>
    <x v="0"/>
    <x v="6"/>
    <s v="Purchase"/>
    <s v="ROOMIES.COM DARLING POINT"/>
    <x v="5"/>
    <n v="-10"/>
    <n v="3586.59"/>
  </r>
  <r>
    <x v="0"/>
    <x v="6"/>
    <s v="Fee"/>
    <s v="FOREIGN TRANSACTION FEE"/>
    <x v="5"/>
    <n v="-0.1"/>
    <n v="3586.49"/>
  </r>
  <r>
    <x v="0"/>
    <x v="6"/>
    <s v="Purchase"/>
    <s v="ROOMIES.COM DARLING POINT"/>
    <x v="5"/>
    <n v="-5"/>
    <n v="3581.49"/>
  </r>
  <r>
    <x v="0"/>
    <x v="6"/>
    <s v="Fee"/>
    <s v="FOREIGN TRANSACTION FEE"/>
    <x v="5"/>
    <n v="-0.05"/>
    <n v="3581.44"/>
  </r>
  <r>
    <x v="0"/>
    <x v="7"/>
    <s v="Direct Deposit"/>
    <s v="ABBOTT CARDIOVAS REG SALARY"/>
    <x v="6"/>
    <n v="1972.68"/>
    <n v="5554.12"/>
  </r>
  <r>
    <x v="0"/>
    <x v="7"/>
    <s v="Purchase"/>
    <s v="HONG KONG NOODLE MINNEAPOLIS"/>
    <x v="0"/>
    <n v="-22"/>
    <n v="5532.12"/>
  </r>
  <r>
    <x v="0"/>
    <x v="7"/>
    <s v="Purchase"/>
    <s v="KOREA RESTAURANT MINNEAPOLIS"/>
    <x v="0"/>
    <n v="-20.94"/>
    <n v="5511.18"/>
  </r>
  <r>
    <x v="0"/>
    <x v="7"/>
    <s v="Purchase"/>
    <s v="CVS/PHARMACY #08941 MINNEAPOLIS"/>
    <x v="0"/>
    <n v="-10.18"/>
    <n v="5501"/>
  </r>
  <r>
    <x v="0"/>
    <x v="7"/>
    <s v="Purchase"/>
    <s v="RAISING CANE'S #LC1 MINNEAPOLIS"/>
    <x v="0"/>
    <n v="-2.8"/>
    <n v="5498.2"/>
  </r>
  <r>
    <x v="0"/>
    <x v="8"/>
    <s v="Purchase"/>
    <s v="RAISING CANE'S #LC1 MINNEAPOLIS"/>
    <x v="0"/>
    <n v="-11.12"/>
    <n v="5487.08"/>
  </r>
  <r>
    <x v="0"/>
    <x v="9"/>
    <s v="Purchase"/>
    <s v="ADIDAS 6231 EAGAN EAGAN"/>
    <x v="5"/>
    <n v="-62.49"/>
    <n v="5424.59"/>
  </r>
  <r>
    <x v="0"/>
    <x v="9"/>
    <s v="Purchase"/>
    <s v="SQ *VIKING CREAMERY / EAGAN"/>
    <x v="0"/>
    <n v="-8.5"/>
    <n v="5416.09"/>
  </r>
  <r>
    <x v="0"/>
    <x v="9"/>
    <s v="Purchase"/>
    <s v="ADIDAS 6231 EAGAN EAGAN"/>
    <x v="5"/>
    <n v="-52.5"/>
    <n v="5363.59"/>
  </r>
  <r>
    <x v="0"/>
    <x v="9"/>
    <s v="Purchase"/>
    <s v="PP*CROSSCONCES SHAKOPEE"/>
    <x v="5"/>
    <n v="-5"/>
    <n v="5358.59"/>
  </r>
  <r>
    <x v="0"/>
    <x v="9"/>
    <s v="Purchase"/>
    <s v="UNDER ARMOUR RETAIL OF EAGAN"/>
    <x v="5"/>
    <n v="-62.99"/>
    <n v="5295.6"/>
  </r>
  <r>
    <x v="0"/>
    <x v="9"/>
    <s v="Purchase"/>
    <s v="GAP OUTLET US 2564 398 EAGAN"/>
    <x v="5"/>
    <n v="-59.96"/>
    <n v="5235.6400000000003"/>
  </r>
  <r>
    <x v="0"/>
    <x v="9"/>
    <s v="Purchase"/>
    <s v="UNDER ARMOUR WILLIAMSB EAGAN"/>
    <x v="5"/>
    <n v="-42.99"/>
    <n v="5192.6499999999996"/>
  </r>
  <r>
    <x v="0"/>
    <x v="9"/>
    <s v="Purchase"/>
    <s v="DRAGON STAR ORI ST PAUL"/>
    <x v="0"/>
    <n v="-2.99"/>
    <n v="5189.66"/>
  </r>
  <r>
    <x v="0"/>
    <x v="10"/>
    <s v="Purchase"/>
    <s v="EXPRESS #1732 EAGAN"/>
    <x v="5"/>
    <n v="-65.94"/>
    <n v="5123.72"/>
  </r>
  <r>
    <x v="0"/>
    <x v="10"/>
    <s v="Purchase"/>
    <s v="EXPRESS #1732 EAGAN"/>
    <x v="5"/>
    <n v="-60.7"/>
    <n v="5063.0200000000004"/>
  </r>
  <r>
    <x v="0"/>
    <x v="10"/>
    <s v="Purchase"/>
    <s v="LEVIS OUTLET 281 EAGAN"/>
    <x v="5"/>
    <n v="-39.75"/>
    <n v="5023.2700000000004"/>
  </r>
  <r>
    <x v="0"/>
    <x v="10"/>
    <s v="Purchase"/>
    <s v="GAP OUTLET US 2564 398 EAGAN"/>
    <x v="5"/>
    <n v="-187.95"/>
    <n v="4835.32"/>
  </r>
  <r>
    <x v="0"/>
    <x v="10"/>
    <s v="Purchase"/>
    <s v="LINDT CHOCOLATE #464 EAGAN"/>
    <x v="0"/>
    <n v="-4.5999999999999996"/>
    <n v="4830.72"/>
  </r>
  <r>
    <x v="0"/>
    <x v="11"/>
    <s v="Purchase"/>
    <s v="REVOLUT*1560* 844-7443512"/>
    <x v="0"/>
    <n v="-100"/>
    <n v="4730.72"/>
  </r>
  <r>
    <x v="0"/>
    <x v="11"/>
    <s v="Direct Debit"/>
    <s v="VENMO PAYMENT"/>
    <x v="3"/>
    <n v="-43.86"/>
    <n v="4686.8599999999997"/>
  </r>
  <r>
    <x v="0"/>
    <x v="11"/>
    <s v="Purchase"/>
    <s v="PP*CROSSCONCES SHAKOPEE"/>
    <x v="5"/>
    <n v="-7"/>
    <n v="4679.8599999999997"/>
  </r>
  <r>
    <x v="0"/>
    <x v="11"/>
    <s v="Purchase"/>
    <s v="RETURN - EXPRESS #1732 EAGAN"/>
    <x v="5"/>
    <n v="48.23"/>
    <n v="4728.09"/>
  </r>
  <r>
    <x v="0"/>
    <x v="11"/>
    <s v="Purchase"/>
    <s v="RETURN - LEVIS OUTLET 281 EAGAN"/>
    <x v="5"/>
    <n v="39.75"/>
    <n v="4767.84"/>
  </r>
  <r>
    <x v="0"/>
    <x v="12"/>
    <s v="Purchase"/>
    <s v="HOLIDAY STATIONS 0312 PLYMOUTH"/>
    <x v="2"/>
    <n v="-60.17"/>
    <n v="4707.67"/>
  </r>
  <r>
    <x v="0"/>
    <x v="13"/>
    <s v="Purchase"/>
    <s v="BURGER KING #12250 Q07 MINNEAPOL..."/>
    <x v="0"/>
    <n v="-9.82"/>
    <n v="4697.8500000000004"/>
  </r>
  <r>
    <x v="0"/>
    <x v="13"/>
    <s v="Purchase"/>
    <s v="DRAGON STAR ORI ST PAUL"/>
    <x v="0"/>
    <n v="-13.17"/>
    <n v="4684.68"/>
  </r>
  <r>
    <x v="0"/>
    <x v="14"/>
    <s v="Purchase"/>
    <s v="PAYPAL *DAVILASSERV PR 402935773..."/>
    <x v="5"/>
    <n v="-244.97"/>
    <n v="4439.71"/>
  </r>
  <r>
    <x v="0"/>
    <x v="14"/>
    <s v="Purchase"/>
    <s v="O'REILLY AUTO P HOPKINS"/>
    <x v="5"/>
    <n v="-36.299999999999997"/>
    <n v="4403.41"/>
  </r>
  <r>
    <x v="0"/>
    <x v="15"/>
    <s v="Purchase"/>
    <s v="NETFLIX.COM AMSTERDAM"/>
    <x v="3"/>
    <n v="-3.41"/>
    <n v="4400"/>
  </r>
  <r>
    <x v="0"/>
    <x v="15"/>
    <s v="Fee"/>
    <s v="FOREIGN TRANSACTION FEE"/>
    <x v="3"/>
    <n v="-0.03"/>
    <n v="4399.97"/>
  </r>
  <r>
    <x v="0"/>
    <x v="15"/>
    <s v="Purchase"/>
    <s v="TARGET 00032003 MINNEAPOL..."/>
    <x v="0"/>
    <n v="-10.14"/>
    <n v="4389.83"/>
  </r>
  <r>
    <x v="0"/>
    <x v="15"/>
    <s v="Purchase"/>
    <s v="FRESH THYME #51 24 30TH AVE SE M..."/>
    <x v="0"/>
    <n v="-6.42"/>
    <n v="4383.41"/>
  </r>
  <r>
    <x v="0"/>
    <x v="15"/>
    <s v="Purchase"/>
    <s v="UBER TRIP 8005928996"/>
    <x v="5"/>
    <n v="-17.91"/>
    <n v="4365.5"/>
  </r>
  <r>
    <x v="0"/>
    <x v="15"/>
    <s v="Purchase"/>
    <s v="VESTA *AT&amp;T PREPAID 866-608-300..."/>
    <x v="7"/>
    <n v="-54.87"/>
    <n v="4310.63"/>
  </r>
  <r>
    <x v="0"/>
    <x v="16"/>
    <s v="Purchase"/>
    <s v="RETURN - PAYPAL *DAVILASSERV PR..."/>
    <x v="5"/>
    <n v="194.98"/>
    <n v="4505.6099999999997"/>
  </r>
  <r>
    <x v="0"/>
    <x v="16"/>
    <s v="Purchase"/>
    <s v="HOLIDAY STATIONS 3826 MINNEAPOLI..."/>
    <x v="2"/>
    <n v="-27.22"/>
    <n v="4478.3900000000003"/>
  </r>
  <r>
    <x v="0"/>
    <x v="17"/>
    <s v="Purchase"/>
    <s v="AMAZON.COM*HZ62 AMAZON.COM SEATT..."/>
    <x v="3"/>
    <n v="-32.07"/>
    <n v="4446.32"/>
  </r>
  <r>
    <x v="0"/>
    <x v="17"/>
    <s v="Purchase"/>
    <s v="TARGET 00022293 SAINT PAU..."/>
    <x v="0"/>
    <n v="-24.46"/>
    <n v="4421.8599999999997"/>
  </r>
  <r>
    <x v="0"/>
    <x v="17"/>
    <s v="Purchase"/>
    <s v="KUNG FU TEA MINNEAPOLIS"/>
    <x v="0"/>
    <n v="-6.7"/>
    <n v="4415.16"/>
  </r>
  <r>
    <x v="0"/>
    <x v="17"/>
    <s v="Purchase"/>
    <s v="PAYPAL *STEAM GAMES 4029357733"/>
    <x v="3"/>
    <n v="-53.55"/>
    <n v="4361.6099999999997"/>
  </r>
  <r>
    <x v="0"/>
    <x v="18"/>
    <s v="Direct Deposit"/>
    <s v="ABBOTT CARDIOVAS REG SALARY"/>
    <x v="6"/>
    <n v="1988.16"/>
    <n v="6349.77"/>
  </r>
  <r>
    <x v="0"/>
    <x v="18"/>
    <s v="Purchase"/>
    <s v="ROOMSTER CORP 646-862-2841"/>
    <x v="3"/>
    <n v="-14.99"/>
    <n v="6334.78"/>
  </r>
  <r>
    <x v="0"/>
    <x v="19"/>
    <s v="Purchase"/>
    <s v="HONG KONG NOODLE MINNEAPOLIS"/>
    <x v="0"/>
    <n v="-17"/>
    <n v="6317.78"/>
  </r>
  <r>
    <x v="0"/>
    <x v="19"/>
    <s v="Purchase"/>
    <s v="KUNG FU TEA MINNEAPOLIS"/>
    <x v="0"/>
    <n v="-6.86"/>
    <n v="6310.92"/>
  </r>
  <r>
    <x v="0"/>
    <x v="19"/>
    <s v="Direct Debit"/>
    <s v="Driver Services eServices"/>
    <x v="5"/>
    <n v="-69.25"/>
    <n v="6241.67"/>
  </r>
  <r>
    <x v="0"/>
    <x v="20"/>
    <s v="Purchase"/>
    <s v="TARGET 00022293 SAINT PAU..."/>
    <x v="0"/>
    <n v="-13.98"/>
    <n v="6227.69"/>
  </r>
  <r>
    <x v="0"/>
    <x v="20"/>
    <s v="Purchase"/>
    <s v="ROOSTERS MGC MINNEAPOLIS"/>
    <x v="1"/>
    <n v="-50"/>
    <n v="6177.69"/>
  </r>
  <r>
    <x v="0"/>
    <x v="20"/>
    <s v="Purchase"/>
    <s v="HONG KONG NOODLE MINNEAPOLIS"/>
    <x v="0"/>
    <n v="-20"/>
    <n v="6157.69"/>
  </r>
  <r>
    <x v="0"/>
    <x v="20"/>
    <s v="Purchase"/>
    <s v="KUNG FU TEA MINNEAPOLIS"/>
    <x v="0"/>
    <n v="-6.91"/>
    <n v="6150.78"/>
  </r>
  <r>
    <x v="0"/>
    <x v="20"/>
    <s v="Purchase"/>
    <s v="HOLIDAY STATIONS 3826 MINNEAPOLI..."/>
    <x v="2"/>
    <n v="-46.27"/>
    <n v="6104.51"/>
  </r>
  <r>
    <x v="0"/>
    <x v="21"/>
    <s v="Purchase"/>
    <s v="REVOLUT*1560* 844-7443512"/>
    <x v="0"/>
    <n v="-100"/>
    <n v="6004.51"/>
  </r>
  <r>
    <x v="0"/>
    <x v="21"/>
    <s v="Purchase"/>
    <s v="HONK MSP 612-3751301"/>
    <x v="3"/>
    <n v="-10.199999999999999"/>
    <n v="5994.31"/>
  </r>
  <r>
    <x v="0"/>
    <x v="22"/>
    <s v="Purchase"/>
    <s v="TARGET 00032003 MINNEAPOL..."/>
    <x v="0"/>
    <n v="-10.57"/>
    <n v="5983.74"/>
  </r>
  <r>
    <x v="0"/>
    <x v="22"/>
    <s v="Purchase"/>
    <s v="STORMKING BREWPUB AND MINNEAPOLI..."/>
    <x v="3"/>
    <n v="-7.56"/>
    <n v="5976.18"/>
  </r>
  <r>
    <x v="0"/>
    <x v="22"/>
    <s v="Direct Debit"/>
    <s v="VENMO PAYMENT"/>
    <x v="3"/>
    <n v="-42.23"/>
    <n v="5933.95"/>
  </r>
  <r>
    <x v="0"/>
    <x v="23"/>
    <s v="Purchase"/>
    <s v="HOLIDAY STATIONS 0312 PLYMOUTH"/>
    <x v="2"/>
    <n v="-21.2"/>
    <n v="5912.75"/>
  </r>
  <r>
    <x v="1"/>
    <x v="24"/>
    <s v="ATM Withdrawal"/>
    <s v="U.S. BANK US BANK WAYZATA WAYZATA, MN, US"/>
    <x v="8"/>
    <n v="-803"/>
    <n v="5109.75"/>
  </r>
  <r>
    <x v="1"/>
    <x v="24"/>
    <s v="ATM Refund"/>
    <s v="ATM FEE Refund"/>
    <x v="8"/>
    <n v="3"/>
    <n v="5112.75"/>
  </r>
  <r>
    <x v="1"/>
    <x v="24"/>
    <s v="Purchase "/>
    <s v="Luckys Station S Excelsior, MN, US"/>
    <x v="2"/>
    <n v="-28.78"/>
    <n v="5083.97"/>
  </r>
  <r>
    <x v="1"/>
    <x v="24"/>
    <s v="Purchase "/>
    <s v="Luckys Station S Excelsior, MN, US"/>
    <x v="2"/>
    <n v="-15.78"/>
    <n v="5068.1899999999996"/>
  </r>
  <r>
    <x v="1"/>
    <x v="24"/>
    <s v="Purchase "/>
    <s v="DRAGON STAR ORI ST PAUL, MN, US"/>
    <x v="0"/>
    <n v="-10.65"/>
    <n v="5057.54"/>
  </r>
  <r>
    <x v="1"/>
    <x v="25"/>
    <s v="Purchase "/>
    <s v="HONG KONG NOODLE MINNEAPOLIS, MN, US"/>
    <x v="0"/>
    <n v="-30"/>
    <n v="5027.54"/>
  </r>
  <r>
    <x v="1"/>
    <x v="25"/>
    <s v="Purchase "/>
    <s v="TARGET T- 1300 Univers Saint Paul, MN, US"/>
    <x v="0"/>
    <n v="-5.88"/>
    <n v="5021.66"/>
  </r>
  <r>
    <x v="1"/>
    <x v="26"/>
    <s v="Purchase "/>
    <s v="GOOGLE *GOOGLE STORAGE MOUNTAIN VIEW, CA, US"/>
    <x v="3"/>
    <n v="-1.99"/>
    <n v="5019.67"/>
  </r>
  <r>
    <x v="1"/>
    <x v="27"/>
    <s v="Purchase "/>
    <s v="TOWN HALL BREWERY MINNEAPOLIS, MN, US"/>
    <x v="0"/>
    <n v="-15"/>
    <n v="5004.67"/>
  </r>
  <r>
    <x v="1"/>
    <x v="27"/>
    <s v="Purchase "/>
    <s v="KUNG FU TEA MINNEAPOLIS, MN, US"/>
    <x v="0"/>
    <n v="-6.86"/>
    <n v="4997.8100000000004"/>
  </r>
  <r>
    <x v="1"/>
    <x v="27"/>
    <s v="Direct Debit "/>
    <s v="PL*PAYLEASE WEB PMTS"/>
    <x v="4"/>
    <n v="-1"/>
    <n v="4996.8100000000004"/>
  </r>
  <r>
    <x v="1"/>
    <x v="27"/>
    <s v="Direct Debit "/>
    <s v="PL*AmericanCampu WEB PMTS"/>
    <x v="4"/>
    <n v="-719"/>
    <n v="4277.8100000000004"/>
  </r>
  <r>
    <x v="1"/>
    <x v="27"/>
    <s v="Direct Debit "/>
    <s v="VENMO PAYMENT"/>
    <x v="5"/>
    <n v="-500"/>
    <n v="3777.81"/>
  </r>
  <r>
    <x v="1"/>
    <x v="27"/>
    <s v="Purchase "/>
    <s v="PAYPAL *EBAY US 4029357733, CA, US"/>
    <x v="5"/>
    <n v="-86.41"/>
    <n v="3691.4"/>
  </r>
  <r>
    <x v="1"/>
    <x v="28"/>
    <s v="Purchase "/>
    <s v="AMAZON.COM*I05C AMAZON.COM SEATTLE, WA, US"/>
    <x v="5"/>
    <n v="-25.47"/>
    <n v="3665.93"/>
  </r>
  <r>
    <x v="1"/>
    <x v="28"/>
    <s v="Purchase "/>
    <s v="TARGET 00022293 SAINT PAUL, MN, US"/>
    <x v="0"/>
    <n v="-15.53"/>
    <n v="3650.4"/>
  </r>
  <r>
    <x v="1"/>
    <x v="29"/>
    <s v="Purchase "/>
    <s v="AMAZON.COM*HU9R AMAZON.COM SEATTLE, WA, US"/>
    <x v="5"/>
    <n v="-25.47"/>
    <n v="3624.93"/>
  </r>
  <r>
    <x v="1"/>
    <x v="29"/>
    <s v="Purchase "/>
    <s v="SOUTHEAST AUTO SERVI MINNEAPOLIS, MN, US"/>
    <x v="5"/>
    <n v="-331.76"/>
    <n v="3293.17"/>
  </r>
  <r>
    <x v="1"/>
    <x v="29"/>
    <s v="Purchase Return "/>
    <s v="AMAZON.COM SEATTLE, WA, US"/>
    <x v="5"/>
    <n v="25.47"/>
    <n v="3318.64"/>
  </r>
  <r>
    <x v="1"/>
    <x v="29"/>
    <s v="Purchase "/>
    <s v="REVOLUT*1560* 844-7443512, NY, US"/>
    <x v="0"/>
    <n v="-150"/>
    <n v="3168.64"/>
  </r>
  <r>
    <x v="1"/>
    <x v="30"/>
    <s v="Direct Deposit "/>
    <s v="ABBOTT CARDIOVAS REG SALARY"/>
    <x v="6"/>
    <n v="1988.16"/>
    <n v="5156.8"/>
  </r>
  <r>
    <x v="1"/>
    <x v="31"/>
    <s v="Purchase "/>
    <s v="FRESH THYME #510 24 30 MINNEAPOLIS, MN, US"/>
    <x v="0"/>
    <n v="-4.99"/>
    <n v="5151.8100000000004"/>
  </r>
  <r>
    <x v="1"/>
    <x v="32"/>
    <s v="Purchase "/>
    <s v="TARGET 00022293 SAINT PAUL, MN, US"/>
    <x v="0"/>
    <n v="-9.2899999999999991"/>
    <n v="5142.5200000000004"/>
  </r>
  <r>
    <x v="1"/>
    <x v="32"/>
    <s v="Purchase "/>
    <s v="MPRB PARKING APP 612-2306400, MN, US"/>
    <x v="3"/>
    <n v="-5.25"/>
    <n v="5137.2700000000004"/>
  </r>
  <r>
    <x v="1"/>
    <x v="32"/>
    <s v="Purchase "/>
    <s v="CVSPHARMACY #08941 MINNEAPOLIS, MN, US"/>
    <x v="0"/>
    <n v="-4.99"/>
    <n v="5132.28"/>
  </r>
  <r>
    <x v="1"/>
    <x v="33"/>
    <s v="Purchase "/>
    <s v="TARGET 00021014 SAINT PAUL, MN, US"/>
    <x v="0"/>
    <n v="-7.99"/>
    <n v="5124.29"/>
  </r>
  <r>
    <x v="1"/>
    <x v="33"/>
    <s v="Purchase "/>
    <s v="HOLIDAY STATIONS 0312 PLYMOUTH, MN, US"/>
    <x v="2"/>
    <n v="-40.44"/>
    <n v="5083.8500000000004"/>
  </r>
  <r>
    <x v="1"/>
    <x v="33"/>
    <s v="Purchase "/>
    <s v="BURST ORAL CARE WALNUT, CA, US"/>
    <x v="3"/>
    <n v="-7.56"/>
    <n v="5076.29"/>
  </r>
  <r>
    <x v="1"/>
    <x v="34"/>
    <s v="Direct Deposit "/>
    <s v="CAPITAL ONE ACCTVERIFY"/>
    <x v="3"/>
    <n v="0.01"/>
    <n v="5076.3"/>
  </r>
  <r>
    <x v="1"/>
    <x v="34"/>
    <s v="Direct Deposit "/>
    <s v="CAPITAL ONE ACCTVERIFY"/>
    <x v="3"/>
    <n v="0.08"/>
    <n v="5076.38"/>
  </r>
  <r>
    <x v="1"/>
    <x v="34"/>
    <s v="Direct Debit "/>
    <s v="CAPITAL ONE ACCTVERIFY"/>
    <x v="3"/>
    <n v="-0.09"/>
    <n v="5076.29"/>
  </r>
  <r>
    <x v="1"/>
    <x v="35"/>
    <s v="Purchase "/>
    <s v="HOLIDAY STATIONS 3826 MINNEAPOLIS, MN, US"/>
    <x v="2"/>
    <n v="-9.08"/>
    <n v="5067.21"/>
  </r>
  <r>
    <x v="1"/>
    <x v="36"/>
    <s v="Purchase "/>
    <s v="KUNG FU TEA MINNEAPOLIS, MN, US"/>
    <x v="0"/>
    <n v="-6.7"/>
    <n v="5060.51"/>
  </r>
  <r>
    <x v="1"/>
    <x v="36"/>
    <s v="Direct Debit "/>
    <s v="CAPITAL ONE N.A. CAPITALONE"/>
    <x v="4"/>
    <n v="-899.92"/>
    <n v="4160.59"/>
  </r>
  <r>
    <x v="1"/>
    <x v="36"/>
    <s v="Purchase "/>
    <s v="MPRB PARKING APP 612-2306400, MN, US"/>
    <x v="3"/>
    <n v="-4"/>
    <n v="4156.59"/>
  </r>
  <r>
    <x v="1"/>
    <x v="36"/>
    <s v="Purchase "/>
    <s v="Speedway 717 Snelling Ave N St Paul, MN, US"/>
    <x v="2"/>
    <n v="-5.46"/>
    <n v="4151.13"/>
  </r>
  <r>
    <x v="1"/>
    <x v="37"/>
    <s v="Purchase "/>
    <s v="NETFLIX.COM AMSTERDAM, NL, NL"/>
    <x v="3"/>
    <n v="-3.38"/>
    <n v="4147.75"/>
  </r>
  <r>
    <x v="1"/>
    <x v="37"/>
    <s v="Foreign Transaction Fee "/>
    <s v="NETFLIX.COM AMSTERDAM, NL, NL"/>
    <x v="3"/>
    <n v="-0.03"/>
    <n v="4147.72"/>
  </r>
  <r>
    <x v="1"/>
    <x v="37"/>
    <s v="Purchase "/>
    <s v="SPEEDWAY 04760 717 SNE ST. PAUL, MN, US"/>
    <x v="2"/>
    <n v="-34.130000000000003"/>
    <n v="4113.59"/>
  </r>
  <r>
    <x v="1"/>
    <x v="37"/>
    <s v="Purchase "/>
    <s v="VESTA *AT&amp;T PREPAID 866-608-3007, OR, US"/>
    <x v="7"/>
    <n v="-54.87"/>
    <n v="4058.72"/>
  </r>
  <r>
    <x v="1"/>
    <x v="37"/>
    <s v="Purchase "/>
    <s v="GOOGLE *PAPER WORLD MOUNTAIN VIEW, CA, US"/>
    <x v="3"/>
    <n v="-2.69"/>
    <n v="4056.03"/>
  </r>
  <r>
    <x v="1"/>
    <x v="38"/>
    <s v="Purchase "/>
    <s v="AMAZON.COM*EN3T AMAZON.COM SEATTLE, WA, US"/>
    <x v="5"/>
    <n v="-22"/>
    <n v="4034.03"/>
  </r>
  <r>
    <x v="1"/>
    <x v="39"/>
    <s v="Direct Deposit "/>
    <s v="ABBOTT CARDIOVAS REG SALARY"/>
    <x v="6"/>
    <n v="3825.76"/>
    <n v="7859.79"/>
  </r>
  <r>
    <x v="1"/>
    <x v="39"/>
    <s v="Purchase "/>
    <s v="BURGER KING #12250 Q07 MINNEAPOLIS, MN, US"/>
    <x v="0"/>
    <n v="-10.130000000000001"/>
    <n v="7849.66"/>
  </r>
  <r>
    <x v="1"/>
    <x v="39"/>
    <s v="Purchase "/>
    <s v="PAYPAL *MICROSOFT STOR 4029357733, WA, US"/>
    <x v="3"/>
    <n v="-75.599999999999994"/>
    <n v="7774.06"/>
  </r>
  <r>
    <x v="1"/>
    <x v="40"/>
    <s v="Purchase "/>
    <s v="REVOLUT*1560* 844-7443512, NY, US"/>
    <x v="0"/>
    <n v="-100"/>
    <n v="7674.06"/>
  </r>
  <r>
    <x v="1"/>
    <x v="40"/>
    <s v="Direct Debit "/>
    <s v="VENMO PAYMENT"/>
    <x v="4"/>
    <n v="-67.42"/>
    <n v="7606.64"/>
  </r>
  <r>
    <x v="1"/>
    <x v="40"/>
    <s v="Purchase "/>
    <s v="KARYAKARSA.COM *ABE028 JAKARTA SLT, ID, IK"/>
    <x v="3"/>
    <n v="-5.01"/>
    <n v="7601.63"/>
  </r>
  <r>
    <x v="1"/>
    <x v="40"/>
    <s v="Foreign Transaction Fee "/>
    <s v="KARYAKARSA.COM *ABE028 JAKARTA SLT, ID, IK"/>
    <x v="3"/>
    <n v="-0.05"/>
    <n v="7601.58"/>
  </r>
  <r>
    <x v="1"/>
    <x v="40"/>
    <s v="Purchase "/>
    <s v="GOOGLE *FAME IT 855-836-3987, CA, US"/>
    <x v="3"/>
    <n v="-3.23"/>
    <n v="7598.35"/>
  </r>
  <r>
    <x v="1"/>
    <x v="41"/>
    <s v="Purchase "/>
    <s v="DRAGON STAR ORIENTAL ST PAUL, MN, US"/>
    <x v="0"/>
    <n v="-28.57"/>
    <n v="7569.78"/>
  </r>
  <r>
    <x v="1"/>
    <x v="41"/>
    <s v="Purchase "/>
    <s v="AMAZON.COM*EJ6K AMAZON.COM SEATTLE, WA, US"/>
    <x v="3"/>
    <n v="-23.75"/>
    <n v="7546.03"/>
  </r>
  <r>
    <x v="1"/>
    <x v="41"/>
    <s v="Purchase "/>
    <s v="FEDEX 940746252548 MEMPHIS, TN, US"/>
    <x v="3"/>
    <n v="-3"/>
    <n v="7543.03"/>
  </r>
  <r>
    <x v="1"/>
    <x v="42"/>
    <s v="Purchase "/>
    <s v="TARGET 00032003 MINNEAPOLIS, MN, US"/>
    <x v="0"/>
    <n v="-11.72"/>
    <n v="7531.31"/>
  </r>
  <r>
    <x v="1"/>
    <x v="42"/>
    <s v="Direct Debit "/>
    <s v="OxygenCons P2P"/>
    <x v="0"/>
    <n v="-100"/>
    <n v="7431.31"/>
  </r>
  <r>
    <x v="1"/>
    <x v="43"/>
    <s v="Purchase Return "/>
    <s v="PAYPAL *EBAY US 4029357733, CA, US"/>
    <x v="3"/>
    <n v="86.41"/>
    <n v="7517.72"/>
  </r>
  <r>
    <x v="1"/>
    <x v="43"/>
    <s v="Purchase "/>
    <s v="GENT CUTS AND GROOMING MINNEAPOLIS, WA, US"/>
    <x v="1"/>
    <n v="-60"/>
    <n v="7457.72"/>
  </r>
  <r>
    <x v="1"/>
    <x v="44"/>
    <s v="Purchase "/>
    <s v="LEGENDARY SPICE MINNEAPOLIS, MN, US"/>
    <x v="5"/>
    <n v="-266"/>
    <n v="7191.72"/>
  </r>
  <r>
    <x v="1"/>
    <x v="44"/>
    <s v="Purchase "/>
    <s v="LASALLE COURT PARKING MINNEAPOLIS, MN, US"/>
    <x v="1"/>
    <n v="-8"/>
    <n v="7183.72"/>
  </r>
  <r>
    <x v="1"/>
    <x v="44"/>
    <s v="Purchase "/>
    <s v="LASALLE COURT PARKING MINNEAPOLIS, MN, US"/>
    <x v="1"/>
    <n v="-8"/>
    <n v="7175.72"/>
  </r>
  <r>
    <x v="1"/>
    <x v="44"/>
    <s v="Purchase "/>
    <s v="MPLSMETERSAPP 8090 612-3437275, MN, US"/>
    <x v="3"/>
    <n v="-1.5"/>
    <n v="7174.22"/>
  </r>
  <r>
    <x v="1"/>
    <x v="44"/>
    <s v="Purchase "/>
    <s v="MPLSMETERSAPP 8090 612-3437275, MN, US"/>
    <x v="3"/>
    <n v="-6.25"/>
    <n v="7167.97"/>
  </r>
  <r>
    <x v="1"/>
    <x v="45"/>
    <s v="Purchase "/>
    <s v="TARGET 00022293 SAINT PAUL, MN, US"/>
    <x v="0"/>
    <n v="-21.47"/>
    <n v="7146.5"/>
  </r>
  <r>
    <x v="1"/>
    <x v="45"/>
    <s v="Purchase "/>
    <s v="USPS CHANGE OF ADDRESS 800-238-3150, TN, US"/>
    <x v="5"/>
    <n v="-31.05"/>
    <n v="7115.45"/>
  </r>
  <r>
    <x v="1"/>
    <x v="46"/>
    <s v="Purchase "/>
    <s v="HOLIDAY STATIONS 3826 MINNEAPOLIS, MN, US"/>
    <x v="2"/>
    <n v="-19.73"/>
    <n v="7095.72"/>
  </r>
  <r>
    <x v="1"/>
    <x v="46"/>
    <s v="Direct Debit "/>
    <s v="CAPITAL ONE MOBILE PMT"/>
    <x v="5"/>
    <n v="-135"/>
    <n v="6960.72"/>
  </r>
  <r>
    <x v="2"/>
    <x v="47"/>
    <s v="Purchase "/>
    <s v="AMAZON.COM*3H05 AMAZON.COM SEATTLE, WA, US"/>
    <x v="3"/>
    <n v="-30.16"/>
    <n v="6930.56"/>
  </r>
  <r>
    <x v="2"/>
    <x v="47"/>
    <s v="Purchase "/>
    <s v="TARGET T- 29676 Rancho Temecula, CA, US"/>
    <x v="0"/>
    <n v="-5.85"/>
    <n v="6924.71"/>
  </r>
  <r>
    <x v="2"/>
    <x v="47"/>
    <s v="Purchase "/>
    <s v="TARGET T- 280 E Via Ra Escondido, CA, US"/>
    <x v="9"/>
    <n v="-77.09"/>
    <n v="6847.62"/>
  </r>
  <r>
    <x v="2"/>
    <x v="48"/>
    <s v="Purchase "/>
    <s v="La Sorpresa Asi Escondido, CA, US"/>
    <x v="0"/>
    <n v="-4.49"/>
    <n v="6843.13"/>
  </r>
  <r>
    <x v="2"/>
    <x v="48"/>
    <s v="Purchase "/>
    <s v="IOWA JUDICIAL BRANCH 2 515-3484778, IA, US"/>
    <x v="10"/>
    <n v="-193"/>
    <n v="6650.13"/>
  </r>
  <r>
    <x v="2"/>
    <x v="48"/>
    <s v="Purchase "/>
    <s v="CA0308 WASH N GO SAN DIEGO, CA, US"/>
    <x v="9"/>
    <n v="-25"/>
    <n v="6625.13"/>
  </r>
  <r>
    <x v="2"/>
    <x v="48"/>
    <s v="Purchase "/>
    <s v="SHELL SERVICE S TEMECULA, CA, US"/>
    <x v="2"/>
    <n v="-32.619999999999997"/>
    <n v="6592.51"/>
  </r>
  <r>
    <x v="2"/>
    <x v="48"/>
    <s v="Purchase "/>
    <s v="O'REILLY AUTO P TEMECULA, CA, US"/>
    <x v="9"/>
    <n v="-17.16"/>
    <n v="6575.35"/>
  </r>
  <r>
    <x v="2"/>
    <x v="49"/>
    <s v="Purchase "/>
    <s v="IN N OUT BURGER 069 SAN DIEGO, CA, US"/>
    <x v="0"/>
    <n v="-9.64"/>
    <n v="6565.71"/>
  </r>
  <r>
    <x v="2"/>
    <x v="49"/>
    <s v="Direct Debit "/>
    <s v="CAPITAL ONE MOBILE PMT"/>
    <x v="11"/>
    <n v="-978.59"/>
    <n v="5587.12"/>
  </r>
  <r>
    <x v="2"/>
    <x v="49"/>
    <s v="Purchase "/>
    <s v="SIMPANG ASIA LOS ANGELES, CA, US"/>
    <x v="0"/>
    <n v="-40.54"/>
    <n v="5546.58"/>
  </r>
  <r>
    <x v="2"/>
    <x v="49"/>
    <s v="Purchase "/>
    <s v="AMAZON.COM*9J8L AMAZON.COM SEATTLE, WA, US"/>
    <x v="3"/>
    <n v="-17.22"/>
    <n v="5529.36"/>
  </r>
  <r>
    <x v="2"/>
    <x v="49"/>
    <s v="Purchase "/>
    <s v="CIRCLE K 09432 TEMECULA, CA, US"/>
    <x v="2"/>
    <n v="-45.52"/>
    <n v="5483.84"/>
  </r>
  <r>
    <x v="2"/>
    <x v="49"/>
    <s v="Purchase "/>
    <s v="MACY'S 1555 CAMINO FASHION VALLE, CA, US"/>
    <x v="5"/>
    <n v="-236.57"/>
    <n v="5247.27"/>
  </r>
  <r>
    <x v="2"/>
    <x v="49"/>
    <s v="Purchase "/>
    <s v="LACMA MUSEUM BOX OFC W LOS ANGELES, CA, US"/>
    <x v="11"/>
    <n v="-25"/>
    <n v="5222.2700000000004"/>
  </r>
  <r>
    <x v="2"/>
    <x v="49"/>
    <s v="Purchase "/>
    <s v="COUNTY OF LA BEACHES &amp; MARINA DEL RE, CA, US"/>
    <x v="11"/>
    <n v="-9"/>
    <n v="5213.2700000000004"/>
  </r>
  <r>
    <x v="2"/>
    <x v="50"/>
    <s v="Direct Deposit "/>
    <s v="MN DEPT OF REVEN MNSTTAXRFD"/>
    <x v="6"/>
    <n v="1209"/>
    <n v="6422.27"/>
  </r>
  <r>
    <x v="2"/>
    <x v="50"/>
    <s v="Direct Deposit "/>
    <s v="ABBOTT CARDIOVAS REG SALARY"/>
    <x v="6"/>
    <n v="1988.16"/>
    <n v="8410.43"/>
  </r>
  <r>
    <x v="2"/>
    <x v="50"/>
    <s v="Purchase "/>
    <s v="SQ *AUDES EL CAJON, CA, US"/>
    <x v="0"/>
    <n v="-7.75"/>
    <n v="8402.68"/>
  </r>
  <r>
    <x v="2"/>
    <x v="50"/>
    <s v="Purchase "/>
    <s v="SQ *ICE CHURRO GOSQ.COM, CA, US"/>
    <x v="0"/>
    <n v="-10.52"/>
    <n v="8392.16"/>
  </r>
  <r>
    <x v="2"/>
    <x v="50"/>
    <s v="Purchase "/>
    <s v="PARKING CONCEPTS INC L LOS ANGELES, CA, US"/>
    <x v="3"/>
    <n v="-20"/>
    <n v="8372.16"/>
  </r>
  <r>
    <x v="2"/>
    <x v="50"/>
    <s v="Purchase "/>
    <s v="REVOLUT*1560* 844-7443512, NY, US"/>
    <x v="0"/>
    <n v="-100"/>
    <n v="8272.16"/>
  </r>
  <r>
    <x v="2"/>
    <x v="50"/>
    <s v="Purchase "/>
    <s v="LOS DOS PEDROS SAN DIEGO, CA, US"/>
    <x v="11"/>
    <n v="-8.61"/>
    <n v="8263.5499999999993"/>
  </r>
  <r>
    <x v="2"/>
    <x v="51"/>
    <s v="Purchase "/>
    <s v="7-ELEVEN 5555 MISSION RD US BONSALL, CA, US"/>
    <x v="2"/>
    <n v="-46.55"/>
    <n v="8217"/>
  </r>
  <r>
    <x v="2"/>
    <x v="51"/>
    <s v="Purchase "/>
    <s v="NNT GEORGE KIRI 43094 VIA DOS PICOS TEMECULA, CA, US"/>
    <x v="9"/>
    <n v="-50"/>
    <n v="8167"/>
  </r>
  <r>
    <x v="2"/>
    <x v="51"/>
    <s v="Purchase "/>
    <s v="MACY'S 40780 WINCHE TEMECULA, CA, US"/>
    <x v="5"/>
    <n v="-127.07"/>
    <n v="8039.93"/>
  </r>
  <r>
    <x v="2"/>
    <x v="51"/>
    <s v="Purchase "/>
    <s v="WAL-MART #2708 32225 TEMECULA PKWY TEMECULA, CA, US"/>
    <x v="0"/>
    <n v="-5.44"/>
    <n v="8034.49"/>
  </r>
  <r>
    <x v="2"/>
    <x v="52"/>
    <s v="Purchase "/>
    <s v="AGAPE AUTO TEMECULA, CA, US"/>
    <x v="9"/>
    <n v="-498.24"/>
    <n v="7536.25"/>
  </r>
  <r>
    <x v="2"/>
    <x v="52"/>
    <s v="Purchase "/>
    <s v="AMAZON.COM*FJ5O AMAZON.COM SEATTLE, WA, US"/>
    <x v="3"/>
    <n v="-32.159999999999997"/>
    <n v="7504.09"/>
  </r>
  <r>
    <x v="2"/>
    <x v="52"/>
    <s v="Purchase "/>
    <s v="RANCHO FORD TEMECULA, CA, US"/>
    <x v="9"/>
    <n v="-77.36"/>
    <n v="7426.73"/>
  </r>
  <r>
    <x v="2"/>
    <x v="52"/>
    <s v="Purchase "/>
    <s v="FD *CA DMV 672 TEMECULA, CA, US"/>
    <x v="9"/>
    <n v="-289"/>
    <n v="7137.73"/>
  </r>
  <r>
    <x v="2"/>
    <x v="52"/>
    <s v="Purchase "/>
    <s v="FD *CA DMV 672 *SVC 8007770133, CA, US"/>
    <x v="9"/>
    <n v="-6.07"/>
    <n v="7131.66"/>
  </r>
  <r>
    <x v="2"/>
    <x v="52"/>
    <s v="Purchase Return "/>
    <s v="MACY'S 547 4333 LA JOLLA VIL LA JOLLA, CA, US"/>
    <x v="5"/>
    <n v="363.64"/>
    <n v="7495.3"/>
  </r>
  <r>
    <x v="2"/>
    <x v="52"/>
    <s v="Purchase "/>
    <s v="SUNGLASS HUT 2798 SAN DIEGO, CA, US"/>
    <x v="5"/>
    <n v="-495.17"/>
    <n v="7000.13"/>
  </r>
  <r>
    <x v="2"/>
    <x v="52"/>
    <s v="Purchase "/>
    <s v="STARS &amp; STRIPES 10 OSBORN ST NATIONAL CITY, CA, US"/>
    <x v="11"/>
    <n v="-27.46"/>
    <n v="6972.67"/>
  </r>
  <r>
    <x v="2"/>
    <x v="53"/>
    <s v="Purchase "/>
    <s v="USS MIDWAY MUSEUM SAN DIEGO, CA, US"/>
    <x v="11"/>
    <n v="-26"/>
    <n v="6946.67"/>
  </r>
  <r>
    <x v="2"/>
    <x v="53"/>
    <s v="Purchase "/>
    <s v="168 MARKET #180 ROWLAND HEIGH, CA, US"/>
    <x v="2"/>
    <n v="-41.73"/>
    <n v="6904.94"/>
  </r>
  <r>
    <x v="2"/>
    <x v="53"/>
    <s v="Purchase "/>
    <s v="TST* MARKET ON 8TH- IN NATIONAL CITY, CA, US"/>
    <x v="2"/>
    <n v="-21.75"/>
    <n v="6883.19"/>
  </r>
  <r>
    <x v="2"/>
    <x v="53"/>
    <s v="Purchase "/>
    <s v="PORT OF SAN DIEGO, CA 704-817-2500, NC, US"/>
    <x v="3"/>
    <n v="-7.85"/>
    <n v="6875.34"/>
  </r>
  <r>
    <x v="2"/>
    <x v="53"/>
    <s v="Purchase "/>
    <s v="ACE PARKING 1507 SAN DIEGO, CA, US"/>
    <x v="3"/>
    <n v="-8"/>
    <n v="6867.34"/>
  </r>
  <r>
    <x v="2"/>
    <x v="54"/>
    <s v="Purchase "/>
    <s v="SQ *+62 STREET FOOD WALNUT, CA, US"/>
    <x v="0"/>
    <n v="-27.92"/>
    <n v="6839.42"/>
  </r>
  <r>
    <x v="2"/>
    <x v="54"/>
    <s v="Purchase "/>
    <s v="CIRCLE K 09447 FALLBROOK, CA, US"/>
    <x v="2"/>
    <n v="-45.54"/>
    <n v="6793.88"/>
  </r>
  <r>
    <x v="2"/>
    <x v="54"/>
    <s v="Purchase "/>
    <s v="KETCH BREWING SAN DIEGO, CA, US"/>
    <x v="0"/>
    <n v="-5.33"/>
    <n v="6788.55"/>
  </r>
  <r>
    <x v="2"/>
    <x v="54"/>
    <s v="Purchase "/>
    <s v="GEICO AUTO WASHINGTON, DC, US"/>
    <x v="12"/>
    <n v="-44.8"/>
    <n v="6743.75"/>
  </r>
  <r>
    <x v="2"/>
    <x v="54"/>
    <s v="Purchase "/>
    <s v="SUNGLASS HUT 3422 TEMECULA, CA, US"/>
    <x v="5"/>
    <n v="-39.47"/>
    <n v="6704.28"/>
  </r>
  <r>
    <x v="2"/>
    <x v="55"/>
    <s v="Purchase "/>
    <s v="STEAMGAMES.COM 4259522 BELLEVUE, WA, US"/>
    <x v="3"/>
    <n v="-59.99"/>
    <n v="6644.29"/>
  </r>
  <r>
    <x v="2"/>
    <x v="55"/>
    <s v="Purchase "/>
    <s v="TARGET 00003590 TEMECULA, CA, US"/>
    <x v="0"/>
    <n v="-14.44"/>
    <n v="6629.85"/>
  </r>
  <r>
    <x v="2"/>
    <x v="55"/>
    <s v="Purchase "/>
    <s v="AMAZON.COM*YF8I AMAZON.COM SEATTLE, WA, US"/>
    <x v="3"/>
    <n v="-12.49"/>
    <n v="6617.36"/>
  </r>
  <r>
    <x v="2"/>
    <x v="55"/>
    <s v="Purchase "/>
    <s v="STARBUCKS 67802 TEMECULA, CA, US"/>
    <x v="0"/>
    <n v="-7.01"/>
    <n v="6610.35"/>
  </r>
  <r>
    <x v="2"/>
    <x v="56"/>
    <s v="Purchase "/>
    <s v="TARGET T- 29676 Rancho Temecula, CA, US"/>
    <x v="5"/>
    <n v="-228.36"/>
    <n v="6381.99"/>
  </r>
  <r>
    <x v="2"/>
    <x v="56"/>
    <s v="Purchase "/>
    <s v="FD *CA DMV 672 TEMECULA, CA, US"/>
    <x v="9"/>
    <n v="-39"/>
    <n v="6342.99"/>
  </r>
  <r>
    <x v="2"/>
    <x v="56"/>
    <s v="Purchase "/>
    <s v="FD *CA DMV 672 *SVC 8007770133, CA, US"/>
    <x v="9"/>
    <n v="-0.82"/>
    <n v="6342.17"/>
  </r>
  <r>
    <x v="2"/>
    <x v="57"/>
    <s v="Purchase "/>
    <s v="STEAM PURCHASE 425-9522985, WA, US"/>
    <x v="3"/>
    <n v="-29.99"/>
    <n v="6312.18"/>
  </r>
  <r>
    <x v="2"/>
    <x v="57"/>
    <s v="Purchase "/>
    <s v="AGAPE AUTO TEMECULA, CA, US"/>
    <x v="9"/>
    <n v="-35"/>
    <n v="6277.18"/>
  </r>
  <r>
    <x v="2"/>
    <x v="57"/>
    <s v="Purchase "/>
    <s v="AGAPE AUTO TEMECULA, CA, US"/>
    <x v="9"/>
    <n v="-73.12"/>
    <n v="6204.06"/>
  </r>
  <r>
    <x v="2"/>
    <x v="58"/>
    <s v="Purchase "/>
    <s v="TARGET 00028027 ESCONDIDO, CA, US"/>
    <x v="0"/>
    <n v="-9.48"/>
    <n v="6194.58"/>
  </r>
  <r>
    <x v="2"/>
    <x v="58"/>
    <s v="Direct Debit "/>
    <s v="VENMO PAYMENT"/>
    <x v="4"/>
    <n v="-42.48"/>
    <n v="6152.1"/>
  </r>
  <r>
    <x v="2"/>
    <x v="58"/>
    <s v="Purchase Return "/>
    <s v="SUNGLASS HUT 4778 CARLSBAD, CA, US"/>
    <x v="5"/>
    <n v="39.47"/>
    <n v="6191.57"/>
  </r>
  <r>
    <x v="2"/>
    <x v="58"/>
    <s v="Purchase Return "/>
    <s v="SUNGLASS HUT 4778 CARLSBAD, CA, US"/>
    <x v="5"/>
    <n v="154.68"/>
    <n v="6346.25"/>
  </r>
  <r>
    <x v="2"/>
    <x v="58"/>
    <s v="Purchase "/>
    <s v="SHELL SERVICE S CARLSBAD, CA, US"/>
    <x v="2"/>
    <n v="-47.47"/>
    <n v="6298.78"/>
  </r>
  <r>
    <x v="2"/>
    <x v="59"/>
    <s v="Purchase "/>
    <s v="CSC SERVICEWORK SAN DIEGO, CA, US"/>
    <x v="9"/>
    <n v="-1.75"/>
    <n v="6297.03"/>
  </r>
  <r>
    <x v="2"/>
    <x v="59"/>
    <s v="Purchase "/>
    <s v="CSC SERVICEWORK SAN DIEGO, CA, US"/>
    <x v="9"/>
    <n v="-1.75"/>
    <n v="6295.28"/>
  </r>
  <r>
    <x v="2"/>
    <x v="59"/>
    <s v="Purchase "/>
    <s v="SP RANDOLPH RANDOLPH, MA, US"/>
    <x v="5"/>
    <n v="-335.32"/>
    <n v="5959.96"/>
  </r>
  <r>
    <x v="2"/>
    <x v="59"/>
    <s v="Purchase "/>
    <s v="SP RANDOLPH RANDOLPH, MA, US"/>
    <x v="5"/>
    <n v="-253.43"/>
    <n v="5706.53"/>
  </r>
  <r>
    <x v="2"/>
    <x v="59"/>
    <s v="Purchase "/>
    <s v="NAYAX AIR 2 HUNT VALLEY, MD, US"/>
    <x v="9"/>
    <n v="-1.5"/>
    <n v="5705.03"/>
  </r>
  <r>
    <x v="2"/>
    <x v="59"/>
    <s v="Purchase "/>
    <s v="G&amp;M OIL#53 OCEANSIDE, CA, US"/>
    <x v="2"/>
    <n v="-40.049999999999997"/>
    <n v="5664.98"/>
  </r>
  <r>
    <x v="2"/>
    <x v="59"/>
    <s v="Purchase "/>
    <s v="STARBUCKS STORE 05679 SOLANA BEACH, CA, US"/>
    <x v="0"/>
    <n v="-6.25"/>
    <n v="5658.73"/>
  </r>
  <r>
    <x v="2"/>
    <x v="60"/>
    <s v="Purchase "/>
    <s v="IN N OUT BURGER 071 SAN DIEGO, CA, US"/>
    <x v="0"/>
    <n v="-7.7"/>
    <n v="5651.03"/>
  </r>
  <r>
    <x v="2"/>
    <x v="60"/>
    <s v="Purchase "/>
    <s v="TARGET 00028712 OCEANSIDE, CA, US"/>
    <x v="0"/>
    <n v="-6.35"/>
    <n v="5644.68"/>
  </r>
  <r>
    <x v="2"/>
    <x v="60"/>
    <s v="Purchase "/>
    <s v="TARGET 00028712 OCEANSIDE, CA, US"/>
    <x v="0"/>
    <n v="-16.559999999999999"/>
    <n v="5628.12"/>
  </r>
  <r>
    <x v="2"/>
    <x v="60"/>
    <s v="Purchase "/>
    <s v="DIJA MARA OCEANSIDE, CA, US"/>
    <x v="0"/>
    <n v="-40"/>
    <n v="5588.12"/>
  </r>
  <r>
    <x v="2"/>
    <x v="60"/>
    <s v="Direct Debit "/>
    <s v="CAPITAL ONE MOBILE PMT"/>
    <x v="0"/>
    <n v="-55.47"/>
    <n v="5532.65"/>
  </r>
  <r>
    <x v="2"/>
    <x v="60"/>
    <s v="Investment"/>
    <s v="TRANSFER MONEY TO BROKERAGE XXXX9092"/>
    <x v="13"/>
    <n v="-3750"/>
    <n v="1782.65"/>
  </r>
  <r>
    <x v="2"/>
    <x v="60"/>
    <s v="Purchase Return "/>
    <s v="TARGET T- 29676 Rancho Temecula, CA, US"/>
    <x v="5"/>
    <n v="228.36"/>
    <n v="2011.01"/>
  </r>
  <r>
    <x v="2"/>
    <x v="60"/>
    <s v="Purchase "/>
    <s v="DIAMOND PARKING SD030 SAN DIEGO, CA, US"/>
    <x v="3"/>
    <n v="-6"/>
    <n v="2005.01"/>
  </r>
  <r>
    <x v="2"/>
    <x v="60"/>
    <s v="Purchase "/>
    <s v="SP RANDOLPH RANDOLPH, MA, US"/>
    <x v="5"/>
    <n v="-1091.3"/>
    <n v="913.71"/>
  </r>
  <r>
    <x v="2"/>
    <x v="61"/>
    <s v="Purchase Return "/>
    <s v="SP RANDOLPH RANDOLPH, MA, US"/>
    <x v="5"/>
    <n v="253.43"/>
    <n v="1167.1400000000001"/>
  </r>
  <r>
    <x v="2"/>
    <x v="61"/>
    <s v="Purchase "/>
    <s v="MAUI JIM WEB 8886665905, IL, US"/>
    <x v="5"/>
    <n v="-172.45"/>
    <n v="994.69"/>
  </r>
  <r>
    <x v="2"/>
    <x v="61"/>
    <s v="Purchase "/>
    <s v="WALMART.COM AA 8009666546, AR, US"/>
    <x v="5"/>
    <n v="-254.48"/>
    <n v="740.21"/>
  </r>
  <r>
    <x v="2"/>
    <x v="62"/>
    <s v="Purchase "/>
    <s v="TARGET 00003590 TEMECULA, CA, US"/>
    <x v="0"/>
    <n v="-8.7899999999999991"/>
    <n v="731.42"/>
  </r>
  <r>
    <x v="2"/>
    <x v="62"/>
    <s v="Purchase "/>
    <s v="IHOP #0834 TEMECULA, CA, US"/>
    <x v="0"/>
    <n v="-22.69"/>
    <n v="708.73"/>
  </r>
  <r>
    <x v="2"/>
    <x v="63"/>
    <s v="Direct Deposit "/>
    <s v="ABBOTT CARDIOVAS REG SALARY"/>
    <x v="6"/>
    <n v="2027.61"/>
    <n v="2736.34"/>
  </r>
  <r>
    <x v="2"/>
    <x v="63"/>
    <s v="Purchase "/>
    <s v="SP RANDOLPH RANDOLPH, MA, US"/>
    <x v="5"/>
    <n v="-197.4"/>
    <n v="2538.94"/>
  </r>
  <r>
    <x v="2"/>
    <x v="63"/>
    <s v="Purchase "/>
    <s v="VESTA *AT&amp;T PREPAID 866-608-3007, OR, US"/>
    <x v="7"/>
    <n v="-54.85"/>
    <n v="2484.09"/>
  </r>
  <r>
    <x v="2"/>
    <x v="64"/>
    <s v="Purchase "/>
    <s v="NETFLIX.COM AMSTERDAM, NL, NL"/>
    <x v="3"/>
    <n v="-3.27"/>
    <n v="2480.8200000000002"/>
  </r>
  <r>
    <x v="2"/>
    <x v="64"/>
    <s v="Foreign Transaction Fee "/>
    <s v="NETFLIX.COM AMSTERDAM, NL, NL"/>
    <x v="3"/>
    <n v="-0.03"/>
    <n v="2480.79"/>
  </r>
  <r>
    <x v="2"/>
    <x v="64"/>
    <s v="Purchase "/>
    <s v="SHADOW MOUNTAIN VIEW, CA, US"/>
    <x v="3"/>
    <n v="-29.99"/>
    <n v="2450.8000000000002"/>
  </r>
  <r>
    <x v="2"/>
    <x v="64"/>
    <s v="Direct Debit "/>
    <s v="CAPITAL ONE N.A. CAPITALONE"/>
    <x v="4"/>
    <n v="-830"/>
    <n v="1620.8"/>
  </r>
  <r>
    <x v="2"/>
    <x v="64"/>
    <s v="Purchase "/>
    <s v="ARCO42703001 ARCO #42703 AMPM TEMECULA, CA, US"/>
    <x v="2"/>
    <n v="-45.35"/>
    <n v="1575.45"/>
  </r>
  <r>
    <x v="2"/>
    <x v="65"/>
    <s v="Purchase "/>
    <s v="SQ *RARE TEA TEMECULA, CA, US"/>
    <x v="0"/>
    <n v="-7"/>
    <n v="1568.45"/>
  </r>
  <r>
    <x v="2"/>
    <x v="65"/>
    <s v="Purchase "/>
    <s v="SQ *BARBER JESSE TEMECULA, CA, US"/>
    <x v="1"/>
    <n v="-36"/>
    <n v="1532.45"/>
  </r>
  <r>
    <x v="2"/>
    <x v="65"/>
    <s v="Purchase "/>
    <s v="REVOLUT*1560* 844-7443512, NY, US"/>
    <x v="0"/>
    <n v="-100"/>
    <n v="1432.45"/>
  </r>
  <r>
    <x v="2"/>
    <x v="65"/>
    <s v="Purchase "/>
    <s v="PY *KUNG FU TEA 26487 YNEZ RD STE G TEMECULA, CA, US"/>
    <x v="0"/>
    <n v="-7.72"/>
    <n v="1424.73"/>
  </r>
  <r>
    <x v="2"/>
    <x v="66"/>
    <s v="Purchase "/>
    <s v="WAL-MART #2708 32225 TEMECULA PKWY TEMECULA, CA, US"/>
    <x v="0"/>
    <n v="-11.5"/>
    <n v="1413.23"/>
  </r>
  <r>
    <x v="2"/>
    <x v="67"/>
    <s v="Purchase "/>
    <s v="IN N OUT BURGER 062 TEMECULA, CA, US"/>
    <x v="0"/>
    <n v="-9.73"/>
    <n v="1403.5"/>
  </r>
  <r>
    <x v="2"/>
    <x v="68"/>
    <s v="Purchase "/>
    <s v="IN N OUT BURGER 062 TEMECULA, CA, US"/>
    <x v="0"/>
    <n v="-10.55"/>
    <n v="1392.95"/>
  </r>
  <r>
    <x v="2"/>
    <x v="69"/>
    <s v="Purchase "/>
    <s v="WM SUPERCENTER Wal-Mart Store OCEANSIDE, CA, US"/>
    <x v="0"/>
    <n v="-15.48"/>
    <n v="1377.47"/>
  </r>
  <r>
    <x v="2"/>
    <x v="69"/>
    <s v="Atm Withdrawal "/>
    <s v="Walmart Superce 705 COLLEGE BLVD OCEANSIDE, CA, US"/>
    <x v="14"/>
    <n v="-302.5"/>
    <n v="1074.97"/>
  </r>
  <r>
    <x v="2"/>
    <x v="69"/>
    <s v="ATM Refund"/>
    <s v="ATM FEE REFUND"/>
    <x v="14"/>
    <n v="2.5"/>
    <n v="1077.47"/>
  </r>
  <r>
    <x v="2"/>
    <x v="70"/>
    <s v="Purchase "/>
    <s v="REVOLUT*1560* 844-7443512, NY, US"/>
    <x v="0"/>
    <n v="-100"/>
    <n v="977.47"/>
  </r>
  <r>
    <x v="2"/>
    <x v="71"/>
    <s v="Purchase "/>
    <s v="SQ *THIRSTEA TEMECULA, CA, US"/>
    <x v="0"/>
    <n v="-6.2"/>
    <n v="971.27"/>
  </r>
  <r>
    <x v="2"/>
    <x v="72"/>
    <s v="Purchase "/>
    <s v="SHELL SERVICE S TEMECULA, CA, US"/>
    <x v="2"/>
    <n v="-45.17"/>
    <n v="926.1"/>
  </r>
  <r>
    <x v="2"/>
    <x v="72"/>
    <s v="Purchase "/>
    <s v="JADE CHINA MURRIETA, CA, US"/>
    <x v="0"/>
    <n v="-18"/>
    <n v="908.1"/>
  </r>
  <r>
    <x v="2"/>
    <x v="72"/>
    <s v="Purchase "/>
    <s v="PROMENADE, CA-HCO. TEMECULA, CA, US"/>
    <x v="5"/>
    <n v="-76.02"/>
    <n v="832.08"/>
  </r>
  <r>
    <x v="2"/>
    <x v="72"/>
    <s v="Purchase "/>
    <s v="ORIENTAL FOOD MA ESCONDIDO, CA, US"/>
    <x v="0"/>
    <n v="-21.97"/>
    <n v="810.11"/>
  </r>
  <r>
    <x v="2"/>
    <x v="73"/>
    <s v="Purchase "/>
    <s v="CSC SERVICEWORK FALLBROOK, CA, US"/>
    <x v="9"/>
    <n v="-1.75"/>
    <n v="808.36"/>
  </r>
  <r>
    <x v="2"/>
    <x v="73"/>
    <s v="Purchase "/>
    <s v="TARGET 00002741 ESCONDIDO, CA, US"/>
    <x v="0"/>
    <n v="-10.79"/>
    <n v="797.57"/>
  </r>
  <r>
    <x v="2"/>
    <x v="73"/>
    <s v="Purchase "/>
    <s v="TARGET 00002741 ESCONDIDO, CA, US"/>
    <x v="0"/>
    <n v="-5.85"/>
    <n v="791.72"/>
  </r>
  <r>
    <x v="2"/>
    <x v="73"/>
    <s v="Purchase "/>
    <s v="CHEVRON 0357803 SAN DIEGO, CA, US"/>
    <x v="2"/>
    <n v="-24.83"/>
    <n v="766.89"/>
  </r>
  <r>
    <x v="2"/>
    <x v="74"/>
    <s v="Purchase "/>
    <s v="IN N OUT BURGER 062 TEMECULA, CA, US"/>
    <x v="0"/>
    <n v="-9.73"/>
    <n v="757.16"/>
  </r>
  <r>
    <x v="2"/>
    <x v="74"/>
    <s v="Purchase "/>
    <s v="UPTOWN TEMECULA AUTO S TEMECULA, CA, US"/>
    <x v="9"/>
    <n v="-27.95"/>
    <n v="729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4D215-D0D7-41FB-8286-9746229DFA4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22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6">
        <item x="5"/>
        <item x="0"/>
        <item x="2"/>
        <item x="1"/>
        <item x="3"/>
        <item x="7"/>
        <item x="4"/>
        <item x="8"/>
        <item x="6"/>
        <item x="9"/>
        <item x="10"/>
        <item x="11"/>
        <item x="12"/>
        <item x="13"/>
        <item x="14"/>
        <item t="default"/>
      </items>
    </pivotField>
    <pivotField dataField="1" numFmtId="44"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mount $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5C736-8D6D-4327-BF32-4020AFE3B7E8}" name="Table1" displayName="Table1" ref="A1:G256" totalsRowShown="0" headerRowDxfId="4">
  <autoFilter ref="A1:G256" xr:uid="{BAC9E70D-530D-45C4-A262-D29D22E86D72}">
    <filterColumn colId="0">
      <filters>
        <filter val="Jun"/>
      </filters>
    </filterColumn>
  </autoFilter>
  <tableColumns count="7">
    <tableColumn id="1" xr3:uid="{D210169E-25DC-4334-B900-AFC7AA580259}" name="Month" dataDxfId="3">
      <calculatedColumnFormula>TEXT(Table1[[#This Row],[Date]],"mmm")</calculatedColumnFormula>
    </tableColumn>
    <tableColumn id="7" xr3:uid="{518A2601-41B5-470A-AB0D-505F29B78173}" name="Date" dataDxfId="2"/>
    <tableColumn id="2" xr3:uid="{2E4A454C-6123-409E-9AEA-F7B408F129A5}" name="Type"/>
    <tableColumn id="3" xr3:uid="{3E3A15F5-8D47-4D8C-897D-1D210D071ADD}" name="Description"/>
    <tableColumn id="4" xr3:uid="{4CB5B176-627B-400C-B831-6248CED007BA}" name="Categories"/>
    <tableColumn id="5" xr3:uid="{EFF69ECF-1BEE-42E8-8C07-A71EC5158DDF}" name="Amount $" dataDxfId="1"/>
    <tableColumn id="6" xr3:uid="{926834A4-C17B-4558-B8E9-E2897B5775BB}" name="Balance $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851E-2A6D-43A6-ACAB-FB0957E23483}">
  <dimension ref="B1:O48"/>
  <sheetViews>
    <sheetView zoomScaleNormal="100" workbookViewId="0">
      <selection activeCell="F23" sqref="F23"/>
    </sheetView>
  </sheetViews>
  <sheetFormatPr defaultRowHeight="14.4" x14ac:dyDescent="0.3"/>
  <cols>
    <col min="1" max="1" width="5" customWidth="1"/>
    <col min="2" max="3" width="8.44140625" customWidth="1"/>
    <col min="4" max="4" width="8.44140625" style="3" customWidth="1"/>
    <col min="5" max="5" width="34.77734375" style="6" bestFit="1" customWidth="1"/>
    <col min="6" max="7" width="12.5546875" style="7" customWidth="1"/>
    <col min="8" max="8" width="13.44140625" style="3" bestFit="1" customWidth="1"/>
    <col min="9" max="9" width="9.6640625" style="3" customWidth="1"/>
    <col min="10" max="10" width="13.21875" style="6" customWidth="1"/>
    <col min="11" max="12" width="13.77734375" customWidth="1"/>
    <col min="13" max="14" width="10.44140625" bestFit="1" customWidth="1"/>
  </cols>
  <sheetData>
    <row r="1" spans="5:15" x14ac:dyDescent="0.3">
      <c r="F1" s="6"/>
      <c r="G1" s="6"/>
    </row>
    <row r="2" spans="5:15" x14ac:dyDescent="0.3">
      <c r="F2" s="3" t="s">
        <v>67</v>
      </c>
      <c r="G2" s="3" t="s">
        <v>68</v>
      </c>
      <c r="H2" s="3" t="s">
        <v>69</v>
      </c>
      <c r="J2" s="6" t="s">
        <v>66</v>
      </c>
      <c r="K2" s="7">
        <v>70000</v>
      </c>
      <c r="O2" s="7"/>
    </row>
    <row r="3" spans="5:15" x14ac:dyDescent="0.3">
      <c r="E3" s="6" t="s">
        <v>70</v>
      </c>
      <c r="F3" s="7">
        <f>ROUNDUP(H3/26, 2)</f>
        <v>2769.2400000000002</v>
      </c>
      <c r="G3" s="7">
        <f>H3/12</f>
        <v>6000</v>
      </c>
      <c r="H3" s="5">
        <v>72000</v>
      </c>
      <c r="I3" s="5"/>
      <c r="J3" s="6" t="s">
        <v>71</v>
      </c>
      <c r="K3" s="7">
        <f>90000/65804*K2</f>
        <v>95738.860859522218</v>
      </c>
      <c r="O3" s="7"/>
    </row>
    <row r="4" spans="5:15" x14ac:dyDescent="0.3">
      <c r="E4" s="6" t="s">
        <v>72</v>
      </c>
      <c r="F4" s="7">
        <v>0.61</v>
      </c>
      <c r="G4" s="7">
        <f>H4/12</f>
        <v>1.3216666666666665</v>
      </c>
      <c r="H4" s="5">
        <f>F4*26</f>
        <v>15.86</v>
      </c>
      <c r="I4" s="5"/>
      <c r="K4" s="7"/>
      <c r="M4" s="7"/>
      <c r="N4" s="7"/>
      <c r="O4" s="7"/>
    </row>
    <row r="5" spans="5:15" x14ac:dyDescent="0.3">
      <c r="J5" s="6" t="s">
        <v>73</v>
      </c>
      <c r="K5" s="7">
        <f>85000/145913*K6</f>
        <v>106743.61145691197</v>
      </c>
      <c r="M5" s="7"/>
      <c r="N5" s="7"/>
      <c r="O5" s="7"/>
    </row>
    <row r="6" spans="5:15" x14ac:dyDescent="0.3">
      <c r="E6" s="6" t="s">
        <v>74</v>
      </c>
      <c r="F6" s="7">
        <f>ROUNDUP(-2/100*F3,2)</f>
        <v>-55.39</v>
      </c>
      <c r="G6" s="7">
        <f>H6/12</f>
        <v>-120.01166666666667</v>
      </c>
      <c r="H6" s="5">
        <f>F6*26</f>
        <v>-1440.14</v>
      </c>
      <c r="I6" s="5"/>
      <c r="J6" s="6" t="s">
        <v>75</v>
      </c>
      <c r="K6" s="7">
        <f>316741/121000*K2</f>
        <v>183238.59504132232</v>
      </c>
      <c r="L6" s="7"/>
      <c r="M6" s="7"/>
      <c r="N6" s="7"/>
      <c r="O6" s="7"/>
    </row>
    <row r="7" spans="5:15" x14ac:dyDescent="0.3">
      <c r="E7" s="6" t="s">
        <v>76</v>
      </c>
      <c r="F7" s="7">
        <v>-33.33</v>
      </c>
      <c r="G7" s="7">
        <f t="shared" ref="G7:G10" si="0">H7/12</f>
        <v>-72.214999999999989</v>
      </c>
      <c r="H7" s="5">
        <f t="shared" ref="H7:H10" si="1">F7*26</f>
        <v>-866.57999999999993</v>
      </c>
      <c r="I7" s="5"/>
      <c r="J7" s="6" t="s">
        <v>77</v>
      </c>
      <c r="K7" s="1">
        <f>K2/42736*114000</f>
        <v>186727.81729689255</v>
      </c>
      <c r="L7" s="7"/>
    </row>
    <row r="8" spans="5:15" x14ac:dyDescent="0.3">
      <c r="E8" s="6" t="s">
        <v>78</v>
      </c>
      <c r="F8" s="7">
        <v>-11.54</v>
      </c>
      <c r="G8" s="7">
        <f t="shared" si="0"/>
        <v>-25.00333333333333</v>
      </c>
      <c r="H8" s="5">
        <f t="shared" si="1"/>
        <v>-300.03999999999996</v>
      </c>
      <c r="I8" s="5"/>
      <c r="L8" s="7"/>
    </row>
    <row r="9" spans="5:15" x14ac:dyDescent="0.3">
      <c r="E9" s="6" t="s">
        <v>79</v>
      </c>
      <c r="F9" s="7">
        <v>-6.38</v>
      </c>
      <c r="G9" s="7">
        <f t="shared" si="0"/>
        <v>-13.823333333333332</v>
      </c>
      <c r="H9" s="5">
        <f t="shared" si="1"/>
        <v>-165.88</v>
      </c>
      <c r="I9" s="5"/>
      <c r="L9" s="7"/>
    </row>
    <row r="10" spans="5:15" x14ac:dyDescent="0.3">
      <c r="E10" s="6" t="s">
        <v>80</v>
      </c>
      <c r="F10" s="7">
        <v>-3.46</v>
      </c>
      <c r="G10" s="7">
        <f t="shared" si="0"/>
        <v>-7.4966666666666661</v>
      </c>
      <c r="H10" s="5">
        <f t="shared" si="1"/>
        <v>-89.96</v>
      </c>
      <c r="I10" s="5"/>
      <c r="L10" s="7"/>
    </row>
    <row r="11" spans="5:15" x14ac:dyDescent="0.3">
      <c r="H11" s="5"/>
      <c r="I11" s="5"/>
      <c r="K11" s="3" t="s">
        <v>166</v>
      </c>
      <c r="L11" s="3" t="s">
        <v>167</v>
      </c>
      <c r="N11" s="3" t="s">
        <v>81</v>
      </c>
      <c r="O11" s="3" t="s">
        <v>82</v>
      </c>
    </row>
    <row r="12" spans="5:15" x14ac:dyDescent="0.3">
      <c r="E12" s="6" t="s">
        <v>83</v>
      </c>
      <c r="F12" s="7">
        <f>H12/26</f>
        <v>0</v>
      </c>
      <c r="G12" s="7">
        <f>H12/12</f>
        <v>0</v>
      </c>
      <c r="H12" s="7">
        <v>0</v>
      </c>
      <c r="I12" s="5"/>
      <c r="J12" s="6" t="s">
        <v>84</v>
      </c>
      <c r="K12" s="8">
        <v>16416</v>
      </c>
      <c r="L12" s="8">
        <v>16416</v>
      </c>
      <c r="N12" s="1">
        <v>1883.02</v>
      </c>
      <c r="O12" s="1">
        <v>703.67</v>
      </c>
    </row>
    <row r="13" spans="5:15" x14ac:dyDescent="0.3">
      <c r="H13" s="5"/>
      <c r="I13" s="5"/>
      <c r="J13" s="6" t="s">
        <v>85</v>
      </c>
      <c r="K13" s="8">
        <v>21000.06</v>
      </c>
      <c r="L13" s="1">
        <v>20346.57</v>
      </c>
      <c r="N13" s="1">
        <v>710.17</v>
      </c>
      <c r="O13" s="1">
        <f>112+265.44</f>
        <v>377.44</v>
      </c>
    </row>
    <row r="14" spans="5:15" x14ac:dyDescent="0.3">
      <c r="E14" s="6" t="s">
        <v>86</v>
      </c>
      <c r="F14" s="7">
        <f>F3+F4+F7+F8+F9</f>
        <v>2718.6000000000004</v>
      </c>
      <c r="G14" s="7">
        <f t="shared" ref="G14:H14" si="2">G3+G4+G7+G8+G9</f>
        <v>5890.28</v>
      </c>
      <c r="H14" s="7">
        <f t="shared" si="2"/>
        <v>70683.360000000001</v>
      </c>
      <c r="I14" s="5"/>
      <c r="J14" s="6" t="s">
        <v>85</v>
      </c>
      <c r="K14" s="7">
        <f>2769.24*9</f>
        <v>24923.159999999996</v>
      </c>
      <c r="N14" s="1">
        <f>307.15*13</f>
        <v>3992.95</v>
      </c>
      <c r="O14" s="1">
        <f>(34+121.26)*13</f>
        <v>2018.3799999999999</v>
      </c>
    </row>
    <row r="15" spans="5:15" x14ac:dyDescent="0.3">
      <c r="E15" s="6" t="s">
        <v>87</v>
      </c>
      <c r="F15" s="7">
        <f>F14+F6-F12</f>
        <v>2663.2100000000005</v>
      </c>
      <c r="G15" s="7">
        <f t="shared" ref="G15:H15" si="3">G14+G6-G12</f>
        <v>5770.2683333333334</v>
      </c>
      <c r="H15" s="7">
        <f t="shared" si="3"/>
        <v>69243.22</v>
      </c>
      <c r="I15" s="5"/>
      <c r="J15" s="6" t="s">
        <v>88</v>
      </c>
      <c r="K15" s="1">
        <f>(55.39+33.33)*13+110.78+66.66</f>
        <v>1330.8</v>
      </c>
    </row>
    <row r="16" spans="5:15" x14ac:dyDescent="0.3">
      <c r="J16" s="6" t="s">
        <v>89</v>
      </c>
      <c r="K16" s="7">
        <f>SUM(K12:K14)</f>
        <v>62339.219999999994</v>
      </c>
      <c r="N16" s="1">
        <f>SUM(N12:N14)</f>
        <v>6586.1399999999994</v>
      </c>
      <c r="O16" s="1">
        <f>SUM(O12:O14)</f>
        <v>3099.49</v>
      </c>
    </row>
    <row r="17" spans="2:13" x14ac:dyDescent="0.3">
      <c r="B17" s="9">
        <f>ABS(F17/$F$3)</f>
        <v>0.11113057429114127</v>
      </c>
      <c r="C17" s="9">
        <v>0.115555</v>
      </c>
      <c r="D17" s="9">
        <f>IF(K16&gt;523601, ((K16-523600)*0.37+157804.25)/K16, IF(K16&gt;209426, ((K16-209425)*0.35+47843)/K16, IF(K16&gt;164926, ((K16-164925)*0.32+33603)/K16, IF(K16&gt;86376, ((K16-86375)*0.24+14751)/K16, IF(K16&gt;40526, ((K16-40525)*0.22+4664)/K16, IF(K16&gt;9951, ((K16-9950)*0.12+995)/K16, IF(K16&gt;0, ((K16-0)*0.1+0)/K16, 0)))))))</f>
        <v>0.15180055830021613</v>
      </c>
      <c r="E17" s="6" t="s">
        <v>90</v>
      </c>
      <c r="F17" s="7">
        <f>F15*$C$17*(-1)</f>
        <v>-307.74723155000009</v>
      </c>
      <c r="G17" s="7">
        <f t="shared" ref="G17:H17" si="4">G15*$C$17*(-1)</f>
        <v>-666.78335725833335</v>
      </c>
      <c r="H17" s="7">
        <f t="shared" si="4"/>
        <v>-8001.4002871000002</v>
      </c>
      <c r="I17" s="7"/>
    </row>
    <row r="18" spans="2:13" x14ac:dyDescent="0.3">
      <c r="B18" s="9">
        <f>ABS(F18/$F$3)</f>
        <v>4.1820138377316511E-2</v>
      </c>
      <c r="C18" s="9">
        <f>115.81/F15</f>
        <v>4.3485117583667819E-2</v>
      </c>
      <c r="D18" s="9">
        <f>IF(K16&gt;625370, ((K16-625369)*0.123+60789.92)/K16, IF(K16&gt;375222, ((K16-375221)*0.113+32523.2)/K16, IF(K16&gt;312687, ((K16-312686)*0.103+26082.09)/K16, IF(K16&gt;61215, ((K16-61214)*0.093+2695.19)/K16, IF(K16&gt;48436, ((K16-48435)*0.08+1672.87)/K16, IF(K16&gt;34893, ((K16-34892)*0.06+860.29)/K16, IF(K16&gt;22108, ((K16-22107)*0.04+348.89)/K16, IF(K16&gt;9326, ((K16-9325)*0.02+98.25)/K16, IF(K16&gt;0, ((K16-0)*0.01+0)/K16, )))))))))</f>
        <v>4.4912904909621895E-2</v>
      </c>
      <c r="E18" s="6" t="s">
        <v>91</v>
      </c>
      <c r="F18" s="7">
        <f>F15*$C$18*(-1)</f>
        <v>-115.80999999999999</v>
      </c>
      <c r="G18" s="7">
        <f t="shared" ref="G18:H18" si="5">G15*$C$18*(-1)</f>
        <v>-250.92079696431495</v>
      </c>
      <c r="H18" s="7">
        <f t="shared" si="5"/>
        <v>-3011.0495635717793</v>
      </c>
      <c r="I18" s="7"/>
      <c r="K18" s="1"/>
      <c r="M18" s="1"/>
    </row>
    <row r="19" spans="2:13" x14ac:dyDescent="0.3">
      <c r="B19" s="9">
        <f>ABS(F19/$F$3)</f>
        <v>6.086623044589852E-2</v>
      </c>
      <c r="C19" s="9">
        <v>6.2E-2</v>
      </c>
      <c r="D19" s="9">
        <v>6.2E-2</v>
      </c>
      <c r="E19" s="6" t="s">
        <v>92</v>
      </c>
      <c r="F19" s="7">
        <f>F14*$D$19*(-1)</f>
        <v>-168.55320000000003</v>
      </c>
      <c r="G19" s="7">
        <f t="shared" ref="G19:H19" si="6">G14*$D$19*(-1)</f>
        <v>-365.19736</v>
      </c>
      <c r="H19" s="7">
        <f t="shared" si="6"/>
        <v>-4382.3683199999996</v>
      </c>
      <c r="I19" s="7"/>
    </row>
    <row r="20" spans="2:13" x14ac:dyDescent="0.3">
      <c r="B20" s="9">
        <f>ABS(F20/$F$3)</f>
        <v>1.4234844217185943E-2</v>
      </c>
      <c r="C20" s="9">
        <v>1.4500000000000001E-2</v>
      </c>
      <c r="D20" s="9">
        <v>1.4500000000000001E-2</v>
      </c>
      <c r="E20" s="6" t="s">
        <v>93</v>
      </c>
      <c r="F20" s="7">
        <f>F14*$D$20*(-1)</f>
        <v>-39.419700000000006</v>
      </c>
      <c r="G20" s="7">
        <f t="shared" ref="G20:H20" si="7">G14*$D$20*(-1)</f>
        <v>-85.409059999999997</v>
      </c>
      <c r="H20" s="7">
        <f t="shared" si="7"/>
        <v>-1024.9087200000001</v>
      </c>
      <c r="I20" s="7"/>
    </row>
    <row r="21" spans="2:13" x14ac:dyDescent="0.3">
      <c r="B21" s="9"/>
      <c r="C21" s="9"/>
    </row>
    <row r="22" spans="2:13" x14ac:dyDescent="0.3">
      <c r="B22" s="9">
        <f>ABS((F3-F22)/$F$3)</f>
        <v>0.26780998813753937</v>
      </c>
      <c r="C22" s="9">
        <f>ABS((F3-F22)/$F$3)</f>
        <v>0.26780998813753937</v>
      </c>
      <c r="E22" s="6" t="s">
        <v>94</v>
      </c>
      <c r="F22" s="7">
        <f>F3+F6+F7+F8+F9+F10+F17+F18+F19+F20</f>
        <v>2027.6098684500007</v>
      </c>
      <c r="G22" s="7">
        <f>G3+G6+G7+G8+G9+G10+G17+G18+G19+G20</f>
        <v>4393.1394257773518</v>
      </c>
      <c r="H22" s="7">
        <f t="shared" ref="H22" si="8">H3+H6+H7+H8+H9+H10+H17+H18+H19+H20</f>
        <v>52717.673109328214</v>
      </c>
      <c r="I22" s="7"/>
      <c r="J22" s="7">
        <f>SUM(F24:F37)</f>
        <v>-1113.9907692307693</v>
      </c>
      <c r="K22" s="7">
        <f>SUM(G24:G37)</f>
        <v>-2413.6466666666665</v>
      </c>
    </row>
    <row r="23" spans="2:13" x14ac:dyDescent="0.3">
      <c r="J23" s="7">
        <f>F27+F28</f>
        <v>-65.376923076923077</v>
      </c>
      <c r="K23" s="7">
        <f>G27+G28</f>
        <v>-141.65</v>
      </c>
    </row>
    <row r="24" spans="2:13" x14ac:dyDescent="0.3">
      <c r="E24" s="6" t="s">
        <v>63</v>
      </c>
      <c r="F24" s="7">
        <f>H24/26</f>
        <v>-383.07692307692309</v>
      </c>
      <c r="G24" s="7">
        <v>-830</v>
      </c>
      <c r="H24" s="5">
        <f>G24*12</f>
        <v>-9960</v>
      </c>
      <c r="I24" s="5"/>
      <c r="J24" s="7">
        <f>J22-J23</f>
        <v>-1048.6138461538462</v>
      </c>
      <c r="K24" s="7">
        <f>K22-K23</f>
        <v>-2271.9966666666664</v>
      </c>
      <c r="L24" s="1"/>
    </row>
    <row r="25" spans="2:13" x14ac:dyDescent="0.3">
      <c r="E25" s="6" t="s">
        <v>95</v>
      </c>
      <c r="F25" s="7">
        <f t="shared" ref="F25:F37" si="9">H25/26</f>
        <v>0</v>
      </c>
      <c r="G25" s="7">
        <v>0</v>
      </c>
      <c r="H25" s="5">
        <f t="shared" ref="H25:H30" si="10">G25*12</f>
        <v>0</v>
      </c>
      <c r="I25" s="5"/>
      <c r="J25" s="7">
        <f>J24-F24</f>
        <v>-665.53692307692313</v>
      </c>
      <c r="K25" s="7">
        <f>K24-G24</f>
        <v>-1441.9966666666664</v>
      </c>
    </row>
    <row r="26" spans="2:13" x14ac:dyDescent="0.3">
      <c r="E26" s="6" t="s">
        <v>61</v>
      </c>
      <c r="F26" s="7">
        <f t="shared" si="9"/>
        <v>-184.61538461538461</v>
      </c>
      <c r="G26" s="7">
        <v>-400</v>
      </c>
      <c r="H26" s="5">
        <f t="shared" si="10"/>
        <v>-4800</v>
      </c>
      <c r="I26" s="5"/>
      <c r="J26" s="7">
        <f>F22+J24+J23</f>
        <v>913.61909921923143</v>
      </c>
      <c r="K26" s="7">
        <f>G22+K24+K23</f>
        <v>1979.4927591106853</v>
      </c>
    </row>
    <row r="27" spans="2:13" x14ac:dyDescent="0.3">
      <c r="E27" s="6" t="s">
        <v>96</v>
      </c>
      <c r="F27" s="7">
        <f t="shared" si="9"/>
        <v>-19.223076923076921</v>
      </c>
      <c r="G27" s="7">
        <f>(-249.9)/6</f>
        <v>-41.65</v>
      </c>
      <c r="H27" s="5">
        <f t="shared" si="10"/>
        <v>-499.79999999999995</v>
      </c>
      <c r="I27" s="5"/>
    </row>
    <row r="28" spans="2:13" x14ac:dyDescent="0.3">
      <c r="E28" s="6" t="s">
        <v>97</v>
      </c>
      <c r="F28" s="7">
        <f t="shared" si="9"/>
        <v>-46.153846153846153</v>
      </c>
      <c r="G28" s="7">
        <v>-100</v>
      </c>
      <c r="H28" s="5">
        <f t="shared" si="10"/>
        <v>-1200</v>
      </c>
      <c r="I28" s="5"/>
      <c r="K28" s="1"/>
    </row>
    <row r="29" spans="2:13" x14ac:dyDescent="0.3">
      <c r="E29" s="6" t="s">
        <v>65</v>
      </c>
      <c r="F29" s="7">
        <f t="shared" si="9"/>
        <v>-43.306153846153848</v>
      </c>
      <c r="G29" s="7">
        <v>-93.83</v>
      </c>
      <c r="H29" s="5">
        <f t="shared" si="10"/>
        <v>-1125.96</v>
      </c>
      <c r="I29" s="5"/>
    </row>
    <row r="30" spans="2:13" x14ac:dyDescent="0.3">
      <c r="E30" s="6" t="s">
        <v>98</v>
      </c>
      <c r="F30" s="7">
        <f t="shared" si="9"/>
        <v>-39.230769230769234</v>
      </c>
      <c r="G30" s="7">
        <v>-85</v>
      </c>
      <c r="H30" s="5">
        <f t="shared" si="10"/>
        <v>-1020</v>
      </c>
      <c r="I30" s="5"/>
      <c r="J30" s="7"/>
    </row>
    <row r="31" spans="2:13" x14ac:dyDescent="0.3">
      <c r="E31" s="6" t="s">
        <v>253</v>
      </c>
      <c r="F31" s="7">
        <f>H31/26</f>
        <v>-12.461538461538462</v>
      </c>
      <c r="G31" s="7">
        <v>-27</v>
      </c>
      <c r="H31" s="5">
        <f t="shared" ref="H31:H37" si="11">G31*12</f>
        <v>-324</v>
      </c>
      <c r="I31" s="5"/>
      <c r="J31" s="7"/>
    </row>
    <row r="32" spans="2:13" x14ac:dyDescent="0.3">
      <c r="E32" s="6" t="s">
        <v>254</v>
      </c>
      <c r="F32" s="7">
        <v>-88</v>
      </c>
      <c r="G32" s="7">
        <f>H32/12</f>
        <v>-190.66666666666666</v>
      </c>
      <c r="H32" s="5">
        <f>F32*26</f>
        <v>-2288</v>
      </c>
      <c r="I32" s="5"/>
      <c r="J32" s="7"/>
    </row>
    <row r="33" spans="4:10" x14ac:dyDescent="0.3">
      <c r="E33" s="6" t="s">
        <v>257</v>
      </c>
      <c r="F33" s="7">
        <f>H33/26</f>
        <v>0</v>
      </c>
      <c r="G33" s="7">
        <v>0</v>
      </c>
      <c r="H33" s="5">
        <f t="shared" si="11"/>
        <v>0</v>
      </c>
      <c r="I33" s="5"/>
    </row>
    <row r="34" spans="4:10" x14ac:dyDescent="0.3">
      <c r="E34" s="6" t="s">
        <v>255</v>
      </c>
      <c r="F34" s="7">
        <f t="shared" ref="F34:F36" si="12">H34/26</f>
        <v>-3.4615384615384617</v>
      </c>
      <c r="G34" s="7">
        <v>-7.5</v>
      </c>
      <c r="H34" s="5">
        <f t="shared" si="11"/>
        <v>-90</v>
      </c>
      <c r="I34" s="5"/>
    </row>
    <row r="35" spans="4:10" x14ac:dyDescent="0.3">
      <c r="E35" s="6" t="s">
        <v>256</v>
      </c>
      <c r="F35" s="7">
        <f t="shared" si="12"/>
        <v>-17.53846153846154</v>
      </c>
      <c r="G35" s="7">
        <v>-38</v>
      </c>
      <c r="H35" s="5">
        <f t="shared" si="11"/>
        <v>-456</v>
      </c>
      <c r="I35" s="5"/>
    </row>
    <row r="36" spans="4:10" x14ac:dyDescent="0.3">
      <c r="E36" s="6" t="s">
        <v>258</v>
      </c>
      <c r="F36" s="7">
        <f t="shared" si="12"/>
        <v>0</v>
      </c>
      <c r="G36" s="7">
        <v>0</v>
      </c>
      <c r="H36" s="5">
        <f t="shared" si="11"/>
        <v>0</v>
      </c>
      <c r="I36" s="5"/>
    </row>
    <row r="37" spans="4:10" x14ac:dyDescent="0.3">
      <c r="E37" s="6" t="s">
        <v>99</v>
      </c>
      <c r="F37" s="7">
        <f t="shared" si="9"/>
        <v>-276.92307692307691</v>
      </c>
      <c r="G37" s="7">
        <v>-600</v>
      </c>
      <c r="H37" s="5">
        <f t="shared" si="11"/>
        <v>-7200</v>
      </c>
      <c r="I37" s="5"/>
      <c r="J37" s="7"/>
    </row>
    <row r="38" spans="4:10" x14ac:dyDescent="0.3">
      <c r="H38" s="5"/>
      <c r="I38" s="5"/>
    </row>
    <row r="39" spans="4:10" x14ac:dyDescent="0.3">
      <c r="E39" s="6" t="s">
        <v>100</v>
      </c>
      <c r="F39" s="7">
        <f>SUM(F22:F37)</f>
        <v>913.61909921923143</v>
      </c>
      <c r="G39" s="7">
        <f>SUM(G22:G37)</f>
        <v>1979.4927591106853</v>
      </c>
      <c r="H39" s="7">
        <f>SUM(H22:H37)</f>
        <v>23753.913109328212</v>
      </c>
      <c r="I39" s="7"/>
      <c r="J39" s="7"/>
    </row>
    <row r="40" spans="4:10" x14ac:dyDescent="0.3">
      <c r="E40" s="6" t="s">
        <v>101</v>
      </c>
      <c r="F40" s="7">
        <f>H40/26</f>
        <v>138.46153846153845</v>
      </c>
      <c r="G40" s="7">
        <f>H40/12</f>
        <v>300</v>
      </c>
      <c r="H40" s="7">
        <f>H3*5/100</f>
        <v>3600</v>
      </c>
      <c r="I40" s="7"/>
    </row>
    <row r="41" spans="4:10" x14ac:dyDescent="0.3">
      <c r="E41" s="6" t="s">
        <v>102</v>
      </c>
      <c r="F41" s="7">
        <f t="shared" ref="F41:G41" si="13">F39+F40</f>
        <v>1052.08063768077</v>
      </c>
      <c r="G41" s="7">
        <f t="shared" si="13"/>
        <v>2279.4927591106853</v>
      </c>
      <c r="H41" s="7">
        <f>H39+H40</f>
        <v>27353.913109328212</v>
      </c>
      <c r="I41" s="7"/>
    </row>
    <row r="42" spans="4:10" x14ac:dyDescent="0.3">
      <c r="E42" s="6" t="s">
        <v>89</v>
      </c>
      <c r="F42" s="7">
        <f>F41-F6</f>
        <v>1107.4706376807701</v>
      </c>
      <c r="G42" s="7">
        <f t="shared" ref="G42" si="14">G41-G6</f>
        <v>2399.504425777352</v>
      </c>
      <c r="H42" s="7">
        <f>H41-H6</f>
        <v>28794.053109328212</v>
      </c>
      <c r="I42" s="5"/>
    </row>
    <row r="43" spans="4:10" x14ac:dyDescent="0.3">
      <c r="D43" s="10"/>
      <c r="H43" s="7"/>
      <c r="I43" s="7"/>
    </row>
    <row r="45" spans="4:10" x14ac:dyDescent="0.3">
      <c r="H45" s="5"/>
      <c r="I45" s="5"/>
    </row>
    <row r="46" spans="4:10" x14ac:dyDescent="0.3">
      <c r="H46" s="5"/>
    </row>
    <row r="47" spans="4:10" x14ac:dyDescent="0.3">
      <c r="H47" s="5"/>
    </row>
    <row r="48" spans="4:10" x14ac:dyDescent="0.3">
      <c r="H4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A22C-F397-4537-8391-C83CE5FA8571}">
  <dimension ref="B1:S42"/>
  <sheetViews>
    <sheetView topLeftCell="E1" zoomScaleNormal="100" workbookViewId="0">
      <selection activeCell="G32" sqref="G32"/>
    </sheetView>
  </sheetViews>
  <sheetFormatPr defaultRowHeight="14.4" x14ac:dyDescent="0.3"/>
  <cols>
    <col min="1" max="1" width="5" customWidth="1"/>
    <col min="2" max="3" width="8.44140625" customWidth="1"/>
    <col min="4" max="4" width="8.44140625" style="3" customWidth="1"/>
    <col min="5" max="5" width="34.77734375" style="6" bestFit="1" customWidth="1"/>
    <col min="6" max="7" width="12.5546875" style="7" customWidth="1"/>
    <col min="8" max="8" width="13.44140625" style="3" bestFit="1" customWidth="1"/>
    <col min="9" max="9" width="9.6640625" style="3" customWidth="1"/>
    <col min="10" max="12" width="12.5546875" style="3" customWidth="1"/>
    <col min="13" max="13" width="9.6640625" style="3" customWidth="1"/>
    <col min="14" max="14" width="13.21875" style="6" customWidth="1"/>
    <col min="15" max="15" width="13.77734375" customWidth="1"/>
    <col min="17" max="18" width="10.44140625" bestFit="1" customWidth="1"/>
  </cols>
  <sheetData>
    <row r="1" spans="5:19" x14ac:dyDescent="0.3">
      <c r="F1" s="6"/>
      <c r="G1" s="6"/>
    </row>
    <row r="2" spans="5:19" x14ac:dyDescent="0.3">
      <c r="F2" s="3" t="s">
        <v>67</v>
      </c>
      <c r="G2" s="3" t="s">
        <v>68</v>
      </c>
      <c r="H2" s="3" t="s">
        <v>69</v>
      </c>
      <c r="J2" s="3" t="s">
        <v>67</v>
      </c>
      <c r="K2" s="3" t="s">
        <v>68</v>
      </c>
      <c r="L2" s="3" t="s">
        <v>69</v>
      </c>
      <c r="N2" s="6" t="s">
        <v>66</v>
      </c>
      <c r="O2" s="7">
        <v>70000</v>
      </c>
      <c r="S2" s="7"/>
    </row>
    <row r="3" spans="5:19" x14ac:dyDescent="0.3">
      <c r="E3" s="6" t="s">
        <v>70</v>
      </c>
      <c r="F3" s="7">
        <f>ROUNDUP(H3/26, 2)</f>
        <v>2769.2400000000002</v>
      </c>
      <c r="G3" s="7">
        <f>H3/12</f>
        <v>6000</v>
      </c>
      <c r="H3" s="5">
        <v>72000</v>
      </c>
      <c r="I3" s="5"/>
      <c r="J3" s="7">
        <f>ROUNDUP(L3/26, 2)</f>
        <v>2769.2400000000002</v>
      </c>
      <c r="K3" s="7">
        <f>L3/12</f>
        <v>6000</v>
      </c>
      <c r="L3" s="5">
        <f>H3</f>
        <v>72000</v>
      </c>
      <c r="M3" s="5"/>
      <c r="N3" s="6" t="s">
        <v>71</v>
      </c>
      <c r="O3" s="7">
        <f>90000/65804*O2</f>
        <v>95738.860859522218</v>
      </c>
      <c r="S3" s="7"/>
    </row>
    <row r="4" spans="5:19" x14ac:dyDescent="0.3">
      <c r="E4" s="6" t="s">
        <v>72</v>
      </c>
      <c r="F4" s="7">
        <v>0.61</v>
      </c>
      <c r="G4" s="7">
        <f>H4/12</f>
        <v>1.3216666666666665</v>
      </c>
      <c r="H4" s="5">
        <f>F4*26</f>
        <v>15.86</v>
      </c>
      <c r="I4" s="5"/>
      <c r="J4" s="7">
        <v>0.61</v>
      </c>
      <c r="K4" s="7">
        <f>L4/12</f>
        <v>1.3216666666666665</v>
      </c>
      <c r="L4" s="5">
        <f>J4*26</f>
        <v>15.86</v>
      </c>
      <c r="M4" s="5"/>
      <c r="O4" s="7"/>
      <c r="Q4" s="7"/>
      <c r="R4" s="7"/>
      <c r="S4" s="7"/>
    </row>
    <row r="5" spans="5:19" x14ac:dyDescent="0.3">
      <c r="J5" s="7"/>
      <c r="K5" s="7"/>
      <c r="N5" s="6" t="s">
        <v>73</v>
      </c>
      <c r="O5" s="7">
        <f>85000/145913*O6</f>
        <v>106743.61145691197</v>
      </c>
      <c r="Q5" s="7"/>
      <c r="R5" s="7"/>
      <c r="S5" s="7"/>
    </row>
    <row r="6" spans="5:19" x14ac:dyDescent="0.3">
      <c r="E6" s="6" t="s">
        <v>74</v>
      </c>
      <c r="F6" s="7">
        <f>ROUNDUP(-2/100*F3,2)</f>
        <v>-55.39</v>
      </c>
      <c r="G6" s="7">
        <f>H6/12</f>
        <v>-120.01166666666667</v>
      </c>
      <c r="H6" s="5">
        <f>F6*26</f>
        <v>-1440.14</v>
      </c>
      <c r="I6" s="5"/>
      <c r="J6" s="7">
        <f>ROUNDUP(-2/100*J3,2)</f>
        <v>-55.39</v>
      </c>
      <c r="K6" s="7">
        <f>L6/12</f>
        <v>-120.01166666666667</v>
      </c>
      <c r="L6" s="5">
        <f>J6*26</f>
        <v>-1440.14</v>
      </c>
      <c r="M6" s="5"/>
      <c r="N6" s="6" t="s">
        <v>75</v>
      </c>
      <c r="O6" s="7">
        <f>316741/121000*O2</f>
        <v>183238.59504132232</v>
      </c>
      <c r="P6" s="7"/>
      <c r="Q6" s="7"/>
      <c r="R6" s="7"/>
      <c r="S6" s="7"/>
    </row>
    <row r="7" spans="5:19" x14ac:dyDescent="0.3">
      <c r="E7" s="6" t="s">
        <v>76</v>
      </c>
      <c r="F7" s="7">
        <v>-33.33</v>
      </c>
      <c r="G7" s="7">
        <f t="shared" ref="G7:G10" si="0">H7/12</f>
        <v>-72.214999999999989</v>
      </c>
      <c r="H7" s="5">
        <f t="shared" ref="H7:H10" si="1">F7*26</f>
        <v>-866.57999999999993</v>
      </c>
      <c r="I7" s="5"/>
      <c r="J7" s="7">
        <v>-33.33</v>
      </c>
      <c r="K7" s="7">
        <f t="shared" ref="K7:K10" si="2">L7/12</f>
        <v>-72.214999999999989</v>
      </c>
      <c r="L7" s="5">
        <f t="shared" ref="L7:L10" si="3">J7*26</f>
        <v>-866.57999999999993</v>
      </c>
      <c r="M7" s="5"/>
      <c r="N7" s="6" t="s">
        <v>77</v>
      </c>
      <c r="O7" s="1">
        <f>O2/42736*114000</f>
        <v>186727.81729689255</v>
      </c>
      <c r="P7" s="7"/>
    </row>
    <row r="8" spans="5:19" x14ac:dyDescent="0.3">
      <c r="E8" s="6" t="s">
        <v>78</v>
      </c>
      <c r="F8" s="7">
        <v>-11.54</v>
      </c>
      <c r="G8" s="7">
        <f t="shared" si="0"/>
        <v>-25.00333333333333</v>
      </c>
      <c r="H8" s="5">
        <f t="shared" si="1"/>
        <v>-300.03999999999996</v>
      </c>
      <c r="I8" s="5"/>
      <c r="J8" s="7">
        <v>-11.54</v>
      </c>
      <c r="K8" s="7">
        <f t="shared" si="2"/>
        <v>-25.00333333333333</v>
      </c>
      <c r="L8" s="5">
        <f t="shared" si="3"/>
        <v>-300.03999999999996</v>
      </c>
      <c r="M8" s="5"/>
      <c r="P8" s="7"/>
    </row>
    <row r="9" spans="5:19" x14ac:dyDescent="0.3">
      <c r="E9" s="6" t="s">
        <v>79</v>
      </c>
      <c r="F9" s="7">
        <v>-6.38</v>
      </c>
      <c r="G9" s="7">
        <f t="shared" si="0"/>
        <v>-13.823333333333332</v>
      </c>
      <c r="H9" s="5">
        <f t="shared" si="1"/>
        <v>-165.88</v>
      </c>
      <c r="I9" s="5"/>
      <c r="J9" s="7">
        <v>-6.38</v>
      </c>
      <c r="K9" s="7">
        <f t="shared" si="2"/>
        <v>-13.823333333333332</v>
      </c>
      <c r="L9" s="5">
        <f t="shared" si="3"/>
        <v>-165.88</v>
      </c>
      <c r="M9" s="5"/>
      <c r="P9" s="7"/>
    </row>
    <row r="10" spans="5:19" x14ac:dyDescent="0.3">
      <c r="E10" s="6" t="s">
        <v>80</v>
      </c>
      <c r="F10" s="7">
        <v>-3.46</v>
      </c>
      <c r="G10" s="7">
        <f t="shared" si="0"/>
        <v>-7.4966666666666661</v>
      </c>
      <c r="H10" s="5">
        <f t="shared" si="1"/>
        <v>-89.96</v>
      </c>
      <c r="I10" s="5"/>
      <c r="J10" s="7">
        <v>-3.46</v>
      </c>
      <c r="K10" s="7">
        <f t="shared" si="2"/>
        <v>-7.4966666666666661</v>
      </c>
      <c r="L10" s="5">
        <f t="shared" si="3"/>
        <v>-89.96</v>
      </c>
      <c r="M10" s="5"/>
      <c r="P10" s="7"/>
    </row>
    <row r="11" spans="5:19" x14ac:dyDescent="0.3">
      <c r="H11" s="5"/>
      <c r="I11" s="5"/>
      <c r="J11" s="7"/>
      <c r="K11" s="7"/>
      <c r="L11" s="5"/>
      <c r="M11" s="5"/>
      <c r="Q11" s="3" t="s">
        <v>81</v>
      </c>
      <c r="R11" s="3" t="s">
        <v>82</v>
      </c>
    </row>
    <row r="12" spans="5:19" x14ac:dyDescent="0.3">
      <c r="E12" s="6" t="s">
        <v>83</v>
      </c>
      <c r="F12" s="7">
        <f>H12/26</f>
        <v>0</v>
      </c>
      <c r="G12" s="7">
        <f>H12/12</f>
        <v>0</v>
      </c>
      <c r="H12" s="7">
        <v>0</v>
      </c>
      <c r="I12" s="5"/>
      <c r="J12" s="7">
        <f>L12/26</f>
        <v>0</v>
      </c>
      <c r="K12" s="7">
        <f>L12/12</f>
        <v>0</v>
      </c>
      <c r="L12" s="7">
        <v>0</v>
      </c>
      <c r="M12" s="5"/>
      <c r="N12" s="6" t="s">
        <v>84</v>
      </c>
      <c r="O12" s="8">
        <v>16416</v>
      </c>
      <c r="Q12" s="1">
        <v>1883.02</v>
      </c>
      <c r="R12" s="1">
        <v>703.67</v>
      </c>
    </row>
    <row r="13" spans="5:19" x14ac:dyDescent="0.3">
      <c r="H13" s="5"/>
      <c r="I13" s="5"/>
      <c r="J13" s="7"/>
      <c r="K13" s="7"/>
      <c r="L13" s="5"/>
      <c r="M13" s="5"/>
      <c r="N13" s="6" t="s">
        <v>85</v>
      </c>
      <c r="O13" s="8">
        <v>6923.1</v>
      </c>
      <c r="Q13" s="1">
        <v>710.17</v>
      </c>
      <c r="R13" s="1">
        <f>112+265.44</f>
        <v>377.44</v>
      </c>
    </row>
    <row r="14" spans="5:19" x14ac:dyDescent="0.3">
      <c r="E14" s="6" t="s">
        <v>86</v>
      </c>
      <c r="F14" s="7">
        <f>F3+F4+F7+F8+F9</f>
        <v>2718.6000000000004</v>
      </c>
      <c r="G14" s="7">
        <f t="shared" ref="G14:H14" si="4">G3+G4+G7+G8+G9</f>
        <v>5890.28</v>
      </c>
      <c r="H14" s="7">
        <f t="shared" si="4"/>
        <v>70683.360000000001</v>
      </c>
      <c r="I14" s="5"/>
      <c r="J14" s="7">
        <f>J3+J4+J7+J8+J9</f>
        <v>2718.6000000000004</v>
      </c>
      <c r="K14" s="7">
        <f t="shared" ref="K14:L14" si="5">K3+K4+K7+K8+K9</f>
        <v>5890.28</v>
      </c>
      <c r="L14" s="7">
        <f t="shared" si="5"/>
        <v>70683.360000000001</v>
      </c>
      <c r="M14" s="5"/>
      <c r="N14" s="6" t="s">
        <v>85</v>
      </c>
      <c r="O14" s="7">
        <f>F3*13</f>
        <v>36000.120000000003</v>
      </c>
      <c r="Q14" s="1">
        <f>307.15*13</f>
        <v>3992.95</v>
      </c>
      <c r="R14" s="1">
        <f>(34+121.26)*13</f>
        <v>2018.3799999999999</v>
      </c>
    </row>
    <row r="15" spans="5:19" x14ac:dyDescent="0.3">
      <c r="E15" s="6" t="s">
        <v>87</v>
      </c>
      <c r="F15" s="7">
        <f>F14+F6-F12</f>
        <v>2663.2100000000005</v>
      </c>
      <c r="G15" s="7">
        <f t="shared" ref="G15:H15" si="6">G14+G6-G12</f>
        <v>5770.2683333333334</v>
      </c>
      <c r="H15" s="7">
        <f t="shared" si="6"/>
        <v>69243.22</v>
      </c>
      <c r="I15" s="5"/>
      <c r="J15" s="7">
        <f>J14+J6-J12</f>
        <v>2663.2100000000005</v>
      </c>
      <c r="K15" s="7">
        <f t="shared" ref="K15:L15" si="7">K14+K6-K12</f>
        <v>5770.2683333333334</v>
      </c>
      <c r="L15" s="7">
        <f t="shared" si="7"/>
        <v>69243.22</v>
      </c>
      <c r="M15" s="5"/>
      <c r="N15" s="6" t="s">
        <v>88</v>
      </c>
      <c r="O15" s="1">
        <f>(55.39+33.33)*13+110.78+66.66</f>
        <v>1330.8</v>
      </c>
    </row>
    <row r="16" spans="5:19" x14ac:dyDescent="0.3">
      <c r="J16" s="7"/>
      <c r="K16" s="7"/>
      <c r="N16" s="6" t="s">
        <v>89</v>
      </c>
      <c r="O16" s="7">
        <f>SUM(O12:O14)-O15-12950</f>
        <v>45058.42</v>
      </c>
      <c r="Q16" s="1">
        <f>SUM(Q12:Q14)</f>
        <v>6586.1399999999994</v>
      </c>
      <c r="R16" s="1">
        <f>SUM(R12:R14)</f>
        <v>3099.49</v>
      </c>
    </row>
    <row r="17" spans="2:17" x14ac:dyDescent="0.3">
      <c r="B17" s="9">
        <f>ABS(F17/$F$3)</f>
        <v>0.11113057429114127</v>
      </c>
      <c r="C17" s="9">
        <v>0.115555</v>
      </c>
      <c r="D17" s="9">
        <f>IF(O16&gt;523601, ((O16-523600)*0.37+157804.25)/O16, IF(O16&gt;209426, ((O16-209425)*0.35+47843)/O16, IF(O16&gt;164926, ((O16-164925)*0.32+33603)/O16, IF(O16&gt;86376, ((O16-86375)*0.24+14751)/O16, IF(O16&gt;40526, ((O16-40525)*0.22+4664)/O16, IF(O16&gt;9951, ((O16-9950)*0.12+995)/O16, IF(O16&gt;0, ((O16-0)*0.1+0)/O16, 0)))))))</f>
        <v>0.12564471634824301</v>
      </c>
      <c r="E17" s="6" t="s">
        <v>90</v>
      </c>
      <c r="F17" s="7">
        <f>F15*$C$17*(-1)</f>
        <v>-307.74723155000009</v>
      </c>
      <c r="G17" s="7">
        <f t="shared" ref="G17:H17" si="8">G15*$C$17*(-1)</f>
        <v>-666.78335725833335</v>
      </c>
      <c r="H17" s="7">
        <f t="shared" si="8"/>
        <v>-8001.4002871000002</v>
      </c>
      <c r="I17" s="7"/>
      <c r="J17" s="7">
        <f>J15*$D$17*(-1)</f>
        <v>-334.61826502580431</v>
      </c>
      <c r="K17" s="7">
        <f t="shared" ref="K17:L17" si="9">K15*$D$17*(-1)</f>
        <v>-725.00372799491561</v>
      </c>
      <c r="L17" s="7">
        <f t="shared" si="9"/>
        <v>-8700.0447359389873</v>
      </c>
      <c r="M17" s="7"/>
    </row>
    <row r="18" spans="2:17" x14ac:dyDescent="0.3">
      <c r="B18" s="9">
        <f>ABS(F18/$F$3)</f>
        <v>5.6066819701434331E-2</v>
      </c>
      <c r="C18" s="9">
        <v>5.8298999999999997E-2</v>
      </c>
      <c r="D18" s="9">
        <f>IF(O16&gt;625370, ((O16-625369)*0.123+60789.92)/O16, IF(O16&gt;375222, ((O16-375221)*0.113+32523.2)/O16, IF(O16&gt;312687, ((O16-312686)*0.103+26082.09)/O16, IF(O16&gt;61215, ((O16-61214)*0.093+2695.19)/O16, IF(O16&gt;48436, ((O16-48435)*0.08+1672.87)/O16, IF(O16&gt;34893, ((O16-34892)*0.06+860.29)/O16, IF(O16&gt;22108, ((O16-22107)*0.04+348.89)/O16, IF(O16&gt;9326, ((O16-9325)*0.02+98.25)/O16, IF(O16&gt;0, ((O16-0)*0.01+0)/O16, )))))))))</f>
        <v>3.2630420684968534E-2</v>
      </c>
      <c r="E18" s="6" t="s">
        <v>91</v>
      </c>
      <c r="F18" s="7">
        <f>F15*$C$18*(-1)</f>
        <v>-155.26247979000001</v>
      </c>
      <c r="G18" s="7">
        <f t="shared" ref="G18:H18" si="10">G15*$C$18*(-1)</f>
        <v>-336.40087356499998</v>
      </c>
      <c r="H18" s="7">
        <f t="shared" si="10"/>
        <v>-4036.8104827799998</v>
      </c>
      <c r="I18" s="7"/>
      <c r="J18" s="7">
        <f>J15*$D$18*(-1)</f>
        <v>-86.901662672415071</v>
      </c>
      <c r="K18" s="7">
        <f t="shared" ref="K18:L18" si="11">K15*$D$18*(-1)</f>
        <v>-188.2862831818189</v>
      </c>
      <c r="L18" s="7">
        <f t="shared" si="11"/>
        <v>-2259.4353981818267</v>
      </c>
      <c r="M18" s="7"/>
      <c r="O18" s="1"/>
      <c r="Q18" s="1"/>
    </row>
    <row r="19" spans="2:17" x14ac:dyDescent="0.3">
      <c r="B19" s="9">
        <f>ABS(F19/$F$3)</f>
        <v>6.086623044589852E-2</v>
      </c>
      <c r="C19" s="9">
        <v>6.2E-2</v>
      </c>
      <c r="D19" s="9">
        <v>6.2E-2</v>
      </c>
      <c r="E19" s="6" t="s">
        <v>92</v>
      </c>
      <c r="F19" s="7">
        <f>F14*$D$19*(-1)</f>
        <v>-168.55320000000003</v>
      </c>
      <c r="G19" s="7">
        <f t="shared" ref="G19:H19" si="12">G14*$D$19*(-1)</f>
        <v>-365.19736</v>
      </c>
      <c r="H19" s="7">
        <f t="shared" si="12"/>
        <v>-4382.3683199999996</v>
      </c>
      <c r="I19" s="7"/>
      <c r="J19" s="7">
        <f>J14*$D$19*(-1)</f>
        <v>-168.55320000000003</v>
      </c>
      <c r="K19" s="7">
        <f t="shared" ref="K19:L19" si="13">K14*$D$19*(-1)</f>
        <v>-365.19736</v>
      </c>
      <c r="L19" s="7">
        <f t="shared" si="13"/>
        <v>-4382.3683199999996</v>
      </c>
      <c r="M19" s="7"/>
    </row>
    <row r="20" spans="2:17" x14ac:dyDescent="0.3">
      <c r="B20" s="9">
        <f>ABS(F20/$F$3)</f>
        <v>1.4234844217185943E-2</v>
      </c>
      <c r="C20" s="9">
        <v>1.4500000000000001E-2</v>
      </c>
      <c r="D20" s="9">
        <v>1.4500000000000001E-2</v>
      </c>
      <c r="E20" s="6" t="s">
        <v>93</v>
      </c>
      <c r="F20" s="7">
        <f>F14*$D$20*(-1)</f>
        <v>-39.419700000000006</v>
      </c>
      <c r="G20" s="7">
        <f t="shared" ref="G20:H20" si="14">G14*$D$20*(-1)</f>
        <v>-85.409059999999997</v>
      </c>
      <c r="H20" s="7">
        <f t="shared" si="14"/>
        <v>-1024.9087200000001</v>
      </c>
      <c r="I20" s="7"/>
      <c r="J20" s="7">
        <f>J14*$D$20*(-1)</f>
        <v>-39.419700000000006</v>
      </c>
      <c r="K20" s="7">
        <f t="shared" ref="K20:L20" si="15">K14*$D$20*(-1)</f>
        <v>-85.409059999999997</v>
      </c>
      <c r="L20" s="7">
        <f t="shared" si="15"/>
        <v>-1024.9087200000001</v>
      </c>
      <c r="M20" s="7"/>
    </row>
    <row r="21" spans="2:17" x14ac:dyDescent="0.3">
      <c r="B21" s="9"/>
      <c r="C21" s="9"/>
      <c r="J21" s="7"/>
      <c r="K21" s="7"/>
    </row>
    <row r="22" spans="2:17" x14ac:dyDescent="0.3">
      <c r="B22" s="9">
        <f>ABS((F3-F22)/$F$3)</f>
        <v>0.28205666946165719</v>
      </c>
      <c r="C22" s="9">
        <f>ABS((F3-F22)/$F$3)</f>
        <v>0.28205666946165719</v>
      </c>
      <c r="E22" s="6" t="s">
        <v>94</v>
      </c>
      <c r="F22" s="7">
        <f>F3+F6+F7+F8+F9+F10+F17+F18+F19+F20</f>
        <v>1988.1573886600006</v>
      </c>
      <c r="G22" s="7">
        <f t="shared" ref="G22:H22" si="16">G3+G6+G7+G8+G9+G10+G17+G18+G19+G20</f>
        <v>4307.6593491766671</v>
      </c>
      <c r="H22" s="7">
        <f t="shared" si="16"/>
        <v>51691.912190119998</v>
      </c>
      <c r="I22" s="7"/>
      <c r="J22" s="7">
        <f>J3+J6+J7+J8+J9+J10+J17+J18+J19+J20</f>
        <v>2029.6471723017812</v>
      </c>
      <c r="K22" s="7">
        <f t="shared" ref="K22:L22" si="17">K3+K6+K7+K8+K9+K10+K17+K18+K19+K20</f>
        <v>4397.5535688232649</v>
      </c>
      <c r="L22" s="7">
        <f t="shared" si="17"/>
        <v>52770.642825879178</v>
      </c>
      <c r="M22" s="7"/>
      <c r="N22" s="7"/>
    </row>
    <row r="23" spans="2:17" x14ac:dyDescent="0.3">
      <c r="J23" s="7"/>
      <c r="K23" s="7"/>
    </row>
    <row r="24" spans="2:17" x14ac:dyDescent="0.3">
      <c r="E24" s="6" t="s">
        <v>63</v>
      </c>
      <c r="F24" s="7">
        <f>H24/26</f>
        <v>-383.07692307692309</v>
      </c>
      <c r="G24" s="7">
        <v>-830</v>
      </c>
      <c r="H24" s="5">
        <f>G24*12</f>
        <v>-9960</v>
      </c>
      <c r="I24" s="5"/>
      <c r="J24" s="7">
        <f>L24/26</f>
        <v>-383.07692307692309</v>
      </c>
      <c r="K24" s="7">
        <f>G24</f>
        <v>-830</v>
      </c>
      <c r="L24" s="5">
        <f>K24*12</f>
        <v>-9960</v>
      </c>
      <c r="M24" s="5"/>
    </row>
    <row r="25" spans="2:17" x14ac:dyDescent="0.3">
      <c r="E25" s="6" t="s">
        <v>95</v>
      </c>
      <c r="F25" s="7">
        <f t="shared" ref="F25:F31" si="18">H25/26</f>
        <v>0</v>
      </c>
      <c r="G25" s="7">
        <v>0</v>
      </c>
      <c r="H25" s="5">
        <f t="shared" ref="H25:H30" si="19">G25*12</f>
        <v>0</v>
      </c>
      <c r="I25" s="5"/>
      <c r="J25" s="7">
        <f t="shared" ref="J25:J31" si="20">L25/26</f>
        <v>0</v>
      </c>
      <c r="K25" s="7">
        <f t="shared" ref="K25:K31" si="21">G25</f>
        <v>0</v>
      </c>
      <c r="L25" s="5">
        <f t="shared" ref="L25:L30" si="22">K25*12</f>
        <v>0</v>
      </c>
      <c r="M25" s="5"/>
    </row>
    <row r="26" spans="2:17" x14ac:dyDescent="0.3">
      <c r="E26" s="6" t="s">
        <v>61</v>
      </c>
      <c r="F26" s="7">
        <f t="shared" si="18"/>
        <v>-138.46153846153845</v>
      </c>
      <c r="G26" s="7">
        <v>-300</v>
      </c>
      <c r="H26" s="5">
        <f t="shared" si="19"/>
        <v>-3600</v>
      </c>
      <c r="I26" s="5"/>
      <c r="J26" s="7">
        <f t="shared" si="20"/>
        <v>-138.46153846153845</v>
      </c>
      <c r="K26" s="7">
        <f t="shared" si="21"/>
        <v>-300</v>
      </c>
      <c r="L26" s="5">
        <f t="shared" si="22"/>
        <v>-3600</v>
      </c>
      <c r="M26" s="5"/>
    </row>
    <row r="27" spans="2:17" x14ac:dyDescent="0.3">
      <c r="E27" s="6" t="s">
        <v>96</v>
      </c>
      <c r="F27" s="7">
        <f t="shared" si="18"/>
        <v>-27.692307692307693</v>
      </c>
      <c r="G27" s="7">
        <v>-60</v>
      </c>
      <c r="H27" s="5">
        <f t="shared" si="19"/>
        <v>-720</v>
      </c>
      <c r="I27" s="5"/>
      <c r="J27" s="7">
        <f t="shared" si="20"/>
        <v>-27.692307692307693</v>
      </c>
      <c r="K27" s="7">
        <f t="shared" si="21"/>
        <v>-60</v>
      </c>
      <c r="L27" s="5">
        <f t="shared" si="22"/>
        <v>-720</v>
      </c>
      <c r="M27" s="5"/>
    </row>
    <row r="28" spans="2:17" x14ac:dyDescent="0.3">
      <c r="E28" s="6" t="s">
        <v>97</v>
      </c>
      <c r="F28" s="7">
        <f t="shared" si="18"/>
        <v>-23.076923076923077</v>
      </c>
      <c r="G28" s="7">
        <v>-50</v>
      </c>
      <c r="H28" s="5">
        <f t="shared" si="19"/>
        <v>-600</v>
      </c>
      <c r="I28" s="5"/>
      <c r="J28" s="7">
        <f t="shared" si="20"/>
        <v>-23.076923076923077</v>
      </c>
      <c r="K28" s="7">
        <f t="shared" si="21"/>
        <v>-50</v>
      </c>
      <c r="L28" s="5">
        <f t="shared" si="22"/>
        <v>-600</v>
      </c>
      <c r="M28" s="5"/>
    </row>
    <row r="29" spans="2:17" x14ac:dyDescent="0.3">
      <c r="E29" s="6" t="s">
        <v>65</v>
      </c>
      <c r="F29" s="7">
        <f t="shared" si="18"/>
        <v>-25.384615384615383</v>
      </c>
      <c r="G29" s="7">
        <v>-55</v>
      </c>
      <c r="H29" s="5">
        <f t="shared" si="19"/>
        <v>-660</v>
      </c>
      <c r="I29" s="5"/>
      <c r="J29" s="7">
        <f t="shared" si="20"/>
        <v>-25.384615384615383</v>
      </c>
      <c r="K29" s="7">
        <f t="shared" si="21"/>
        <v>-55</v>
      </c>
      <c r="L29" s="5">
        <f t="shared" si="22"/>
        <v>-660</v>
      </c>
      <c r="M29" s="5"/>
    </row>
    <row r="30" spans="2:17" x14ac:dyDescent="0.3">
      <c r="E30" s="6" t="s">
        <v>98</v>
      </c>
      <c r="F30" s="7">
        <f t="shared" si="18"/>
        <v>-46.153846153846153</v>
      </c>
      <c r="G30" s="7">
        <v>-100</v>
      </c>
      <c r="H30" s="5">
        <f t="shared" si="19"/>
        <v>-1200</v>
      </c>
      <c r="I30" s="5"/>
      <c r="J30" s="7">
        <f t="shared" si="20"/>
        <v>-46.153846153846153</v>
      </c>
      <c r="K30" s="7">
        <f t="shared" si="21"/>
        <v>-100</v>
      </c>
      <c r="L30" s="5">
        <f t="shared" si="22"/>
        <v>-1200</v>
      </c>
      <c r="M30" s="5"/>
    </row>
    <row r="31" spans="2:17" x14ac:dyDescent="0.3">
      <c r="E31" s="6" t="s">
        <v>99</v>
      </c>
      <c r="F31" s="7">
        <f t="shared" si="18"/>
        <v>-323.07692307692309</v>
      </c>
      <c r="G31" s="7">
        <v>-700</v>
      </c>
      <c r="H31" s="5">
        <f>G31*12</f>
        <v>-8400</v>
      </c>
      <c r="I31" s="5"/>
      <c r="J31" s="7">
        <f t="shared" si="20"/>
        <v>-323.07692307692309</v>
      </c>
      <c r="K31" s="7">
        <f t="shared" si="21"/>
        <v>-700</v>
      </c>
      <c r="L31" s="5">
        <f>K31*12</f>
        <v>-8400</v>
      </c>
      <c r="M31" s="5"/>
    </row>
    <row r="32" spans="2:17" x14ac:dyDescent="0.3">
      <c r="H32" s="5"/>
      <c r="I32" s="5"/>
      <c r="J32" s="7"/>
      <c r="K32" s="7"/>
      <c r="L32" s="5"/>
      <c r="M32" s="5"/>
    </row>
    <row r="33" spans="4:13" x14ac:dyDescent="0.3">
      <c r="E33" s="6" t="s">
        <v>100</v>
      </c>
      <c r="F33" s="7">
        <f>SUM(F22:F31)</f>
        <v>1021.2343117369235</v>
      </c>
      <c r="G33" s="7">
        <f t="shared" ref="G33:H33" si="23">SUM(G22:G31)</f>
        <v>2212.6593491766671</v>
      </c>
      <c r="H33" s="7">
        <f t="shared" si="23"/>
        <v>26551.912190119998</v>
      </c>
      <c r="I33" s="7"/>
      <c r="J33" s="7">
        <f>SUM(J22:J31)</f>
        <v>1062.7240953787043</v>
      </c>
      <c r="K33" s="7">
        <f t="shared" ref="K33:L33" si="24">SUM(K22:K31)</f>
        <v>2302.5535688232649</v>
      </c>
      <c r="L33" s="7">
        <f t="shared" si="24"/>
        <v>27630.642825879178</v>
      </c>
      <c r="M33" s="7"/>
    </row>
    <row r="34" spans="4:13" x14ac:dyDescent="0.3">
      <c r="E34" s="6" t="s">
        <v>101</v>
      </c>
      <c r="F34" s="7">
        <f>H34/26</f>
        <v>138.46153846153845</v>
      </c>
      <c r="G34" s="7">
        <f>H34/12</f>
        <v>300</v>
      </c>
      <c r="H34" s="7">
        <f>H3*5/100</f>
        <v>3600</v>
      </c>
      <c r="I34" s="7"/>
      <c r="J34" s="7">
        <f>L34/26</f>
        <v>138.46153846153845</v>
      </c>
      <c r="K34" s="7">
        <f>L34/12</f>
        <v>300</v>
      </c>
      <c r="L34" s="7">
        <f>L3*5/100</f>
        <v>3600</v>
      </c>
      <c r="M34" s="7"/>
    </row>
    <row r="35" spans="4:13" x14ac:dyDescent="0.3">
      <c r="E35" s="6" t="s">
        <v>102</v>
      </c>
      <c r="F35" s="7">
        <f t="shared" ref="F35:G35" si="25">F33+F34</f>
        <v>1159.6958501984618</v>
      </c>
      <c r="G35" s="7">
        <f t="shared" si="25"/>
        <v>2512.6593491766671</v>
      </c>
      <c r="H35" s="7">
        <f>H33+H34</f>
        <v>30151.912190119998</v>
      </c>
      <c r="I35" s="7"/>
      <c r="J35" s="7">
        <f t="shared" ref="J35:K35" si="26">J33+J34-J6</f>
        <v>1256.5756338402427</v>
      </c>
      <c r="K35" s="7">
        <f t="shared" si="26"/>
        <v>2722.5652354899316</v>
      </c>
      <c r="L35" s="7">
        <f>L33+L34-L6</f>
        <v>32670.782825879178</v>
      </c>
      <c r="M35" s="7"/>
    </row>
    <row r="36" spans="4:13" x14ac:dyDescent="0.3">
      <c r="E36" s="6" t="s">
        <v>89</v>
      </c>
      <c r="F36" s="7">
        <f>F35-F6</f>
        <v>1215.0858501984619</v>
      </c>
      <c r="G36" s="7">
        <f t="shared" ref="G36:H36" si="27">G35-G6</f>
        <v>2632.6710158433339</v>
      </c>
      <c r="H36" s="7">
        <f t="shared" si="27"/>
        <v>31592.052190119997</v>
      </c>
      <c r="I36" s="5"/>
      <c r="J36" s="5"/>
      <c r="K36" s="5"/>
      <c r="L36" s="5"/>
      <c r="M36" s="5"/>
    </row>
    <row r="37" spans="4:13" x14ac:dyDescent="0.3">
      <c r="D37" s="10"/>
      <c r="H37" s="7"/>
      <c r="I37" s="7"/>
      <c r="J37" s="7"/>
      <c r="K37" s="7"/>
      <c r="L37" s="7"/>
      <c r="M37" s="7"/>
    </row>
    <row r="39" spans="4:13" x14ac:dyDescent="0.3">
      <c r="H39" s="5"/>
      <c r="I39" s="5"/>
      <c r="J39" s="5"/>
      <c r="K39" s="5"/>
      <c r="L39" s="5"/>
      <c r="M39" s="5"/>
    </row>
    <row r="40" spans="4:13" x14ac:dyDescent="0.3">
      <c r="H40" s="5"/>
    </row>
    <row r="41" spans="4:13" x14ac:dyDescent="0.3">
      <c r="H41" s="5"/>
    </row>
    <row r="42" spans="4:13" x14ac:dyDescent="0.3">
      <c r="H4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7EDC-A644-488A-BA61-D5295468742C}">
  <dimension ref="B2:L16"/>
  <sheetViews>
    <sheetView workbookViewId="0">
      <selection activeCell="H13" sqref="H13"/>
    </sheetView>
  </sheetViews>
  <sheetFormatPr defaultRowHeight="14.4" x14ac:dyDescent="0.3"/>
  <cols>
    <col min="2" max="2" width="12.88671875" bestFit="1" customWidth="1"/>
    <col min="3" max="3" width="11.109375" style="19" bestFit="1" customWidth="1"/>
    <col min="5" max="5" width="13" customWidth="1"/>
    <col min="6" max="6" width="11.109375" style="19" bestFit="1" customWidth="1"/>
    <col min="8" max="8" width="11.109375" bestFit="1" customWidth="1"/>
    <col min="9" max="9" width="11.33203125" style="19" customWidth="1"/>
    <col min="12" max="12" width="15.6640625" bestFit="1" customWidth="1"/>
  </cols>
  <sheetData>
    <row r="2" spans="2:12" x14ac:dyDescent="0.3">
      <c r="B2" t="s">
        <v>64</v>
      </c>
      <c r="C2" s="19">
        <f>9*1150.67</f>
        <v>10356.030000000001</v>
      </c>
      <c r="E2" t="s">
        <v>272</v>
      </c>
      <c r="F2" s="19">
        <f>C6-C16</f>
        <v>11040.861538461539</v>
      </c>
      <c r="H2" t="s">
        <v>63</v>
      </c>
      <c r="I2" s="19">
        <f>-8*'Finance 2023'!F25+255.38</f>
        <v>3319.9953846153849</v>
      </c>
      <c r="L2">
        <f>7*1150+376+449-2106.57+2301.33+173*7+319*4-(273.4+130+100+49.99+72+420.66)-9000</f>
        <v>1510.7100000000009</v>
      </c>
    </row>
    <row r="3" spans="2:12" x14ac:dyDescent="0.3">
      <c r="B3" t="s">
        <v>100</v>
      </c>
      <c r="C3" s="19">
        <f>9*173.07</f>
        <v>1557.6299999999999</v>
      </c>
      <c r="E3" t="s">
        <v>273</v>
      </c>
      <c r="F3" s="19">
        <v>9000</v>
      </c>
      <c r="H3" t="s">
        <v>277</v>
      </c>
      <c r="I3" s="19">
        <f>830*4</f>
        <v>3320</v>
      </c>
      <c r="L3" s="1">
        <f>6*1150+1782.1+6*173.07+C5-C9-C10-C11-C15-F5-1000+11*1150+5000+7000+15*1150</f>
        <v>51055.921538461538</v>
      </c>
    </row>
    <row r="4" spans="2:12" x14ac:dyDescent="0.3">
      <c r="B4" t="s">
        <v>268</v>
      </c>
      <c r="C4" s="19">
        <v>639.71</v>
      </c>
      <c r="E4" t="s">
        <v>275</v>
      </c>
      <c r="F4" s="19">
        <f>79.34+120.1</f>
        <v>199.44</v>
      </c>
      <c r="I4" s="19">
        <f>I2-I3</f>
        <v>-4.6153846151355538E-3</v>
      </c>
      <c r="L4" s="1">
        <f>L3*15500</f>
        <v>791366783.84615386</v>
      </c>
    </row>
    <row r="5" spans="2:12" x14ac:dyDescent="0.3">
      <c r="B5" t="s">
        <v>267</v>
      </c>
      <c r="C5" s="19">
        <f>-SUM('Finance 2023'!F27,'Finance 2023'!F31,'Finance 2023'!F38)*4</f>
        <v>1278.4615384615386</v>
      </c>
      <c r="E5" t="s">
        <v>275</v>
      </c>
      <c r="F5" s="19">
        <f>500-F4-F6</f>
        <v>267.66000000000003</v>
      </c>
    </row>
    <row r="6" spans="2:12" x14ac:dyDescent="0.3">
      <c r="B6" t="s">
        <v>89</v>
      </c>
      <c r="C6" s="19">
        <f>SUM(C2:C5)</f>
        <v>13831.831538461538</v>
      </c>
      <c r="E6" t="s">
        <v>283</v>
      </c>
      <c r="F6" s="19">
        <v>32.9</v>
      </c>
    </row>
    <row r="7" spans="2:12" x14ac:dyDescent="0.3">
      <c r="E7" t="s">
        <v>274</v>
      </c>
      <c r="F7" s="19">
        <f>F2-F3-F4-F5-F6</f>
        <v>1540.8615384615384</v>
      </c>
    </row>
    <row r="8" spans="2:12" x14ac:dyDescent="0.3">
      <c r="B8" t="s">
        <v>269</v>
      </c>
      <c r="C8" s="22">
        <f>1622.05-19.58</f>
        <v>1602.47</v>
      </c>
      <c r="H8" s="1">
        <f>4000+29.58+1150.67*4+173.07*4+(115.38+19.62+184.62)*4-(C9+C10+C11)-1000</f>
        <v>9099.6200000000008</v>
      </c>
    </row>
    <row r="9" spans="2:12" x14ac:dyDescent="0.3">
      <c r="B9" t="s">
        <v>270</v>
      </c>
      <c r="C9" s="19">
        <v>273.39999999999998</v>
      </c>
      <c r="E9" t="s">
        <v>278</v>
      </c>
      <c r="F9" s="19" t="s">
        <v>280</v>
      </c>
    </row>
    <row r="10" spans="2:12" x14ac:dyDescent="0.3">
      <c r="B10" t="s">
        <v>271</v>
      </c>
      <c r="C10" s="19">
        <v>130</v>
      </c>
      <c r="E10" t="s">
        <v>279</v>
      </c>
    </row>
    <row r="11" spans="2:12" x14ac:dyDescent="0.3">
      <c r="B11" t="s">
        <v>59</v>
      </c>
      <c r="C11" s="19">
        <v>100</v>
      </c>
    </row>
    <row r="12" spans="2:12" x14ac:dyDescent="0.3">
      <c r="B12" t="s">
        <v>276</v>
      </c>
      <c r="C12" s="22">
        <v>139.35</v>
      </c>
    </row>
    <row r="13" spans="2:12" x14ac:dyDescent="0.3">
      <c r="B13" t="s">
        <v>253</v>
      </c>
      <c r="C13" s="22">
        <v>49.99</v>
      </c>
    </row>
    <row r="14" spans="2:12" x14ac:dyDescent="0.3">
      <c r="B14" t="s">
        <v>281</v>
      </c>
      <c r="C14" s="22">
        <f>210.41+213.35</f>
        <v>423.76</v>
      </c>
    </row>
    <row r="15" spans="2:12" x14ac:dyDescent="0.3">
      <c r="B15" t="s">
        <v>282</v>
      </c>
      <c r="C15" s="22">
        <f>8*9</f>
        <v>72</v>
      </c>
    </row>
    <row r="16" spans="2:12" x14ac:dyDescent="0.3">
      <c r="B16" t="s">
        <v>89</v>
      </c>
      <c r="C16" s="19">
        <f>SUM(C8:C15)</f>
        <v>2790.9699999999993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70D-530D-45C4-A262-D29D22E86D72}">
  <dimension ref="A1:J256"/>
  <sheetViews>
    <sheetView zoomScaleNormal="100" workbookViewId="0">
      <selection activeCell="C29" sqref="C29"/>
    </sheetView>
  </sheetViews>
  <sheetFormatPr defaultRowHeight="14.4" x14ac:dyDescent="0.3"/>
  <cols>
    <col min="1" max="1" width="11.77734375" style="3" bestFit="1" customWidth="1"/>
    <col min="2" max="2" width="11.77734375" style="3" customWidth="1"/>
    <col min="3" max="3" width="15.77734375" customWidth="1"/>
    <col min="4" max="4" width="52.77734375" bestFit="1" customWidth="1"/>
    <col min="5" max="5" width="18.33203125" customWidth="1"/>
    <col min="6" max="7" width="12.5546875" style="1" customWidth="1"/>
    <col min="10" max="10" width="9.77734375" bestFit="1" customWidth="1"/>
  </cols>
  <sheetData>
    <row r="1" spans="1:10" x14ac:dyDescent="0.3">
      <c r="A1" s="3" t="s">
        <v>165</v>
      </c>
      <c r="B1" s="3" t="s">
        <v>1</v>
      </c>
      <c r="C1" s="3" t="s">
        <v>55</v>
      </c>
      <c r="D1" s="3" t="s">
        <v>56</v>
      </c>
      <c r="E1" s="3" t="s">
        <v>0</v>
      </c>
      <c r="F1" s="5" t="s">
        <v>57</v>
      </c>
      <c r="G1" s="5" t="s">
        <v>58</v>
      </c>
    </row>
    <row r="2" spans="1:10" x14ac:dyDescent="0.3">
      <c r="A2" s="4" t="str">
        <f>TEXT(Table1[[#This Row],[Date]],"mmm")</f>
        <v>Jun</v>
      </c>
      <c r="B2" s="4">
        <v>44713</v>
      </c>
      <c r="C2" t="s">
        <v>2</v>
      </c>
      <c r="D2" t="s">
        <v>8</v>
      </c>
      <c r="E2" t="s">
        <v>59</v>
      </c>
      <c r="F2" s="1">
        <v>-25.4</v>
      </c>
      <c r="G2" s="1">
        <v>4587.95</v>
      </c>
      <c r="I2" t="str">
        <f>REPLACE(G2,1,11,"")</f>
        <v/>
      </c>
    </row>
    <row r="3" spans="1:10" x14ac:dyDescent="0.3">
      <c r="A3" s="4" t="str">
        <f>TEXT(Table1[[#This Row],[Date]],"mmm")</f>
        <v>Jun</v>
      </c>
      <c r="B3" s="4">
        <v>44713</v>
      </c>
      <c r="C3" t="s">
        <v>2</v>
      </c>
      <c r="D3" t="s">
        <v>12</v>
      </c>
      <c r="E3" t="s">
        <v>59</v>
      </c>
      <c r="F3" s="1">
        <v>-6.81</v>
      </c>
      <c r="G3" s="1">
        <v>4581.1400000000003</v>
      </c>
      <c r="I3" t="str">
        <f t="shared" ref="I3:I31" si="0">REPLACE(G3,1,11,"")</f>
        <v/>
      </c>
    </row>
    <row r="4" spans="1:10" x14ac:dyDescent="0.3">
      <c r="A4" s="4" t="str">
        <f>TEXT(Table1[[#This Row],[Date]],"mmm")</f>
        <v>Jun</v>
      </c>
      <c r="B4" s="4">
        <v>44714</v>
      </c>
      <c r="C4" t="s">
        <v>2</v>
      </c>
      <c r="D4" t="s">
        <v>10</v>
      </c>
      <c r="E4" t="s">
        <v>59</v>
      </c>
      <c r="F4" s="1">
        <v>-100</v>
      </c>
      <c r="G4" s="1">
        <v>4481.1400000000003</v>
      </c>
      <c r="I4" t="str">
        <f t="shared" si="0"/>
        <v/>
      </c>
    </row>
    <row r="5" spans="1:10" x14ac:dyDescent="0.3">
      <c r="A5" s="4" t="str">
        <f>TEXT(Table1[[#This Row],[Date]],"mmm")</f>
        <v>Jun</v>
      </c>
      <c r="B5" s="4">
        <v>44715</v>
      </c>
      <c r="C5" t="s">
        <v>2</v>
      </c>
      <c r="D5" t="s">
        <v>28</v>
      </c>
      <c r="E5" t="s">
        <v>59</v>
      </c>
      <c r="F5" s="1">
        <v>-9.17</v>
      </c>
      <c r="G5" s="1">
        <v>4471.97</v>
      </c>
      <c r="I5" t="str">
        <f t="shared" si="0"/>
        <v/>
      </c>
    </row>
    <row r="6" spans="1:10" x14ac:dyDescent="0.3">
      <c r="A6" s="4" t="str">
        <f>TEXT(Table1[[#This Row],[Date]],"mmm")</f>
        <v>Jun</v>
      </c>
      <c r="B6" s="4">
        <v>44716</v>
      </c>
      <c r="C6" t="s">
        <v>2</v>
      </c>
      <c r="D6" t="s">
        <v>48</v>
      </c>
      <c r="E6" t="s">
        <v>60</v>
      </c>
      <c r="F6" s="1">
        <v>-71.34</v>
      </c>
      <c r="G6" s="1">
        <v>4400.63</v>
      </c>
      <c r="I6" t="str">
        <f t="shared" si="0"/>
        <v/>
      </c>
    </row>
    <row r="7" spans="1:10" x14ac:dyDescent="0.3">
      <c r="A7" s="4" t="str">
        <f>TEXT(Table1[[#This Row],[Date]],"mmm")</f>
        <v>Jun</v>
      </c>
      <c r="B7" s="4">
        <v>44716</v>
      </c>
      <c r="C7" t="s">
        <v>2</v>
      </c>
      <c r="D7" t="s">
        <v>47</v>
      </c>
      <c r="E7" t="s">
        <v>60</v>
      </c>
      <c r="F7" s="1">
        <v>-6</v>
      </c>
      <c r="G7" s="1">
        <v>4394.63</v>
      </c>
      <c r="I7" t="str">
        <f t="shared" si="0"/>
        <v/>
      </c>
    </row>
    <row r="8" spans="1:10" x14ac:dyDescent="0.3">
      <c r="A8" s="4" t="str">
        <f>TEXT(Table1[[#This Row],[Date]],"mmm")</f>
        <v>Jun</v>
      </c>
      <c r="B8" s="4">
        <v>44718</v>
      </c>
      <c r="C8" t="s">
        <v>2</v>
      </c>
      <c r="D8" t="s">
        <v>11</v>
      </c>
      <c r="E8" t="s">
        <v>61</v>
      </c>
      <c r="F8" s="1">
        <v>-47.21</v>
      </c>
      <c r="G8" s="1">
        <v>4347.42</v>
      </c>
      <c r="I8" t="str">
        <f t="shared" si="0"/>
        <v/>
      </c>
      <c r="J8" s="1"/>
    </row>
    <row r="9" spans="1:10" x14ac:dyDescent="0.3">
      <c r="A9" s="4" t="str">
        <f>TEXT(Table1[[#This Row],[Date]],"mmm")</f>
        <v>Jun</v>
      </c>
      <c r="B9" s="4">
        <v>44718</v>
      </c>
      <c r="C9" t="s">
        <v>4</v>
      </c>
      <c r="D9" t="s">
        <v>54</v>
      </c>
      <c r="E9" t="s">
        <v>62</v>
      </c>
      <c r="F9" s="1">
        <v>133.91999999999999</v>
      </c>
      <c r="G9" s="1">
        <v>4481.34</v>
      </c>
      <c r="I9" t="str">
        <f t="shared" si="0"/>
        <v/>
      </c>
    </row>
    <row r="10" spans="1:10" x14ac:dyDescent="0.3">
      <c r="A10" s="4" t="str">
        <f>TEXT(Table1[[#This Row],[Date]],"mmm")</f>
        <v>Jun</v>
      </c>
      <c r="B10" s="4">
        <v>44718</v>
      </c>
      <c r="C10" t="s">
        <v>2</v>
      </c>
      <c r="D10" t="s">
        <v>46</v>
      </c>
      <c r="E10" t="s">
        <v>59</v>
      </c>
      <c r="F10" s="1">
        <v>-12.96</v>
      </c>
      <c r="G10" s="1">
        <v>4468.38</v>
      </c>
      <c r="I10" t="str">
        <f t="shared" si="0"/>
        <v/>
      </c>
    </row>
    <row r="11" spans="1:10" x14ac:dyDescent="0.3">
      <c r="A11" s="4" t="str">
        <f>TEXT(Table1[[#This Row],[Date]],"mmm")</f>
        <v>Jun</v>
      </c>
      <c r="B11" s="4">
        <v>44718</v>
      </c>
      <c r="C11" t="s">
        <v>2</v>
      </c>
      <c r="D11" t="s">
        <v>46</v>
      </c>
      <c r="E11" t="s">
        <v>62</v>
      </c>
      <c r="F11" s="1">
        <v>-93.17</v>
      </c>
      <c r="G11" s="1">
        <v>4375.21</v>
      </c>
      <c r="I11" t="str">
        <f t="shared" si="0"/>
        <v/>
      </c>
    </row>
    <row r="12" spans="1:10" x14ac:dyDescent="0.3">
      <c r="A12" s="4" t="str">
        <f>TEXT(Table1[[#This Row],[Date]],"mmm")</f>
        <v>Jun</v>
      </c>
      <c r="B12" s="4">
        <v>44718</v>
      </c>
      <c r="C12" t="s">
        <v>2</v>
      </c>
      <c r="D12" t="s">
        <v>45</v>
      </c>
      <c r="E12" t="s">
        <v>62</v>
      </c>
      <c r="F12" s="1">
        <v>-3.75</v>
      </c>
      <c r="G12" s="1">
        <v>4371.46</v>
      </c>
      <c r="I12" t="str">
        <f t="shared" si="0"/>
        <v/>
      </c>
    </row>
    <row r="13" spans="1:10" x14ac:dyDescent="0.3">
      <c r="A13" s="4" t="str">
        <f>TEXT(Table1[[#This Row],[Date]],"mmm")</f>
        <v>Jun</v>
      </c>
      <c r="B13" s="4">
        <v>44719</v>
      </c>
      <c r="C13" t="s">
        <v>3</v>
      </c>
      <c r="D13" t="s">
        <v>53</v>
      </c>
      <c r="E13" t="s">
        <v>63</v>
      </c>
      <c r="F13" s="1">
        <v>-1</v>
      </c>
      <c r="G13" s="1">
        <v>4370.46</v>
      </c>
      <c r="I13" t="str">
        <f t="shared" si="0"/>
        <v/>
      </c>
    </row>
    <row r="14" spans="1:10" x14ac:dyDescent="0.3">
      <c r="A14" s="4" t="str">
        <f>TEXT(Table1[[#This Row],[Date]],"mmm")</f>
        <v>Jun</v>
      </c>
      <c r="B14" s="4">
        <v>44719</v>
      </c>
      <c r="C14" t="s">
        <v>3</v>
      </c>
      <c r="D14" t="s">
        <v>52</v>
      </c>
      <c r="E14" t="s">
        <v>63</v>
      </c>
      <c r="F14" s="1">
        <v>-718.95</v>
      </c>
      <c r="G14" s="1">
        <v>3651.51</v>
      </c>
      <c r="I14" t="str">
        <f t="shared" si="0"/>
        <v/>
      </c>
    </row>
    <row r="15" spans="1:10" x14ac:dyDescent="0.3">
      <c r="A15" s="4" t="str">
        <f>TEXT(Table1[[#This Row],[Date]],"mmm")</f>
        <v>Jun</v>
      </c>
      <c r="B15" s="4">
        <v>44719</v>
      </c>
      <c r="C15" t="s">
        <v>2</v>
      </c>
      <c r="D15" t="s">
        <v>44</v>
      </c>
      <c r="E15" t="s">
        <v>59</v>
      </c>
      <c r="F15" s="1">
        <v>-7.82</v>
      </c>
      <c r="G15" s="1">
        <v>3643.69</v>
      </c>
      <c r="I15" t="str">
        <f t="shared" si="0"/>
        <v/>
      </c>
    </row>
    <row r="16" spans="1:10" x14ac:dyDescent="0.3">
      <c r="A16" s="4" t="str">
        <f>TEXT(Table1[[#This Row],[Date]],"mmm")</f>
        <v>Jun</v>
      </c>
      <c r="B16" s="4">
        <v>44720</v>
      </c>
      <c r="C16" t="s">
        <v>2</v>
      </c>
      <c r="D16" t="s">
        <v>43</v>
      </c>
      <c r="E16" t="s">
        <v>103</v>
      </c>
      <c r="F16" s="1">
        <v>-40</v>
      </c>
      <c r="G16" s="1">
        <v>3603.69</v>
      </c>
      <c r="I16" t="str">
        <f t="shared" si="0"/>
        <v/>
      </c>
    </row>
    <row r="17" spans="1:9" x14ac:dyDescent="0.3">
      <c r="A17" s="4" t="str">
        <f>TEXT(Table1[[#This Row],[Date]],"mmm")</f>
        <v>Jun</v>
      </c>
      <c r="B17" s="4">
        <v>44720</v>
      </c>
      <c r="C17" t="s">
        <v>5</v>
      </c>
      <c r="D17" t="s">
        <v>23</v>
      </c>
      <c r="E17" t="s">
        <v>103</v>
      </c>
      <c r="F17" s="1">
        <v>-0.4</v>
      </c>
      <c r="G17" s="1">
        <v>3603.29</v>
      </c>
      <c r="I17" t="str">
        <f t="shared" si="0"/>
        <v/>
      </c>
    </row>
    <row r="18" spans="1:9" x14ac:dyDescent="0.3">
      <c r="A18" s="4" t="str">
        <f>TEXT(Table1[[#This Row],[Date]],"mmm")</f>
        <v>Jun</v>
      </c>
      <c r="B18" s="4">
        <v>44720</v>
      </c>
      <c r="C18" t="s">
        <v>2</v>
      </c>
      <c r="D18" t="s">
        <v>12</v>
      </c>
      <c r="E18" t="s">
        <v>59</v>
      </c>
      <c r="F18" s="1">
        <v>-6.7</v>
      </c>
      <c r="G18" s="1">
        <v>3596.59</v>
      </c>
      <c r="I18" t="str">
        <f t="shared" si="0"/>
        <v/>
      </c>
    </row>
    <row r="19" spans="1:9" x14ac:dyDescent="0.3">
      <c r="A19" s="4" t="str">
        <f>TEXT(Table1[[#This Row],[Date]],"mmm")</f>
        <v>Jun</v>
      </c>
      <c r="B19" s="4">
        <v>44720</v>
      </c>
      <c r="C19" t="s">
        <v>2</v>
      </c>
      <c r="D19" t="s">
        <v>43</v>
      </c>
      <c r="E19" t="s">
        <v>103</v>
      </c>
      <c r="F19" s="1">
        <v>-10</v>
      </c>
      <c r="G19" s="1">
        <v>3586.59</v>
      </c>
      <c r="I19" t="str">
        <f t="shared" si="0"/>
        <v/>
      </c>
    </row>
    <row r="20" spans="1:9" x14ac:dyDescent="0.3">
      <c r="A20" s="4" t="str">
        <f>TEXT(Table1[[#This Row],[Date]],"mmm")</f>
        <v>Jun</v>
      </c>
      <c r="B20" s="4">
        <v>44720</v>
      </c>
      <c r="C20" t="s">
        <v>5</v>
      </c>
      <c r="D20" t="s">
        <v>23</v>
      </c>
      <c r="E20" t="s">
        <v>103</v>
      </c>
      <c r="F20" s="1">
        <v>-0.1</v>
      </c>
      <c r="G20" s="1">
        <v>3586.49</v>
      </c>
      <c r="I20" t="str">
        <f t="shared" si="0"/>
        <v/>
      </c>
    </row>
    <row r="21" spans="1:9" x14ac:dyDescent="0.3">
      <c r="A21" s="4" t="str">
        <f>TEXT(Table1[[#This Row],[Date]],"mmm")</f>
        <v>Jun</v>
      </c>
      <c r="B21" s="4">
        <v>44720</v>
      </c>
      <c r="C21" t="s">
        <v>2</v>
      </c>
      <c r="D21" t="s">
        <v>43</v>
      </c>
      <c r="E21" t="s">
        <v>103</v>
      </c>
      <c r="F21" s="1">
        <v>-5</v>
      </c>
      <c r="G21" s="1">
        <v>3581.49</v>
      </c>
      <c r="I21" t="str">
        <f t="shared" si="0"/>
        <v/>
      </c>
    </row>
    <row r="22" spans="1:9" x14ac:dyDescent="0.3">
      <c r="A22" s="4" t="str">
        <f>TEXT(Table1[[#This Row],[Date]],"mmm")</f>
        <v>Jun</v>
      </c>
      <c r="B22" s="4">
        <v>44720</v>
      </c>
      <c r="C22" t="s">
        <v>5</v>
      </c>
      <c r="D22" t="s">
        <v>23</v>
      </c>
      <c r="E22" t="s">
        <v>103</v>
      </c>
      <c r="F22" s="1">
        <v>-0.05</v>
      </c>
      <c r="G22" s="1">
        <v>3581.44</v>
      </c>
      <c r="I22" t="str">
        <f t="shared" si="0"/>
        <v/>
      </c>
    </row>
    <row r="23" spans="1:9" x14ac:dyDescent="0.3">
      <c r="A23" s="4" t="str">
        <f>TEXT(Table1[[#This Row],[Date]],"mmm")</f>
        <v>Jun</v>
      </c>
      <c r="B23" s="4">
        <v>44721</v>
      </c>
      <c r="C23" t="s">
        <v>4</v>
      </c>
      <c r="D23" t="s">
        <v>51</v>
      </c>
      <c r="E23" t="s">
        <v>64</v>
      </c>
      <c r="F23" s="1">
        <v>1972.68</v>
      </c>
      <c r="G23" s="1">
        <v>5554.12</v>
      </c>
      <c r="I23" t="str">
        <f t="shared" si="0"/>
        <v/>
      </c>
    </row>
    <row r="24" spans="1:9" x14ac:dyDescent="0.3">
      <c r="A24" s="4" t="str">
        <f>TEXT(Table1[[#This Row],[Date]],"mmm")</f>
        <v>Jun</v>
      </c>
      <c r="B24" s="4">
        <v>44721</v>
      </c>
      <c r="C24" t="s">
        <v>2</v>
      </c>
      <c r="D24" t="s">
        <v>13</v>
      </c>
      <c r="E24" t="s">
        <v>59</v>
      </c>
      <c r="F24" s="1">
        <v>-22</v>
      </c>
      <c r="G24" s="1">
        <v>5532.12</v>
      </c>
      <c r="I24" t="str">
        <f t="shared" si="0"/>
        <v/>
      </c>
    </row>
    <row r="25" spans="1:9" x14ac:dyDescent="0.3">
      <c r="A25" s="4" t="str">
        <f>TEXT(Table1[[#This Row],[Date]],"mmm")</f>
        <v>Jun</v>
      </c>
      <c r="B25" s="4">
        <v>44721</v>
      </c>
      <c r="C25" t="s">
        <v>2</v>
      </c>
      <c r="D25" t="s">
        <v>42</v>
      </c>
      <c r="E25" t="s">
        <v>59</v>
      </c>
      <c r="F25" s="1">
        <v>-20.94</v>
      </c>
      <c r="G25" s="1">
        <v>5511.18</v>
      </c>
      <c r="I25" t="str">
        <f t="shared" si="0"/>
        <v/>
      </c>
    </row>
    <row r="26" spans="1:9" x14ac:dyDescent="0.3">
      <c r="A26" s="4" t="str">
        <f>TEXT(Table1[[#This Row],[Date]],"mmm")</f>
        <v>Jun</v>
      </c>
      <c r="B26" s="4">
        <v>44721</v>
      </c>
      <c r="C26" t="s">
        <v>2</v>
      </c>
      <c r="D26" t="s">
        <v>41</v>
      </c>
      <c r="E26" t="s">
        <v>59</v>
      </c>
      <c r="F26" s="1">
        <v>-10.18</v>
      </c>
      <c r="G26" s="1">
        <v>5501</v>
      </c>
      <c r="I26" t="str">
        <f t="shared" si="0"/>
        <v/>
      </c>
    </row>
    <row r="27" spans="1:9" x14ac:dyDescent="0.3">
      <c r="A27" s="4" t="str">
        <f>TEXT(Table1[[#This Row],[Date]],"mmm")</f>
        <v>Jun</v>
      </c>
      <c r="B27" s="4">
        <v>44721</v>
      </c>
      <c r="C27" t="s">
        <v>2</v>
      </c>
      <c r="D27" t="s">
        <v>40</v>
      </c>
      <c r="E27" t="s">
        <v>59</v>
      </c>
      <c r="F27" s="1">
        <v>-2.8</v>
      </c>
      <c r="G27" s="1">
        <v>5498.2</v>
      </c>
      <c r="I27" t="str">
        <f t="shared" si="0"/>
        <v/>
      </c>
    </row>
    <row r="28" spans="1:9" x14ac:dyDescent="0.3">
      <c r="A28" s="4" t="str">
        <f>TEXT(Table1[[#This Row],[Date]],"mmm")</f>
        <v>Jun</v>
      </c>
      <c r="B28" s="4">
        <v>44723</v>
      </c>
      <c r="C28" t="s">
        <v>2</v>
      </c>
      <c r="D28" t="s">
        <v>40</v>
      </c>
      <c r="E28" t="s">
        <v>59</v>
      </c>
      <c r="F28" s="1">
        <v>-11.12</v>
      </c>
      <c r="G28" s="1">
        <v>5487.08</v>
      </c>
      <c r="I28" t="str">
        <f t="shared" si="0"/>
        <v/>
      </c>
    </row>
    <row r="29" spans="1:9" x14ac:dyDescent="0.3">
      <c r="A29" s="4" t="str">
        <f>TEXT(Table1[[#This Row],[Date]],"mmm")</f>
        <v>Jun</v>
      </c>
      <c r="B29" s="4">
        <v>44724</v>
      </c>
      <c r="C29" t="s">
        <v>2</v>
      </c>
      <c r="D29" t="s">
        <v>38</v>
      </c>
      <c r="E29" t="s">
        <v>103</v>
      </c>
      <c r="F29" s="1">
        <v>-62.49</v>
      </c>
      <c r="G29" s="1">
        <v>5424.59</v>
      </c>
      <c r="I29" t="str">
        <f t="shared" si="0"/>
        <v/>
      </c>
    </row>
    <row r="30" spans="1:9" x14ac:dyDescent="0.3">
      <c r="A30" s="4" t="str">
        <f>TEXT(Table1[[#This Row],[Date]],"mmm")</f>
        <v>Jun</v>
      </c>
      <c r="B30" s="4">
        <v>44724</v>
      </c>
      <c r="C30" t="s">
        <v>2</v>
      </c>
      <c r="D30" t="s">
        <v>39</v>
      </c>
      <c r="E30" t="s">
        <v>59</v>
      </c>
      <c r="F30" s="1">
        <v>-8.5</v>
      </c>
      <c r="G30" s="1">
        <v>5416.09</v>
      </c>
      <c r="I30" t="str">
        <f t="shared" si="0"/>
        <v/>
      </c>
    </row>
    <row r="31" spans="1:9" x14ac:dyDescent="0.3">
      <c r="A31" s="4" t="str">
        <f>TEXT(Table1[[#This Row],[Date]],"mmm")</f>
        <v>Jun</v>
      </c>
      <c r="B31" s="4">
        <v>44724</v>
      </c>
      <c r="C31" t="s">
        <v>2</v>
      </c>
      <c r="D31" t="s">
        <v>38</v>
      </c>
      <c r="E31" t="s">
        <v>103</v>
      </c>
      <c r="F31" s="1">
        <v>-52.5</v>
      </c>
      <c r="G31" s="1">
        <v>5363.59</v>
      </c>
      <c r="I31" t="str">
        <f t="shared" si="0"/>
        <v/>
      </c>
    </row>
    <row r="32" spans="1:9" x14ac:dyDescent="0.3">
      <c r="A32" s="4" t="str">
        <f>TEXT(Table1[[#This Row],[Date]],"mmm")</f>
        <v>Jun</v>
      </c>
      <c r="B32" s="4">
        <v>44724</v>
      </c>
      <c r="C32" t="s">
        <v>2</v>
      </c>
      <c r="D32" t="s">
        <v>31</v>
      </c>
      <c r="E32" t="s">
        <v>103</v>
      </c>
      <c r="F32" s="1">
        <v>-5</v>
      </c>
      <c r="G32" s="1">
        <v>5358.59</v>
      </c>
    </row>
    <row r="33" spans="1:9" x14ac:dyDescent="0.3">
      <c r="A33" s="4" t="str">
        <f>TEXT(Table1[[#This Row],[Date]],"mmm")</f>
        <v>Jun</v>
      </c>
      <c r="B33" s="4">
        <v>44724</v>
      </c>
      <c r="C33" t="s">
        <v>2</v>
      </c>
      <c r="D33" t="s">
        <v>37</v>
      </c>
      <c r="E33" t="s">
        <v>103</v>
      </c>
      <c r="F33" s="1">
        <v>-62.99</v>
      </c>
      <c r="G33" s="1">
        <v>5295.6</v>
      </c>
    </row>
    <row r="34" spans="1:9" x14ac:dyDescent="0.3">
      <c r="A34" s="4" t="str">
        <f>TEXT(Table1[[#This Row],[Date]],"mmm")</f>
        <v>Jun</v>
      </c>
      <c r="B34" s="4">
        <v>44724</v>
      </c>
      <c r="C34" t="s">
        <v>2</v>
      </c>
      <c r="D34" t="s">
        <v>33</v>
      </c>
      <c r="E34" t="s">
        <v>103</v>
      </c>
      <c r="F34" s="1">
        <v>-59.96</v>
      </c>
      <c r="G34" s="1">
        <v>5235.6400000000003</v>
      </c>
    </row>
    <row r="35" spans="1:9" x14ac:dyDescent="0.3">
      <c r="A35" s="4" t="str">
        <f>TEXT(Table1[[#This Row],[Date]],"mmm")</f>
        <v>Jun</v>
      </c>
      <c r="B35" s="4">
        <v>44724</v>
      </c>
      <c r="C35" t="s">
        <v>2</v>
      </c>
      <c r="D35" t="s">
        <v>36</v>
      </c>
      <c r="E35" t="s">
        <v>103</v>
      </c>
      <c r="F35" s="1">
        <v>-42.99</v>
      </c>
      <c r="G35" s="1">
        <v>5192.6499999999996</v>
      </c>
    </row>
    <row r="36" spans="1:9" x14ac:dyDescent="0.3">
      <c r="A36" s="4" t="str">
        <f>TEXT(Table1[[#This Row],[Date]],"mmm")</f>
        <v>Jun</v>
      </c>
      <c r="B36" s="4">
        <v>44724</v>
      </c>
      <c r="C36" t="s">
        <v>2</v>
      </c>
      <c r="D36" t="s">
        <v>27</v>
      </c>
      <c r="E36" t="s">
        <v>59</v>
      </c>
      <c r="F36" s="1">
        <v>-2.99</v>
      </c>
      <c r="G36" s="1">
        <v>5189.66</v>
      </c>
      <c r="I36" t="str">
        <f t="shared" ref="I36:I66" si="1">REPLACE(G36,1,11,"")</f>
        <v/>
      </c>
    </row>
    <row r="37" spans="1:9" x14ac:dyDescent="0.3">
      <c r="A37" s="4" t="str">
        <f>TEXT(Table1[[#This Row],[Date]],"mmm")</f>
        <v>Jun</v>
      </c>
      <c r="B37" s="4">
        <v>44725</v>
      </c>
      <c r="C37" t="s">
        <v>2</v>
      </c>
      <c r="D37" t="s">
        <v>35</v>
      </c>
      <c r="E37" t="s">
        <v>103</v>
      </c>
      <c r="F37" s="1">
        <v>-65.94</v>
      </c>
      <c r="G37" s="1">
        <v>5123.72</v>
      </c>
      <c r="I37" t="str">
        <f t="shared" si="1"/>
        <v/>
      </c>
    </row>
    <row r="38" spans="1:9" x14ac:dyDescent="0.3">
      <c r="A38" s="4" t="str">
        <f>TEXT(Table1[[#This Row],[Date]],"mmm")</f>
        <v>Jun</v>
      </c>
      <c r="B38" s="4">
        <v>44725</v>
      </c>
      <c r="C38" t="s">
        <v>2</v>
      </c>
      <c r="D38" t="s">
        <v>35</v>
      </c>
      <c r="E38" t="s">
        <v>103</v>
      </c>
      <c r="F38" s="1">
        <v>-60.7</v>
      </c>
      <c r="G38" s="1">
        <v>5063.0200000000004</v>
      </c>
      <c r="I38" t="str">
        <f t="shared" si="1"/>
        <v/>
      </c>
    </row>
    <row r="39" spans="1:9" x14ac:dyDescent="0.3">
      <c r="A39" s="4" t="str">
        <f>TEXT(Table1[[#This Row],[Date]],"mmm")</f>
        <v>Jun</v>
      </c>
      <c r="B39" s="4">
        <v>44725</v>
      </c>
      <c r="C39" t="s">
        <v>2</v>
      </c>
      <c r="D39" t="s">
        <v>34</v>
      </c>
      <c r="E39" t="s">
        <v>103</v>
      </c>
      <c r="F39" s="1">
        <v>-39.75</v>
      </c>
      <c r="G39" s="1">
        <v>5023.2700000000004</v>
      </c>
      <c r="I39" t="str">
        <f t="shared" si="1"/>
        <v/>
      </c>
    </row>
    <row r="40" spans="1:9" x14ac:dyDescent="0.3">
      <c r="A40" s="4" t="str">
        <f>TEXT(Table1[[#This Row],[Date]],"mmm")</f>
        <v>Jun</v>
      </c>
      <c r="B40" s="4">
        <v>44725</v>
      </c>
      <c r="C40" t="s">
        <v>2</v>
      </c>
      <c r="D40" t="s">
        <v>33</v>
      </c>
      <c r="E40" t="s">
        <v>103</v>
      </c>
      <c r="F40" s="1">
        <v>-187.95</v>
      </c>
      <c r="G40" s="1">
        <v>4835.32</v>
      </c>
      <c r="I40" t="str">
        <f t="shared" si="1"/>
        <v/>
      </c>
    </row>
    <row r="41" spans="1:9" x14ac:dyDescent="0.3">
      <c r="A41" s="4" t="str">
        <f>TEXT(Table1[[#This Row],[Date]],"mmm")</f>
        <v>Jun</v>
      </c>
      <c r="B41" s="4">
        <v>44725</v>
      </c>
      <c r="C41" t="s">
        <v>2</v>
      </c>
      <c r="D41" t="s">
        <v>32</v>
      </c>
      <c r="E41" t="s">
        <v>59</v>
      </c>
      <c r="F41" s="1">
        <v>-4.5999999999999996</v>
      </c>
      <c r="G41" s="1">
        <v>4830.72</v>
      </c>
      <c r="I41" t="str">
        <f t="shared" si="1"/>
        <v/>
      </c>
    </row>
    <row r="42" spans="1:9" x14ac:dyDescent="0.3">
      <c r="A42" s="4" t="str">
        <f>TEXT(Table1[[#This Row],[Date]],"mmm")</f>
        <v>Jun</v>
      </c>
      <c r="B42" s="4">
        <v>44726</v>
      </c>
      <c r="C42" t="s">
        <v>2</v>
      </c>
      <c r="D42" t="s">
        <v>10</v>
      </c>
      <c r="E42" t="s">
        <v>59</v>
      </c>
      <c r="F42" s="1">
        <v>-100</v>
      </c>
      <c r="G42" s="1">
        <v>4730.72</v>
      </c>
      <c r="I42" t="str">
        <f t="shared" si="1"/>
        <v/>
      </c>
    </row>
    <row r="43" spans="1:9" x14ac:dyDescent="0.3">
      <c r="A43" s="4" t="str">
        <f>TEXT(Table1[[#This Row],[Date]],"mmm")</f>
        <v>Jun</v>
      </c>
      <c r="B43" s="4">
        <v>44726</v>
      </c>
      <c r="C43" t="s">
        <v>3</v>
      </c>
      <c r="D43" t="s">
        <v>49</v>
      </c>
      <c r="E43" t="s">
        <v>62</v>
      </c>
      <c r="F43" s="1">
        <v>-43.86</v>
      </c>
      <c r="G43" s="1">
        <v>4686.8599999999997</v>
      </c>
      <c r="I43" t="str">
        <f t="shared" si="1"/>
        <v/>
      </c>
    </row>
    <row r="44" spans="1:9" x14ac:dyDescent="0.3">
      <c r="A44" s="4" t="str">
        <f>TEXT(Table1[[#This Row],[Date]],"mmm")</f>
        <v>Jun</v>
      </c>
      <c r="B44" s="4">
        <v>44726</v>
      </c>
      <c r="C44" t="s">
        <v>2</v>
      </c>
      <c r="D44" t="s">
        <v>31</v>
      </c>
      <c r="E44" t="s">
        <v>103</v>
      </c>
      <c r="F44" s="1">
        <v>-7</v>
      </c>
      <c r="G44" s="1">
        <v>4679.8599999999997</v>
      </c>
      <c r="I44" t="str">
        <f t="shared" si="1"/>
        <v/>
      </c>
    </row>
    <row r="45" spans="1:9" x14ac:dyDescent="0.3">
      <c r="A45" s="4" t="str">
        <f>TEXT(Table1[[#This Row],[Date]],"mmm")</f>
        <v>Jun</v>
      </c>
      <c r="B45" s="4">
        <v>44726</v>
      </c>
      <c r="C45" t="s">
        <v>2</v>
      </c>
      <c r="D45" t="s">
        <v>30</v>
      </c>
      <c r="E45" t="s">
        <v>103</v>
      </c>
      <c r="F45" s="1">
        <v>48.23</v>
      </c>
      <c r="G45" s="1">
        <v>4728.09</v>
      </c>
      <c r="I45" t="str">
        <f t="shared" si="1"/>
        <v/>
      </c>
    </row>
    <row r="46" spans="1:9" x14ac:dyDescent="0.3">
      <c r="A46" s="4" t="str">
        <f>TEXT(Table1[[#This Row],[Date]],"mmm")</f>
        <v>Jun</v>
      </c>
      <c r="B46" s="4">
        <v>44726</v>
      </c>
      <c r="C46" t="s">
        <v>2</v>
      </c>
      <c r="D46" t="s">
        <v>29</v>
      </c>
      <c r="E46" t="s">
        <v>103</v>
      </c>
      <c r="F46" s="1">
        <v>39.75</v>
      </c>
      <c r="G46" s="1">
        <v>4767.84</v>
      </c>
      <c r="I46" t="str">
        <f t="shared" si="1"/>
        <v/>
      </c>
    </row>
    <row r="47" spans="1:9" x14ac:dyDescent="0.3">
      <c r="A47" s="4" t="str">
        <f>TEXT(Table1[[#This Row],[Date]],"mmm")</f>
        <v>Jun</v>
      </c>
      <c r="B47" s="4">
        <v>44728</v>
      </c>
      <c r="C47" t="s">
        <v>2</v>
      </c>
      <c r="D47" t="s">
        <v>6</v>
      </c>
      <c r="E47" t="s">
        <v>61</v>
      </c>
      <c r="F47" s="1">
        <v>-60.17</v>
      </c>
      <c r="G47" s="1">
        <v>4707.67</v>
      </c>
      <c r="I47" t="str">
        <f t="shared" si="1"/>
        <v/>
      </c>
    </row>
    <row r="48" spans="1:9" x14ac:dyDescent="0.3">
      <c r="A48" s="4" t="str">
        <f>TEXT(Table1[[#This Row],[Date]],"mmm")</f>
        <v>Jun</v>
      </c>
      <c r="B48" s="4">
        <v>44729</v>
      </c>
      <c r="C48" t="s">
        <v>2</v>
      </c>
      <c r="D48" t="s">
        <v>28</v>
      </c>
      <c r="E48" t="s">
        <v>59</v>
      </c>
      <c r="F48" s="1">
        <v>-9.82</v>
      </c>
      <c r="G48" s="1">
        <v>4697.8500000000004</v>
      </c>
      <c r="I48" t="str">
        <f t="shared" si="1"/>
        <v/>
      </c>
    </row>
    <row r="49" spans="1:9" x14ac:dyDescent="0.3">
      <c r="A49" s="4" t="str">
        <f>TEXT(Table1[[#This Row],[Date]],"mmm")</f>
        <v>Jun</v>
      </c>
      <c r="B49" s="4">
        <v>44729</v>
      </c>
      <c r="C49" t="s">
        <v>2</v>
      </c>
      <c r="D49" t="s">
        <v>27</v>
      </c>
      <c r="E49" t="s">
        <v>59</v>
      </c>
      <c r="F49" s="1">
        <v>-13.17</v>
      </c>
      <c r="G49" s="1">
        <v>4684.68</v>
      </c>
      <c r="I49" t="str">
        <f t="shared" si="1"/>
        <v/>
      </c>
    </row>
    <row r="50" spans="1:9" x14ac:dyDescent="0.3">
      <c r="A50" s="4" t="str">
        <f>TEXT(Table1[[#This Row],[Date]],"mmm")</f>
        <v>Jun</v>
      </c>
      <c r="B50" s="4">
        <v>44730</v>
      </c>
      <c r="C50" t="s">
        <v>2</v>
      </c>
      <c r="D50" t="s">
        <v>26</v>
      </c>
      <c r="E50" t="s">
        <v>103</v>
      </c>
      <c r="F50" s="1">
        <v>-244.97</v>
      </c>
      <c r="G50" s="1">
        <v>4439.71</v>
      </c>
      <c r="I50" t="str">
        <f t="shared" si="1"/>
        <v/>
      </c>
    </row>
    <row r="51" spans="1:9" x14ac:dyDescent="0.3">
      <c r="A51" s="4" t="str">
        <f>TEXT(Table1[[#This Row],[Date]],"mmm")</f>
        <v>Jun</v>
      </c>
      <c r="B51" s="4">
        <v>44730</v>
      </c>
      <c r="C51" t="s">
        <v>2</v>
      </c>
      <c r="D51" t="s">
        <v>25</v>
      </c>
      <c r="E51" t="s">
        <v>103</v>
      </c>
      <c r="F51" s="1">
        <v>-36.299999999999997</v>
      </c>
      <c r="G51" s="1">
        <v>4403.41</v>
      </c>
      <c r="I51" t="str">
        <f t="shared" si="1"/>
        <v/>
      </c>
    </row>
    <row r="52" spans="1:9" x14ac:dyDescent="0.3">
      <c r="A52" s="4" t="str">
        <f>TEXT(Table1[[#This Row],[Date]],"mmm")</f>
        <v>Jun</v>
      </c>
      <c r="B52" s="4">
        <v>44731</v>
      </c>
      <c r="C52" t="s">
        <v>2</v>
      </c>
      <c r="D52" t="s">
        <v>24</v>
      </c>
      <c r="E52" t="s">
        <v>62</v>
      </c>
      <c r="F52" s="1">
        <v>-3.41</v>
      </c>
      <c r="G52" s="1">
        <v>4400</v>
      </c>
      <c r="I52" t="str">
        <f t="shared" si="1"/>
        <v/>
      </c>
    </row>
    <row r="53" spans="1:9" x14ac:dyDescent="0.3">
      <c r="A53" s="4" t="str">
        <f>TEXT(Table1[[#This Row],[Date]],"mmm")</f>
        <v>Jun</v>
      </c>
      <c r="B53" s="4">
        <v>44731</v>
      </c>
      <c r="C53" t="s">
        <v>5</v>
      </c>
      <c r="D53" t="s">
        <v>23</v>
      </c>
      <c r="E53" t="s">
        <v>62</v>
      </c>
      <c r="F53" s="1">
        <v>-0.03</v>
      </c>
      <c r="G53" s="1">
        <v>4399.97</v>
      </c>
      <c r="I53" t="str">
        <f t="shared" si="1"/>
        <v/>
      </c>
    </row>
    <row r="54" spans="1:9" x14ac:dyDescent="0.3">
      <c r="A54" s="4" t="str">
        <f>TEXT(Table1[[#This Row],[Date]],"mmm")</f>
        <v>Jun</v>
      </c>
      <c r="B54" s="4">
        <v>44731</v>
      </c>
      <c r="C54" t="s">
        <v>2</v>
      </c>
      <c r="D54" t="s">
        <v>8</v>
      </c>
      <c r="E54" t="s">
        <v>59</v>
      </c>
      <c r="F54" s="1">
        <v>-10.14</v>
      </c>
      <c r="G54" s="1">
        <v>4389.83</v>
      </c>
      <c r="I54" t="str">
        <f t="shared" si="1"/>
        <v/>
      </c>
    </row>
    <row r="55" spans="1:9" x14ac:dyDescent="0.3">
      <c r="A55" s="4" t="str">
        <f>TEXT(Table1[[#This Row],[Date]],"mmm")</f>
        <v>Jun</v>
      </c>
      <c r="B55" s="4">
        <v>44731</v>
      </c>
      <c r="C55" t="s">
        <v>2</v>
      </c>
      <c r="D55" t="s">
        <v>22</v>
      </c>
      <c r="E55" t="s">
        <v>59</v>
      </c>
      <c r="F55" s="1">
        <v>-6.42</v>
      </c>
      <c r="G55" s="1">
        <v>4383.41</v>
      </c>
      <c r="I55" t="str">
        <f t="shared" si="1"/>
        <v/>
      </c>
    </row>
    <row r="56" spans="1:9" x14ac:dyDescent="0.3">
      <c r="A56" s="4" t="str">
        <f>TEXT(Table1[[#This Row],[Date]],"mmm")</f>
        <v>Jun</v>
      </c>
      <c r="B56" s="4">
        <v>44731</v>
      </c>
      <c r="C56" t="s">
        <v>2</v>
      </c>
      <c r="D56" t="s">
        <v>21</v>
      </c>
      <c r="E56" t="s">
        <v>103</v>
      </c>
      <c r="F56" s="1">
        <v>-17.91</v>
      </c>
      <c r="G56" s="1">
        <v>4365.5</v>
      </c>
      <c r="I56" t="str">
        <f t="shared" si="1"/>
        <v/>
      </c>
    </row>
    <row r="57" spans="1:9" x14ac:dyDescent="0.3">
      <c r="A57" s="4" t="str">
        <f>TEXT(Table1[[#This Row],[Date]],"mmm")</f>
        <v>Jun</v>
      </c>
      <c r="B57" s="4">
        <v>44731</v>
      </c>
      <c r="C57" t="s">
        <v>2</v>
      </c>
      <c r="D57" t="s">
        <v>20</v>
      </c>
      <c r="E57" t="s">
        <v>65</v>
      </c>
      <c r="F57" s="1">
        <v>-54.87</v>
      </c>
      <c r="G57" s="1">
        <v>4310.63</v>
      </c>
      <c r="I57" t="str">
        <f t="shared" si="1"/>
        <v/>
      </c>
    </row>
    <row r="58" spans="1:9" x14ac:dyDescent="0.3">
      <c r="A58" s="4" t="str">
        <f>TEXT(Table1[[#This Row],[Date]],"mmm")</f>
        <v>Jun</v>
      </c>
      <c r="B58" s="4">
        <v>44732</v>
      </c>
      <c r="C58" t="s">
        <v>2</v>
      </c>
      <c r="D58" t="s">
        <v>19</v>
      </c>
      <c r="E58" t="s">
        <v>103</v>
      </c>
      <c r="F58" s="1">
        <v>194.98</v>
      </c>
      <c r="G58" s="1">
        <v>4505.6099999999997</v>
      </c>
      <c r="I58" t="str">
        <f t="shared" si="1"/>
        <v/>
      </c>
    </row>
    <row r="59" spans="1:9" x14ac:dyDescent="0.3">
      <c r="A59" s="4" t="str">
        <f>TEXT(Table1[[#This Row],[Date]],"mmm")</f>
        <v>Jun</v>
      </c>
      <c r="B59" s="4">
        <v>44732</v>
      </c>
      <c r="C59" t="s">
        <v>2</v>
      </c>
      <c r="D59" t="s">
        <v>11</v>
      </c>
      <c r="E59" t="s">
        <v>61</v>
      </c>
      <c r="F59" s="1">
        <v>-27.22</v>
      </c>
      <c r="G59" s="1">
        <v>4478.3900000000003</v>
      </c>
      <c r="I59" t="str">
        <f t="shared" si="1"/>
        <v/>
      </c>
    </row>
    <row r="60" spans="1:9" x14ac:dyDescent="0.3">
      <c r="A60" s="4" t="str">
        <f>TEXT(Table1[[#This Row],[Date]],"mmm")</f>
        <v>Jun</v>
      </c>
      <c r="B60" s="4">
        <v>44733</v>
      </c>
      <c r="C60" t="s">
        <v>2</v>
      </c>
      <c r="D60" t="s">
        <v>18</v>
      </c>
      <c r="E60" t="s">
        <v>62</v>
      </c>
      <c r="F60" s="1">
        <v>-32.07</v>
      </c>
      <c r="G60" s="1">
        <v>4446.32</v>
      </c>
      <c r="I60" t="str">
        <f t="shared" si="1"/>
        <v/>
      </c>
    </row>
    <row r="61" spans="1:9" x14ac:dyDescent="0.3">
      <c r="A61" s="4" t="str">
        <f>TEXT(Table1[[#This Row],[Date]],"mmm")</f>
        <v>Jun</v>
      </c>
      <c r="B61" s="4">
        <v>44733</v>
      </c>
      <c r="C61" t="s">
        <v>2</v>
      </c>
      <c r="D61" t="s">
        <v>15</v>
      </c>
      <c r="E61" t="s">
        <v>59</v>
      </c>
      <c r="F61" s="1">
        <v>-24.46</v>
      </c>
      <c r="G61" s="1">
        <v>4421.8599999999997</v>
      </c>
      <c r="I61" t="str">
        <f t="shared" si="1"/>
        <v/>
      </c>
    </row>
    <row r="62" spans="1:9" x14ac:dyDescent="0.3">
      <c r="A62" s="4" t="str">
        <f>TEXT(Table1[[#This Row],[Date]],"mmm")</f>
        <v>Jun</v>
      </c>
      <c r="B62" s="4">
        <v>44733</v>
      </c>
      <c r="C62" t="s">
        <v>2</v>
      </c>
      <c r="D62" t="s">
        <v>12</v>
      </c>
      <c r="E62" t="s">
        <v>59</v>
      </c>
      <c r="F62" s="1">
        <v>-6.7</v>
      </c>
      <c r="G62" s="1">
        <v>4415.16</v>
      </c>
      <c r="I62" t="str">
        <f t="shared" si="1"/>
        <v/>
      </c>
    </row>
    <row r="63" spans="1:9" x14ac:dyDescent="0.3">
      <c r="A63" s="4" t="str">
        <f>TEXT(Table1[[#This Row],[Date]],"mmm")</f>
        <v>Jun</v>
      </c>
      <c r="B63" s="4">
        <v>44733</v>
      </c>
      <c r="C63" t="s">
        <v>2</v>
      </c>
      <c r="D63" t="s">
        <v>17</v>
      </c>
      <c r="E63" t="s">
        <v>62</v>
      </c>
      <c r="F63" s="1">
        <v>-53.55</v>
      </c>
      <c r="G63" s="1">
        <v>4361.6099999999997</v>
      </c>
      <c r="I63" t="str">
        <f t="shared" si="1"/>
        <v/>
      </c>
    </row>
    <row r="64" spans="1:9" x14ac:dyDescent="0.3">
      <c r="A64" s="4" t="str">
        <f>TEXT(Table1[[#This Row],[Date]],"mmm")</f>
        <v>Jun</v>
      </c>
      <c r="B64" s="4">
        <v>44735</v>
      </c>
      <c r="C64" t="s">
        <v>4</v>
      </c>
      <c r="D64" t="s">
        <v>51</v>
      </c>
      <c r="E64" t="s">
        <v>64</v>
      </c>
      <c r="F64" s="1">
        <v>1988.16</v>
      </c>
      <c r="G64" s="1">
        <v>6349.77</v>
      </c>
      <c r="I64" t="str">
        <f t="shared" si="1"/>
        <v/>
      </c>
    </row>
    <row r="65" spans="1:9" x14ac:dyDescent="0.3">
      <c r="A65" s="4" t="str">
        <f>TEXT(Table1[[#This Row],[Date]],"mmm")</f>
        <v>Jun</v>
      </c>
      <c r="B65" s="4">
        <v>44735</v>
      </c>
      <c r="C65" t="s">
        <v>2</v>
      </c>
      <c r="D65" t="s">
        <v>16</v>
      </c>
      <c r="E65" t="s">
        <v>62</v>
      </c>
      <c r="F65" s="1">
        <v>-14.99</v>
      </c>
      <c r="G65" s="1">
        <v>6334.78</v>
      </c>
      <c r="I65" t="str">
        <f t="shared" si="1"/>
        <v/>
      </c>
    </row>
    <row r="66" spans="1:9" x14ac:dyDescent="0.3">
      <c r="A66" s="4" t="str">
        <f>TEXT(Table1[[#This Row],[Date]],"mmm")</f>
        <v>Jun</v>
      </c>
      <c r="B66" s="4">
        <v>44736</v>
      </c>
      <c r="C66" t="s">
        <v>2</v>
      </c>
      <c r="D66" t="s">
        <v>13</v>
      </c>
      <c r="E66" t="s">
        <v>59</v>
      </c>
      <c r="F66" s="1">
        <v>-17</v>
      </c>
      <c r="G66" s="1">
        <v>6317.78</v>
      </c>
      <c r="I66" t="str">
        <f t="shared" si="1"/>
        <v/>
      </c>
    </row>
    <row r="67" spans="1:9" x14ac:dyDescent="0.3">
      <c r="A67" s="4" t="str">
        <f>TEXT(Table1[[#This Row],[Date]],"mmm")</f>
        <v>Jun</v>
      </c>
      <c r="B67" s="4">
        <v>44736</v>
      </c>
      <c r="C67" t="s">
        <v>2</v>
      </c>
      <c r="D67" t="s">
        <v>12</v>
      </c>
      <c r="E67" t="s">
        <v>59</v>
      </c>
      <c r="F67" s="1">
        <v>-6.86</v>
      </c>
      <c r="G67" s="1">
        <v>6310.92</v>
      </c>
      <c r="I67" t="str">
        <f t="shared" ref="I67:I79" si="2">REPLACE(G67,1,11,"")</f>
        <v/>
      </c>
    </row>
    <row r="68" spans="1:9" x14ac:dyDescent="0.3">
      <c r="A68" s="4" t="str">
        <f>TEXT(Table1[[#This Row],[Date]],"mmm")</f>
        <v>Jun</v>
      </c>
      <c r="B68" s="4">
        <v>44736</v>
      </c>
      <c r="C68" t="s">
        <v>3</v>
      </c>
      <c r="D68" t="s">
        <v>50</v>
      </c>
      <c r="E68" t="s">
        <v>103</v>
      </c>
      <c r="F68" s="1">
        <v>-69.25</v>
      </c>
      <c r="G68" s="1">
        <v>6241.67</v>
      </c>
      <c r="I68" t="str">
        <f t="shared" si="2"/>
        <v/>
      </c>
    </row>
    <row r="69" spans="1:9" x14ac:dyDescent="0.3">
      <c r="A69" s="4" t="str">
        <f>TEXT(Table1[[#This Row],[Date]],"mmm")</f>
        <v>Jun</v>
      </c>
      <c r="B69" s="4">
        <v>44737</v>
      </c>
      <c r="C69" t="s">
        <v>2</v>
      </c>
      <c r="D69" t="s">
        <v>15</v>
      </c>
      <c r="E69" t="s">
        <v>59</v>
      </c>
      <c r="F69" s="1">
        <v>-13.98</v>
      </c>
      <c r="G69" s="1">
        <v>6227.69</v>
      </c>
      <c r="I69" t="str">
        <f t="shared" si="2"/>
        <v/>
      </c>
    </row>
    <row r="70" spans="1:9" x14ac:dyDescent="0.3">
      <c r="A70" s="4" t="str">
        <f>TEXT(Table1[[#This Row],[Date]],"mmm")</f>
        <v>Jun</v>
      </c>
      <c r="B70" s="4">
        <v>44737</v>
      </c>
      <c r="C70" t="s">
        <v>2</v>
      </c>
      <c r="D70" t="s">
        <v>14</v>
      </c>
      <c r="E70" t="s">
        <v>60</v>
      </c>
      <c r="F70" s="1">
        <v>-50</v>
      </c>
      <c r="G70" s="1">
        <v>6177.69</v>
      </c>
      <c r="I70" t="str">
        <f t="shared" si="2"/>
        <v/>
      </c>
    </row>
    <row r="71" spans="1:9" x14ac:dyDescent="0.3">
      <c r="A71" s="4" t="str">
        <f>TEXT(Table1[[#This Row],[Date]],"mmm")</f>
        <v>Jun</v>
      </c>
      <c r="B71" s="4">
        <v>44737</v>
      </c>
      <c r="C71" t="s">
        <v>2</v>
      </c>
      <c r="D71" t="s">
        <v>13</v>
      </c>
      <c r="E71" t="s">
        <v>59</v>
      </c>
      <c r="F71" s="1">
        <v>-20</v>
      </c>
      <c r="G71" s="1">
        <v>6157.69</v>
      </c>
      <c r="I71" t="str">
        <f t="shared" si="2"/>
        <v/>
      </c>
    </row>
    <row r="72" spans="1:9" x14ac:dyDescent="0.3">
      <c r="A72" s="4" t="str">
        <f>TEXT(Table1[[#This Row],[Date]],"mmm")</f>
        <v>Jun</v>
      </c>
      <c r="B72" s="4">
        <v>44737</v>
      </c>
      <c r="C72" t="s">
        <v>2</v>
      </c>
      <c r="D72" t="s">
        <v>12</v>
      </c>
      <c r="E72" t="s">
        <v>59</v>
      </c>
      <c r="F72" s="1">
        <v>-6.91</v>
      </c>
      <c r="G72" s="1">
        <v>6150.78</v>
      </c>
      <c r="I72" t="str">
        <f t="shared" si="2"/>
        <v/>
      </c>
    </row>
    <row r="73" spans="1:9" x14ac:dyDescent="0.3">
      <c r="A73" s="4" t="str">
        <f>TEXT(Table1[[#This Row],[Date]],"mmm")</f>
        <v>Jun</v>
      </c>
      <c r="B73" s="4">
        <v>44737</v>
      </c>
      <c r="C73" t="s">
        <v>2</v>
      </c>
      <c r="D73" t="s">
        <v>11</v>
      </c>
      <c r="E73" t="s">
        <v>61</v>
      </c>
      <c r="F73" s="1">
        <v>-46.27</v>
      </c>
      <c r="G73" s="1">
        <v>6104.51</v>
      </c>
      <c r="I73" t="str">
        <f t="shared" si="2"/>
        <v/>
      </c>
    </row>
    <row r="74" spans="1:9" x14ac:dyDescent="0.3">
      <c r="A74" s="4" t="str">
        <f>TEXT(Table1[[#This Row],[Date]],"mmm")</f>
        <v>Jun</v>
      </c>
      <c r="B74" s="4">
        <v>44738</v>
      </c>
      <c r="C74" t="s">
        <v>2</v>
      </c>
      <c r="D74" t="s">
        <v>10</v>
      </c>
      <c r="E74" t="s">
        <v>59</v>
      </c>
      <c r="F74" s="1">
        <v>-100</v>
      </c>
      <c r="G74" s="1">
        <v>6004.51</v>
      </c>
      <c r="I74" t="str">
        <f t="shared" si="2"/>
        <v/>
      </c>
    </row>
    <row r="75" spans="1:9" x14ac:dyDescent="0.3">
      <c r="A75" s="4" t="str">
        <f>TEXT(Table1[[#This Row],[Date]],"mmm")</f>
        <v>Jun</v>
      </c>
      <c r="B75" s="4">
        <v>44738</v>
      </c>
      <c r="C75" t="s">
        <v>2</v>
      </c>
      <c r="D75" t="s">
        <v>9</v>
      </c>
      <c r="E75" t="s">
        <v>62</v>
      </c>
      <c r="F75" s="1">
        <v>-10.199999999999999</v>
      </c>
      <c r="G75" s="1">
        <v>5994.31</v>
      </c>
      <c r="I75" t="str">
        <f t="shared" si="2"/>
        <v/>
      </c>
    </row>
    <row r="76" spans="1:9" x14ac:dyDescent="0.3">
      <c r="A76" s="4" t="str">
        <f>TEXT(Table1[[#This Row],[Date]],"mmm")</f>
        <v>Jun</v>
      </c>
      <c r="B76" s="4">
        <v>44739</v>
      </c>
      <c r="C76" t="s">
        <v>2</v>
      </c>
      <c r="D76" t="s">
        <v>8</v>
      </c>
      <c r="E76" t="s">
        <v>59</v>
      </c>
      <c r="F76" s="1">
        <v>-10.57</v>
      </c>
      <c r="G76" s="1">
        <v>5983.74</v>
      </c>
      <c r="I76" t="str">
        <f t="shared" si="2"/>
        <v/>
      </c>
    </row>
    <row r="77" spans="1:9" x14ac:dyDescent="0.3">
      <c r="A77" s="4" t="str">
        <f>TEXT(Table1[[#This Row],[Date]],"mmm")</f>
        <v>Jun</v>
      </c>
      <c r="B77" s="4">
        <v>44739</v>
      </c>
      <c r="C77" t="s">
        <v>2</v>
      </c>
      <c r="D77" t="s">
        <v>7</v>
      </c>
      <c r="E77" t="s">
        <v>62</v>
      </c>
      <c r="F77" s="1">
        <v>-7.56</v>
      </c>
      <c r="G77" s="1">
        <v>5976.18</v>
      </c>
      <c r="I77" t="str">
        <f t="shared" si="2"/>
        <v/>
      </c>
    </row>
    <row r="78" spans="1:9" x14ac:dyDescent="0.3">
      <c r="A78" s="4" t="str">
        <f>TEXT(Table1[[#This Row],[Date]],"mmm")</f>
        <v>Jun</v>
      </c>
      <c r="B78" s="4">
        <v>44739</v>
      </c>
      <c r="C78" t="s">
        <v>3</v>
      </c>
      <c r="D78" t="s">
        <v>49</v>
      </c>
      <c r="E78" t="s">
        <v>62</v>
      </c>
      <c r="F78" s="1">
        <v>-42.23</v>
      </c>
      <c r="G78" s="1">
        <v>5933.95</v>
      </c>
      <c r="I78" t="str">
        <f t="shared" si="2"/>
        <v/>
      </c>
    </row>
    <row r="79" spans="1:9" x14ac:dyDescent="0.3">
      <c r="A79" s="4" t="str">
        <f>TEXT(Table1[[#This Row],[Date]],"mmm")</f>
        <v>Jun</v>
      </c>
      <c r="B79" s="4">
        <v>44740</v>
      </c>
      <c r="C79" t="s">
        <v>2</v>
      </c>
      <c r="D79" t="s">
        <v>6</v>
      </c>
      <c r="E79" t="s">
        <v>61</v>
      </c>
      <c r="F79" s="1">
        <v>-21.2</v>
      </c>
      <c r="G79" s="1">
        <v>5912.75</v>
      </c>
      <c r="I79" t="str">
        <f t="shared" si="2"/>
        <v/>
      </c>
    </row>
    <row r="80" spans="1:9" hidden="1" x14ac:dyDescent="0.3">
      <c r="A80" s="4" t="str">
        <f>TEXT(Table1[[#This Row],[Date]],"mmm")</f>
        <v>Jul</v>
      </c>
      <c r="B80" s="4">
        <v>44743</v>
      </c>
      <c r="C80" t="s">
        <v>155</v>
      </c>
      <c r="D80" t="s">
        <v>109</v>
      </c>
      <c r="E80" t="s">
        <v>161</v>
      </c>
      <c r="F80" s="1">
        <v>-803</v>
      </c>
      <c r="G80" s="1">
        <v>5109.75</v>
      </c>
    </row>
    <row r="81" spans="1:7" hidden="1" x14ac:dyDescent="0.3">
      <c r="A81" s="4" t="str">
        <f>TEXT(Table1[[#This Row],[Date]],"mmm")</f>
        <v>Jul</v>
      </c>
      <c r="B81" s="4">
        <v>44743</v>
      </c>
      <c r="C81" t="s">
        <v>154</v>
      </c>
      <c r="D81" t="s">
        <v>108</v>
      </c>
      <c r="E81" t="s">
        <v>161</v>
      </c>
      <c r="F81" s="1">
        <v>3</v>
      </c>
      <c r="G81" s="1">
        <v>5112.75</v>
      </c>
    </row>
    <row r="82" spans="1:7" hidden="1" x14ac:dyDescent="0.3">
      <c r="A82" s="4" t="str">
        <f>TEXT(Table1[[#This Row],[Date]],"mmm")</f>
        <v>Jul</v>
      </c>
      <c r="B82" s="4">
        <v>44743</v>
      </c>
      <c r="C82" t="s">
        <v>156</v>
      </c>
      <c r="D82" t="s">
        <v>110</v>
      </c>
      <c r="E82" t="s">
        <v>61</v>
      </c>
      <c r="F82" s="1">
        <v>-28.78</v>
      </c>
      <c r="G82" s="1">
        <v>5083.97</v>
      </c>
    </row>
    <row r="83" spans="1:7" hidden="1" x14ac:dyDescent="0.3">
      <c r="A83" s="4" t="str">
        <f>TEXT(Table1[[#This Row],[Date]],"mmm")</f>
        <v>Jul</v>
      </c>
      <c r="B83" s="4">
        <v>44743</v>
      </c>
      <c r="C83" t="s">
        <v>156</v>
      </c>
      <c r="D83" t="s">
        <v>110</v>
      </c>
      <c r="E83" t="s">
        <v>61</v>
      </c>
      <c r="F83" s="1">
        <v>-15.78</v>
      </c>
      <c r="G83" s="1">
        <v>5068.1899999999996</v>
      </c>
    </row>
    <row r="84" spans="1:7" hidden="1" x14ac:dyDescent="0.3">
      <c r="A84" s="4" t="str">
        <f>TEXT(Table1[[#This Row],[Date]],"mmm")</f>
        <v>Jul</v>
      </c>
      <c r="B84" s="4">
        <v>44743</v>
      </c>
      <c r="C84" t="s">
        <v>156</v>
      </c>
      <c r="D84" t="s">
        <v>111</v>
      </c>
      <c r="E84" t="s">
        <v>59</v>
      </c>
      <c r="F84" s="1">
        <v>-10.65</v>
      </c>
      <c r="G84" s="1">
        <v>5057.54</v>
      </c>
    </row>
    <row r="85" spans="1:7" hidden="1" x14ac:dyDescent="0.3">
      <c r="A85" s="4" t="str">
        <f>TEXT(Table1[[#This Row],[Date]],"mmm")</f>
        <v>Jul</v>
      </c>
      <c r="B85" s="4">
        <v>44744</v>
      </c>
      <c r="C85" t="s">
        <v>156</v>
      </c>
      <c r="D85" t="s">
        <v>112</v>
      </c>
      <c r="E85" t="s">
        <v>59</v>
      </c>
      <c r="F85" s="1">
        <v>-30</v>
      </c>
      <c r="G85" s="1">
        <v>5027.54</v>
      </c>
    </row>
    <row r="86" spans="1:7" hidden="1" x14ac:dyDescent="0.3">
      <c r="A86" s="4" t="str">
        <f>TEXT(Table1[[#This Row],[Date]],"mmm")</f>
        <v>Jul</v>
      </c>
      <c r="B86" s="4">
        <v>44744</v>
      </c>
      <c r="C86" t="s">
        <v>156</v>
      </c>
      <c r="D86" t="s">
        <v>113</v>
      </c>
      <c r="E86" t="s">
        <v>59</v>
      </c>
      <c r="F86" s="1">
        <v>-5.88</v>
      </c>
      <c r="G86" s="1">
        <v>5021.66</v>
      </c>
    </row>
    <row r="87" spans="1:7" hidden="1" x14ac:dyDescent="0.3">
      <c r="A87" s="4" t="str">
        <f>TEXT(Table1[[#This Row],[Date]],"mmm")</f>
        <v>Jul</v>
      </c>
      <c r="B87" s="4">
        <v>44745</v>
      </c>
      <c r="C87" t="s">
        <v>156</v>
      </c>
      <c r="D87" t="s">
        <v>114</v>
      </c>
      <c r="E87" t="s">
        <v>62</v>
      </c>
      <c r="F87" s="1">
        <v>-1.99</v>
      </c>
      <c r="G87" s="1">
        <v>5019.67</v>
      </c>
    </row>
    <row r="88" spans="1:7" hidden="1" x14ac:dyDescent="0.3">
      <c r="A88" s="4" t="str">
        <f>TEXT(Table1[[#This Row],[Date]],"mmm")</f>
        <v>Jul</v>
      </c>
      <c r="B88" s="4">
        <v>44747</v>
      </c>
      <c r="C88" t="s">
        <v>156</v>
      </c>
      <c r="D88" t="s">
        <v>115</v>
      </c>
      <c r="E88" t="s">
        <v>59</v>
      </c>
      <c r="F88" s="1">
        <v>-15</v>
      </c>
      <c r="G88" s="1">
        <v>5004.67</v>
      </c>
    </row>
    <row r="89" spans="1:7" hidden="1" x14ac:dyDescent="0.3">
      <c r="A89" s="4" t="str">
        <f>TEXT(Table1[[#This Row],[Date]],"mmm")</f>
        <v>Jul</v>
      </c>
      <c r="B89" s="4">
        <v>44747</v>
      </c>
      <c r="C89" t="s">
        <v>156</v>
      </c>
      <c r="D89" t="s">
        <v>116</v>
      </c>
      <c r="E89" t="s">
        <v>59</v>
      </c>
      <c r="F89" s="1">
        <v>-6.86</v>
      </c>
      <c r="G89" s="1">
        <v>4997.8100000000004</v>
      </c>
    </row>
    <row r="90" spans="1:7" hidden="1" x14ac:dyDescent="0.3">
      <c r="A90" s="4" t="str">
        <f>TEXT(Table1[[#This Row],[Date]],"mmm")</f>
        <v>Jul</v>
      </c>
      <c r="B90" s="4">
        <v>44747</v>
      </c>
      <c r="C90" t="s">
        <v>157</v>
      </c>
      <c r="D90" t="s">
        <v>53</v>
      </c>
      <c r="E90" t="s">
        <v>63</v>
      </c>
      <c r="F90" s="1">
        <v>-1</v>
      </c>
      <c r="G90" s="1">
        <v>4996.8100000000004</v>
      </c>
    </row>
    <row r="91" spans="1:7" hidden="1" x14ac:dyDescent="0.3">
      <c r="A91" s="4" t="str">
        <f>TEXT(Table1[[#This Row],[Date]],"mmm")</f>
        <v>Jul</v>
      </c>
      <c r="B91" s="4">
        <v>44747</v>
      </c>
      <c r="C91" t="s">
        <v>157</v>
      </c>
      <c r="D91" t="s">
        <v>52</v>
      </c>
      <c r="E91" t="s">
        <v>63</v>
      </c>
      <c r="F91" s="1">
        <v>-719</v>
      </c>
      <c r="G91" s="1">
        <v>4277.8100000000004</v>
      </c>
    </row>
    <row r="92" spans="1:7" hidden="1" x14ac:dyDescent="0.3">
      <c r="A92" s="4" t="str">
        <f>TEXT(Table1[[#This Row],[Date]],"mmm")</f>
        <v>Jul</v>
      </c>
      <c r="B92" s="4">
        <v>44747</v>
      </c>
      <c r="C92" t="s">
        <v>157</v>
      </c>
      <c r="D92" t="s">
        <v>49</v>
      </c>
      <c r="E92" t="s">
        <v>103</v>
      </c>
      <c r="F92" s="1">
        <v>-500</v>
      </c>
      <c r="G92" s="1">
        <v>3777.81</v>
      </c>
    </row>
    <row r="93" spans="1:7" hidden="1" x14ac:dyDescent="0.3">
      <c r="A93" s="4" t="str">
        <f>TEXT(Table1[[#This Row],[Date]],"mmm")</f>
        <v>Jul</v>
      </c>
      <c r="B93" s="4">
        <v>44747</v>
      </c>
      <c r="C93" t="s">
        <v>156</v>
      </c>
      <c r="D93" t="s">
        <v>117</v>
      </c>
      <c r="E93" t="s">
        <v>103</v>
      </c>
      <c r="F93" s="1">
        <v>-86.41</v>
      </c>
      <c r="G93" s="1">
        <v>3691.4</v>
      </c>
    </row>
    <row r="94" spans="1:7" hidden="1" x14ac:dyDescent="0.3">
      <c r="A94" s="4" t="str">
        <f>TEXT(Table1[[#This Row],[Date]],"mmm")</f>
        <v>Jul</v>
      </c>
      <c r="B94" s="4">
        <v>44748</v>
      </c>
      <c r="C94" t="s">
        <v>156</v>
      </c>
      <c r="D94" t="s">
        <v>118</v>
      </c>
      <c r="E94" t="s">
        <v>103</v>
      </c>
      <c r="F94" s="1">
        <v>-25.47</v>
      </c>
      <c r="G94" s="1">
        <v>3665.93</v>
      </c>
    </row>
    <row r="95" spans="1:7" hidden="1" x14ac:dyDescent="0.3">
      <c r="A95" s="4" t="str">
        <f>TEXT(Table1[[#This Row],[Date]],"mmm")</f>
        <v>Jul</v>
      </c>
      <c r="B95" s="4">
        <v>44748</v>
      </c>
      <c r="C95" t="s">
        <v>156</v>
      </c>
      <c r="D95" t="s">
        <v>119</v>
      </c>
      <c r="E95" t="s">
        <v>59</v>
      </c>
      <c r="F95" s="1">
        <v>-15.53</v>
      </c>
      <c r="G95" s="1">
        <v>3650.4</v>
      </c>
    </row>
    <row r="96" spans="1:7" hidden="1" x14ac:dyDescent="0.3">
      <c r="A96" s="4" t="str">
        <f>TEXT(Table1[[#This Row],[Date]],"mmm")</f>
        <v>Jul</v>
      </c>
      <c r="B96" s="4">
        <v>44749</v>
      </c>
      <c r="C96" t="s">
        <v>156</v>
      </c>
      <c r="D96" t="s">
        <v>120</v>
      </c>
      <c r="E96" t="s">
        <v>103</v>
      </c>
      <c r="F96" s="1">
        <v>-25.47</v>
      </c>
      <c r="G96" s="1">
        <v>3624.93</v>
      </c>
    </row>
    <row r="97" spans="1:7" hidden="1" x14ac:dyDescent="0.3">
      <c r="A97" s="4" t="str">
        <f>TEXT(Table1[[#This Row],[Date]],"mmm")</f>
        <v>Jul</v>
      </c>
      <c r="B97" s="4">
        <v>44749</v>
      </c>
      <c r="C97" t="s">
        <v>156</v>
      </c>
      <c r="D97" t="s">
        <v>121</v>
      </c>
      <c r="E97" t="s">
        <v>103</v>
      </c>
      <c r="F97" s="1">
        <v>-331.76</v>
      </c>
      <c r="G97" s="1">
        <v>3293.17</v>
      </c>
    </row>
    <row r="98" spans="1:7" hidden="1" x14ac:dyDescent="0.3">
      <c r="A98" s="4" t="str">
        <f>TEXT(Table1[[#This Row],[Date]],"mmm")</f>
        <v>Jul</v>
      </c>
      <c r="B98" s="4">
        <v>44749</v>
      </c>
      <c r="C98" t="s">
        <v>158</v>
      </c>
      <c r="D98" t="s">
        <v>122</v>
      </c>
      <c r="E98" t="s">
        <v>103</v>
      </c>
      <c r="F98" s="1">
        <v>25.47</v>
      </c>
      <c r="G98" s="1">
        <v>3318.64</v>
      </c>
    </row>
    <row r="99" spans="1:7" hidden="1" x14ac:dyDescent="0.3">
      <c r="A99" s="4" t="str">
        <f>TEXT(Table1[[#This Row],[Date]],"mmm")</f>
        <v>Jul</v>
      </c>
      <c r="B99" s="4">
        <v>44749</v>
      </c>
      <c r="C99" t="s">
        <v>156</v>
      </c>
      <c r="D99" t="s">
        <v>123</v>
      </c>
      <c r="E99" t="s">
        <v>59</v>
      </c>
      <c r="F99" s="1">
        <v>-150</v>
      </c>
      <c r="G99" s="1">
        <v>3168.64</v>
      </c>
    </row>
    <row r="100" spans="1:7" hidden="1" x14ac:dyDescent="0.3">
      <c r="A100" s="4" t="str">
        <f>TEXT(Table1[[#This Row],[Date]],"mmm")</f>
        <v>Jul</v>
      </c>
      <c r="B100" s="4">
        <v>44750</v>
      </c>
      <c r="C100" t="s">
        <v>159</v>
      </c>
      <c r="D100" t="s">
        <v>51</v>
      </c>
      <c r="E100" t="s">
        <v>64</v>
      </c>
      <c r="F100" s="1">
        <v>1988.16</v>
      </c>
      <c r="G100" s="1">
        <v>5156.8</v>
      </c>
    </row>
    <row r="101" spans="1:7" hidden="1" x14ac:dyDescent="0.3">
      <c r="A101" s="4" t="str">
        <f>TEXT(Table1[[#This Row],[Date]],"mmm")</f>
        <v>Jul</v>
      </c>
      <c r="B101" s="4">
        <v>44751</v>
      </c>
      <c r="C101" t="s">
        <v>156</v>
      </c>
      <c r="D101" t="s">
        <v>124</v>
      </c>
      <c r="E101" t="s">
        <v>59</v>
      </c>
      <c r="F101" s="1">
        <v>-4.99</v>
      </c>
      <c r="G101" s="1">
        <v>5151.8100000000004</v>
      </c>
    </row>
    <row r="102" spans="1:7" hidden="1" x14ac:dyDescent="0.3">
      <c r="A102" s="4" t="str">
        <f>TEXT(Table1[[#This Row],[Date]],"mmm")</f>
        <v>Jul</v>
      </c>
      <c r="B102" s="4">
        <v>44753</v>
      </c>
      <c r="C102" t="s">
        <v>156</v>
      </c>
      <c r="D102" t="s">
        <v>119</v>
      </c>
      <c r="E102" t="s">
        <v>59</v>
      </c>
      <c r="F102" s="1">
        <v>-9.2899999999999991</v>
      </c>
      <c r="G102" s="1">
        <v>5142.5200000000004</v>
      </c>
    </row>
    <row r="103" spans="1:7" hidden="1" x14ac:dyDescent="0.3">
      <c r="A103" s="4" t="str">
        <f>TEXT(Table1[[#This Row],[Date]],"mmm")</f>
        <v>Jul</v>
      </c>
      <c r="B103" s="4">
        <v>44753</v>
      </c>
      <c r="C103" t="s">
        <v>156</v>
      </c>
      <c r="D103" t="s">
        <v>125</v>
      </c>
      <c r="E103" t="s">
        <v>62</v>
      </c>
      <c r="F103" s="1">
        <v>-5.25</v>
      </c>
      <c r="G103" s="1">
        <v>5137.2700000000004</v>
      </c>
    </row>
    <row r="104" spans="1:7" hidden="1" x14ac:dyDescent="0.3">
      <c r="A104" s="4" t="str">
        <f>TEXT(Table1[[#This Row],[Date]],"mmm")</f>
        <v>Jul</v>
      </c>
      <c r="B104" s="4">
        <v>44753</v>
      </c>
      <c r="C104" t="s">
        <v>156</v>
      </c>
      <c r="D104" t="s">
        <v>126</v>
      </c>
      <c r="E104" t="s">
        <v>59</v>
      </c>
      <c r="F104" s="1">
        <v>-4.99</v>
      </c>
      <c r="G104" s="1">
        <v>5132.28</v>
      </c>
    </row>
    <row r="105" spans="1:7" hidden="1" x14ac:dyDescent="0.3">
      <c r="A105" s="4" t="str">
        <f>TEXT(Table1[[#This Row],[Date]],"mmm")</f>
        <v>Jul</v>
      </c>
      <c r="B105" s="4">
        <v>44754</v>
      </c>
      <c r="C105" t="s">
        <v>156</v>
      </c>
      <c r="D105" t="s">
        <v>127</v>
      </c>
      <c r="E105" t="s">
        <v>59</v>
      </c>
      <c r="F105" s="1">
        <v>-7.99</v>
      </c>
      <c r="G105" s="1">
        <v>5124.29</v>
      </c>
    </row>
    <row r="106" spans="1:7" hidden="1" x14ac:dyDescent="0.3">
      <c r="A106" s="4" t="str">
        <f>TEXT(Table1[[#This Row],[Date]],"mmm")</f>
        <v>Jul</v>
      </c>
      <c r="B106" s="4">
        <v>44754</v>
      </c>
      <c r="C106" t="s">
        <v>156</v>
      </c>
      <c r="D106" t="s">
        <v>128</v>
      </c>
      <c r="E106" t="s">
        <v>61</v>
      </c>
      <c r="F106" s="1">
        <v>-40.44</v>
      </c>
      <c r="G106" s="1">
        <v>5083.8500000000004</v>
      </c>
    </row>
    <row r="107" spans="1:7" hidden="1" x14ac:dyDescent="0.3">
      <c r="A107" s="4" t="str">
        <f>TEXT(Table1[[#This Row],[Date]],"mmm")</f>
        <v>Jul</v>
      </c>
      <c r="B107" s="4">
        <v>44754</v>
      </c>
      <c r="C107" t="s">
        <v>156</v>
      </c>
      <c r="D107" t="s">
        <v>129</v>
      </c>
      <c r="E107" t="s">
        <v>62</v>
      </c>
      <c r="F107" s="1">
        <v>-7.56</v>
      </c>
      <c r="G107" s="1">
        <v>5076.29</v>
      </c>
    </row>
    <row r="108" spans="1:7" hidden="1" x14ac:dyDescent="0.3">
      <c r="A108" s="4" t="str">
        <f>TEXT(Table1[[#This Row],[Date]],"mmm")</f>
        <v>Jul</v>
      </c>
      <c r="B108" s="4">
        <v>44757</v>
      </c>
      <c r="C108" t="s">
        <v>159</v>
      </c>
      <c r="D108" t="s">
        <v>130</v>
      </c>
      <c r="E108" t="s">
        <v>62</v>
      </c>
      <c r="F108" s="1">
        <v>0.01</v>
      </c>
      <c r="G108" s="1">
        <v>5076.3</v>
      </c>
    </row>
    <row r="109" spans="1:7" hidden="1" x14ac:dyDescent="0.3">
      <c r="A109" s="4" t="str">
        <f>TEXT(Table1[[#This Row],[Date]],"mmm")</f>
        <v>Jul</v>
      </c>
      <c r="B109" s="4">
        <v>44757</v>
      </c>
      <c r="C109" t="s">
        <v>159</v>
      </c>
      <c r="D109" t="s">
        <v>130</v>
      </c>
      <c r="E109" t="s">
        <v>62</v>
      </c>
      <c r="F109" s="1">
        <v>0.08</v>
      </c>
      <c r="G109" s="1">
        <v>5076.38</v>
      </c>
    </row>
    <row r="110" spans="1:7" hidden="1" x14ac:dyDescent="0.3">
      <c r="A110" s="4" t="str">
        <f>TEXT(Table1[[#This Row],[Date]],"mmm")</f>
        <v>Jul</v>
      </c>
      <c r="B110" s="4">
        <v>44757</v>
      </c>
      <c r="C110" t="s">
        <v>157</v>
      </c>
      <c r="D110" t="s">
        <v>130</v>
      </c>
      <c r="E110" t="s">
        <v>62</v>
      </c>
      <c r="F110" s="1">
        <v>-0.09</v>
      </c>
      <c r="G110" s="1">
        <v>5076.29</v>
      </c>
    </row>
    <row r="111" spans="1:7" hidden="1" x14ac:dyDescent="0.3">
      <c r="A111" s="4" t="str">
        <f>TEXT(Table1[[#This Row],[Date]],"mmm")</f>
        <v>Jul</v>
      </c>
      <c r="B111" s="4">
        <v>44759</v>
      </c>
      <c r="C111" t="s">
        <v>156</v>
      </c>
      <c r="D111" t="s">
        <v>131</v>
      </c>
      <c r="E111" t="s">
        <v>61</v>
      </c>
      <c r="F111" s="1">
        <v>-9.08</v>
      </c>
      <c r="G111" s="1">
        <v>5067.21</v>
      </c>
    </row>
    <row r="112" spans="1:7" hidden="1" x14ac:dyDescent="0.3">
      <c r="A112" s="4" t="str">
        <f>TEXT(Table1[[#This Row],[Date]],"mmm")</f>
        <v>Jul</v>
      </c>
      <c r="B112" s="4">
        <v>44760</v>
      </c>
      <c r="C112" t="s">
        <v>156</v>
      </c>
      <c r="D112" t="s">
        <v>116</v>
      </c>
      <c r="E112" t="s">
        <v>59</v>
      </c>
      <c r="F112" s="1">
        <v>-6.7</v>
      </c>
      <c r="G112" s="1">
        <v>5060.51</v>
      </c>
    </row>
    <row r="113" spans="1:7" hidden="1" x14ac:dyDescent="0.3">
      <c r="A113" s="4" t="str">
        <f>TEXT(Table1[[#This Row],[Date]],"mmm")</f>
        <v>Jul</v>
      </c>
      <c r="B113" s="4">
        <v>44760</v>
      </c>
      <c r="C113" t="s">
        <v>157</v>
      </c>
      <c r="D113" t="s">
        <v>132</v>
      </c>
      <c r="E113" t="s">
        <v>63</v>
      </c>
      <c r="F113" s="1">
        <v>-899.92</v>
      </c>
      <c r="G113" s="1">
        <v>4160.59</v>
      </c>
    </row>
    <row r="114" spans="1:7" hidden="1" x14ac:dyDescent="0.3">
      <c r="A114" s="4" t="str">
        <f>TEXT(Table1[[#This Row],[Date]],"mmm")</f>
        <v>Jul</v>
      </c>
      <c r="B114" s="4">
        <v>44760</v>
      </c>
      <c r="C114" t="s">
        <v>156</v>
      </c>
      <c r="D114" t="s">
        <v>125</v>
      </c>
      <c r="E114" t="s">
        <v>62</v>
      </c>
      <c r="F114" s="1">
        <v>-4</v>
      </c>
      <c r="G114" s="1">
        <v>4156.59</v>
      </c>
    </row>
    <row r="115" spans="1:7" hidden="1" x14ac:dyDescent="0.3">
      <c r="A115" s="4" t="str">
        <f>TEXT(Table1[[#This Row],[Date]],"mmm")</f>
        <v>Jul</v>
      </c>
      <c r="B115" s="4">
        <v>44760</v>
      </c>
      <c r="C115" t="s">
        <v>156</v>
      </c>
      <c r="D115" t="s">
        <v>133</v>
      </c>
      <c r="E115" t="s">
        <v>61</v>
      </c>
      <c r="F115" s="1">
        <v>-5.46</v>
      </c>
      <c r="G115" s="1">
        <v>4151.13</v>
      </c>
    </row>
    <row r="116" spans="1:7" hidden="1" x14ac:dyDescent="0.3">
      <c r="A116" s="4" t="str">
        <f>TEXT(Table1[[#This Row],[Date]],"mmm")</f>
        <v>Jul</v>
      </c>
      <c r="B116" s="4">
        <v>44761</v>
      </c>
      <c r="C116" t="s">
        <v>156</v>
      </c>
      <c r="D116" t="s">
        <v>134</v>
      </c>
      <c r="E116" t="s">
        <v>62</v>
      </c>
      <c r="F116" s="1">
        <v>-3.38</v>
      </c>
      <c r="G116" s="1">
        <v>4147.75</v>
      </c>
    </row>
    <row r="117" spans="1:7" hidden="1" x14ac:dyDescent="0.3">
      <c r="A117" s="4" t="str">
        <f>TEXT(Table1[[#This Row],[Date]],"mmm")</f>
        <v>Jul</v>
      </c>
      <c r="B117" s="4">
        <v>44761</v>
      </c>
      <c r="C117" t="s">
        <v>160</v>
      </c>
      <c r="D117" t="s">
        <v>134</v>
      </c>
      <c r="E117" t="s">
        <v>62</v>
      </c>
      <c r="F117" s="1">
        <v>-0.03</v>
      </c>
      <c r="G117" s="1">
        <v>4147.72</v>
      </c>
    </row>
    <row r="118" spans="1:7" hidden="1" x14ac:dyDescent="0.3">
      <c r="A118" s="4" t="str">
        <f>TEXT(Table1[[#This Row],[Date]],"mmm")</f>
        <v>Jul</v>
      </c>
      <c r="B118" s="4">
        <v>44761</v>
      </c>
      <c r="C118" t="s">
        <v>156</v>
      </c>
      <c r="D118" t="s">
        <v>135</v>
      </c>
      <c r="E118" t="s">
        <v>61</v>
      </c>
      <c r="F118" s="1">
        <v>-34.130000000000003</v>
      </c>
      <c r="G118" s="1">
        <v>4113.59</v>
      </c>
    </row>
    <row r="119" spans="1:7" hidden="1" x14ac:dyDescent="0.3">
      <c r="A119" s="4" t="str">
        <f>TEXT(Table1[[#This Row],[Date]],"mmm")</f>
        <v>Jul</v>
      </c>
      <c r="B119" s="4">
        <v>44761</v>
      </c>
      <c r="C119" t="s">
        <v>156</v>
      </c>
      <c r="D119" t="s">
        <v>136</v>
      </c>
      <c r="E119" t="s">
        <v>65</v>
      </c>
      <c r="F119" s="1">
        <v>-54.87</v>
      </c>
      <c r="G119" s="1">
        <v>4058.72</v>
      </c>
    </row>
    <row r="120" spans="1:7" hidden="1" x14ac:dyDescent="0.3">
      <c r="A120" s="4" t="str">
        <f>TEXT(Table1[[#This Row],[Date]],"mmm")</f>
        <v>Jul</v>
      </c>
      <c r="B120" s="4">
        <v>44761</v>
      </c>
      <c r="C120" t="s">
        <v>156</v>
      </c>
      <c r="D120" t="s">
        <v>137</v>
      </c>
      <c r="E120" t="s">
        <v>62</v>
      </c>
      <c r="F120" s="1">
        <v>-2.69</v>
      </c>
      <c r="G120" s="1">
        <v>4056.03</v>
      </c>
    </row>
    <row r="121" spans="1:7" hidden="1" x14ac:dyDescent="0.3">
      <c r="A121" s="4" t="str">
        <f>TEXT(Table1[[#This Row],[Date]],"mmm")</f>
        <v>Jul</v>
      </c>
      <c r="B121" s="4">
        <v>44762</v>
      </c>
      <c r="C121" t="s">
        <v>156</v>
      </c>
      <c r="D121" t="s">
        <v>138</v>
      </c>
      <c r="E121" t="s">
        <v>103</v>
      </c>
      <c r="F121" s="1">
        <v>-22</v>
      </c>
      <c r="G121" s="1">
        <v>4034.03</v>
      </c>
    </row>
    <row r="122" spans="1:7" hidden="1" x14ac:dyDescent="0.3">
      <c r="A122" s="4" t="str">
        <f>TEXT(Table1[[#This Row],[Date]],"mmm")</f>
        <v>Jul</v>
      </c>
      <c r="B122" s="4">
        <v>44763</v>
      </c>
      <c r="C122" t="s">
        <v>159</v>
      </c>
      <c r="D122" t="s">
        <v>51</v>
      </c>
      <c r="E122" t="s">
        <v>64</v>
      </c>
      <c r="F122" s="1">
        <v>3825.76</v>
      </c>
      <c r="G122" s="1">
        <v>7859.79</v>
      </c>
    </row>
    <row r="123" spans="1:7" hidden="1" x14ac:dyDescent="0.3">
      <c r="A123" s="4" t="str">
        <f>TEXT(Table1[[#This Row],[Date]],"mmm")</f>
        <v>Jul</v>
      </c>
      <c r="B123" s="4">
        <v>44763</v>
      </c>
      <c r="C123" t="s">
        <v>156</v>
      </c>
      <c r="D123" t="s">
        <v>139</v>
      </c>
      <c r="E123" t="s">
        <v>59</v>
      </c>
      <c r="F123" s="1">
        <v>-10.130000000000001</v>
      </c>
      <c r="G123" s="1">
        <v>7849.66</v>
      </c>
    </row>
    <row r="124" spans="1:7" hidden="1" x14ac:dyDescent="0.3">
      <c r="A124" s="4" t="str">
        <f>TEXT(Table1[[#This Row],[Date]],"mmm")</f>
        <v>Jul</v>
      </c>
      <c r="B124" s="4">
        <v>44763</v>
      </c>
      <c r="C124" t="s">
        <v>156</v>
      </c>
      <c r="D124" t="s">
        <v>140</v>
      </c>
      <c r="E124" t="s">
        <v>62</v>
      </c>
      <c r="F124" s="1">
        <v>-75.599999999999994</v>
      </c>
      <c r="G124" s="1">
        <v>7774.06</v>
      </c>
    </row>
    <row r="125" spans="1:7" hidden="1" x14ac:dyDescent="0.3">
      <c r="A125" s="4" t="str">
        <f>TEXT(Table1[[#This Row],[Date]],"mmm")</f>
        <v>Jul</v>
      </c>
      <c r="B125" s="4">
        <v>44764</v>
      </c>
      <c r="C125" t="s">
        <v>156</v>
      </c>
      <c r="D125" t="s">
        <v>123</v>
      </c>
      <c r="E125" t="s">
        <v>59</v>
      </c>
      <c r="F125" s="1">
        <v>-100</v>
      </c>
      <c r="G125" s="1">
        <v>7674.06</v>
      </c>
    </row>
    <row r="126" spans="1:7" hidden="1" x14ac:dyDescent="0.3">
      <c r="A126" s="4" t="str">
        <f>TEXT(Table1[[#This Row],[Date]],"mmm")</f>
        <v>Jul</v>
      </c>
      <c r="B126" s="4">
        <v>44764</v>
      </c>
      <c r="C126" t="s">
        <v>157</v>
      </c>
      <c r="D126" t="s">
        <v>49</v>
      </c>
      <c r="E126" t="s">
        <v>63</v>
      </c>
      <c r="F126" s="1">
        <v>-67.42</v>
      </c>
      <c r="G126" s="1">
        <v>7606.64</v>
      </c>
    </row>
    <row r="127" spans="1:7" hidden="1" x14ac:dyDescent="0.3">
      <c r="A127" s="4" t="str">
        <f>TEXT(Table1[[#This Row],[Date]],"mmm")</f>
        <v>Jul</v>
      </c>
      <c r="B127" s="4">
        <v>44764</v>
      </c>
      <c r="C127" t="s">
        <v>156</v>
      </c>
      <c r="D127" t="s">
        <v>141</v>
      </c>
      <c r="E127" t="s">
        <v>62</v>
      </c>
      <c r="F127" s="1">
        <v>-5.01</v>
      </c>
      <c r="G127" s="1">
        <v>7601.63</v>
      </c>
    </row>
    <row r="128" spans="1:7" hidden="1" x14ac:dyDescent="0.3">
      <c r="A128" s="4" t="str">
        <f>TEXT(Table1[[#This Row],[Date]],"mmm")</f>
        <v>Jul</v>
      </c>
      <c r="B128" s="4">
        <v>44764</v>
      </c>
      <c r="C128" t="s">
        <v>160</v>
      </c>
      <c r="D128" t="s">
        <v>141</v>
      </c>
      <c r="E128" t="s">
        <v>62</v>
      </c>
      <c r="F128" s="1">
        <v>-0.05</v>
      </c>
      <c r="G128" s="1">
        <v>7601.58</v>
      </c>
    </row>
    <row r="129" spans="1:7" hidden="1" x14ac:dyDescent="0.3">
      <c r="A129" s="4" t="str">
        <f>TEXT(Table1[[#This Row],[Date]],"mmm")</f>
        <v>Jul</v>
      </c>
      <c r="B129" s="4">
        <v>44764</v>
      </c>
      <c r="C129" t="s">
        <v>156</v>
      </c>
      <c r="D129" t="s">
        <v>142</v>
      </c>
      <c r="E129" t="s">
        <v>62</v>
      </c>
      <c r="F129" s="1">
        <v>-3.23</v>
      </c>
      <c r="G129" s="1">
        <v>7598.35</v>
      </c>
    </row>
    <row r="130" spans="1:7" hidden="1" x14ac:dyDescent="0.3">
      <c r="A130" s="4" t="str">
        <f>TEXT(Table1[[#This Row],[Date]],"mmm")</f>
        <v>Jul</v>
      </c>
      <c r="B130" s="4">
        <v>44765</v>
      </c>
      <c r="C130" t="s">
        <v>156</v>
      </c>
      <c r="D130" t="s">
        <v>143</v>
      </c>
      <c r="E130" t="s">
        <v>59</v>
      </c>
      <c r="F130" s="1">
        <v>-28.57</v>
      </c>
      <c r="G130" s="1">
        <v>7569.78</v>
      </c>
    </row>
    <row r="131" spans="1:7" hidden="1" x14ac:dyDescent="0.3">
      <c r="A131" s="4" t="str">
        <f>TEXT(Table1[[#This Row],[Date]],"mmm")</f>
        <v>Jul</v>
      </c>
      <c r="B131" s="4">
        <v>44765</v>
      </c>
      <c r="C131" t="s">
        <v>156</v>
      </c>
      <c r="D131" t="s">
        <v>144</v>
      </c>
      <c r="E131" t="s">
        <v>62</v>
      </c>
      <c r="F131" s="1">
        <v>-23.75</v>
      </c>
      <c r="G131" s="1">
        <v>7546.03</v>
      </c>
    </row>
    <row r="132" spans="1:7" hidden="1" x14ac:dyDescent="0.3">
      <c r="A132" s="4" t="str">
        <f>TEXT(Table1[[#This Row],[Date]],"mmm")</f>
        <v>Jul</v>
      </c>
      <c r="B132" s="4">
        <v>44765</v>
      </c>
      <c r="C132" t="s">
        <v>156</v>
      </c>
      <c r="D132" t="s">
        <v>145</v>
      </c>
      <c r="E132" t="s">
        <v>62</v>
      </c>
      <c r="F132" s="1">
        <v>-3</v>
      </c>
      <c r="G132" s="1">
        <v>7543.03</v>
      </c>
    </row>
    <row r="133" spans="1:7" hidden="1" x14ac:dyDescent="0.3">
      <c r="A133" s="4" t="str">
        <f>TEXT(Table1[[#This Row],[Date]],"mmm")</f>
        <v>Jul</v>
      </c>
      <c r="B133" s="4">
        <v>44767</v>
      </c>
      <c r="C133" t="s">
        <v>156</v>
      </c>
      <c r="D133" t="s">
        <v>146</v>
      </c>
      <c r="E133" t="s">
        <v>59</v>
      </c>
      <c r="F133" s="1">
        <v>-11.72</v>
      </c>
      <c r="G133" s="1">
        <v>7531.31</v>
      </c>
    </row>
    <row r="134" spans="1:7" hidden="1" x14ac:dyDescent="0.3">
      <c r="A134" s="4" t="str">
        <f>TEXT(Table1[[#This Row],[Date]],"mmm")</f>
        <v>Jul</v>
      </c>
      <c r="B134" s="4">
        <v>44767</v>
      </c>
      <c r="C134" t="s">
        <v>157</v>
      </c>
      <c r="D134" t="s">
        <v>147</v>
      </c>
      <c r="E134" t="s">
        <v>59</v>
      </c>
      <c r="F134" s="1">
        <v>-100</v>
      </c>
      <c r="G134" s="1">
        <v>7431.31</v>
      </c>
    </row>
    <row r="135" spans="1:7" hidden="1" x14ac:dyDescent="0.3">
      <c r="A135" s="4" t="str">
        <f>TEXT(Table1[[#This Row],[Date]],"mmm")</f>
        <v>Jul</v>
      </c>
      <c r="B135" s="4">
        <v>44768</v>
      </c>
      <c r="C135" t="s">
        <v>158</v>
      </c>
      <c r="D135" t="s">
        <v>117</v>
      </c>
      <c r="E135" t="s">
        <v>62</v>
      </c>
      <c r="F135" s="1">
        <v>86.41</v>
      </c>
      <c r="G135" s="1">
        <v>7517.72</v>
      </c>
    </row>
    <row r="136" spans="1:7" hidden="1" x14ac:dyDescent="0.3">
      <c r="A136" s="4" t="str">
        <f>TEXT(Table1[[#This Row],[Date]],"mmm")</f>
        <v>Jul</v>
      </c>
      <c r="B136" s="4">
        <v>44768</v>
      </c>
      <c r="C136" t="s">
        <v>156</v>
      </c>
      <c r="D136" t="s">
        <v>148</v>
      </c>
      <c r="E136" t="s">
        <v>60</v>
      </c>
      <c r="F136" s="1">
        <v>-60</v>
      </c>
      <c r="G136" s="1">
        <v>7457.72</v>
      </c>
    </row>
    <row r="137" spans="1:7" hidden="1" x14ac:dyDescent="0.3">
      <c r="A137" s="4" t="str">
        <f>TEXT(Table1[[#This Row],[Date]],"mmm")</f>
        <v>Jul</v>
      </c>
      <c r="B137" s="4">
        <v>44769</v>
      </c>
      <c r="C137" t="s">
        <v>156</v>
      </c>
      <c r="D137" t="s">
        <v>149</v>
      </c>
      <c r="E137" t="s">
        <v>103</v>
      </c>
      <c r="F137" s="1">
        <v>-266</v>
      </c>
      <c r="G137" s="1">
        <v>7191.72</v>
      </c>
    </row>
    <row r="138" spans="1:7" hidden="1" x14ac:dyDescent="0.3">
      <c r="A138" s="4" t="str">
        <f>TEXT(Table1[[#This Row],[Date]],"mmm")</f>
        <v>Jul</v>
      </c>
      <c r="B138" s="4">
        <v>44769</v>
      </c>
      <c r="C138" t="s">
        <v>156</v>
      </c>
      <c r="D138" t="s">
        <v>150</v>
      </c>
      <c r="E138" t="s">
        <v>60</v>
      </c>
      <c r="F138" s="1">
        <v>-8</v>
      </c>
      <c r="G138" s="1">
        <v>7183.72</v>
      </c>
    </row>
    <row r="139" spans="1:7" hidden="1" x14ac:dyDescent="0.3">
      <c r="A139" s="4" t="str">
        <f>TEXT(Table1[[#This Row],[Date]],"mmm")</f>
        <v>Jul</v>
      </c>
      <c r="B139" s="4">
        <v>44769</v>
      </c>
      <c r="C139" t="s">
        <v>156</v>
      </c>
      <c r="D139" t="s">
        <v>150</v>
      </c>
      <c r="E139" t="s">
        <v>60</v>
      </c>
      <c r="F139" s="1">
        <v>-8</v>
      </c>
      <c r="G139" s="1">
        <v>7175.72</v>
      </c>
    </row>
    <row r="140" spans="1:7" hidden="1" x14ac:dyDescent="0.3">
      <c r="A140" s="4" t="str">
        <f>TEXT(Table1[[#This Row],[Date]],"mmm")</f>
        <v>Jul</v>
      </c>
      <c r="B140" s="4">
        <v>44769</v>
      </c>
      <c r="C140" t="s">
        <v>156</v>
      </c>
      <c r="D140" t="s">
        <v>151</v>
      </c>
      <c r="E140" t="s">
        <v>62</v>
      </c>
      <c r="F140" s="1">
        <v>-1.5</v>
      </c>
      <c r="G140" s="1">
        <v>7174.22</v>
      </c>
    </row>
    <row r="141" spans="1:7" hidden="1" x14ac:dyDescent="0.3">
      <c r="A141" s="4" t="str">
        <f>TEXT(Table1[[#This Row],[Date]],"mmm")</f>
        <v>Jul</v>
      </c>
      <c r="B141" s="4">
        <v>44769</v>
      </c>
      <c r="C141" t="s">
        <v>156</v>
      </c>
      <c r="D141" t="s">
        <v>151</v>
      </c>
      <c r="E141" t="s">
        <v>62</v>
      </c>
      <c r="F141" s="1">
        <v>-6.25</v>
      </c>
      <c r="G141" s="1">
        <v>7167.97</v>
      </c>
    </row>
    <row r="142" spans="1:7" hidden="1" x14ac:dyDescent="0.3">
      <c r="A142" s="4" t="str">
        <f>TEXT(Table1[[#This Row],[Date]],"mmm")</f>
        <v>Jul</v>
      </c>
      <c r="B142" s="4">
        <v>44770</v>
      </c>
      <c r="C142" t="s">
        <v>156</v>
      </c>
      <c r="D142" t="s">
        <v>119</v>
      </c>
      <c r="E142" t="s">
        <v>59</v>
      </c>
      <c r="F142" s="1">
        <v>-21.47</v>
      </c>
      <c r="G142" s="1">
        <v>7146.5</v>
      </c>
    </row>
    <row r="143" spans="1:7" hidden="1" x14ac:dyDescent="0.3">
      <c r="A143" s="4" t="str">
        <f>TEXT(Table1[[#This Row],[Date]],"mmm")</f>
        <v>Jul</v>
      </c>
      <c r="B143" s="4">
        <v>44770</v>
      </c>
      <c r="C143" t="s">
        <v>156</v>
      </c>
      <c r="D143" t="s">
        <v>152</v>
      </c>
      <c r="E143" t="s">
        <v>103</v>
      </c>
      <c r="F143" s="1">
        <v>-31.05</v>
      </c>
      <c r="G143" s="1">
        <v>7115.45</v>
      </c>
    </row>
    <row r="144" spans="1:7" hidden="1" x14ac:dyDescent="0.3">
      <c r="A144" s="4" t="str">
        <f>TEXT(Table1[[#This Row],[Date]],"mmm")</f>
        <v>Jul</v>
      </c>
      <c r="B144" s="4">
        <v>44771</v>
      </c>
      <c r="C144" t="s">
        <v>156</v>
      </c>
      <c r="D144" t="s">
        <v>131</v>
      </c>
      <c r="E144" t="s">
        <v>61</v>
      </c>
      <c r="F144" s="1">
        <v>-19.73</v>
      </c>
      <c r="G144" s="1">
        <v>7095.72</v>
      </c>
    </row>
    <row r="145" spans="1:7" hidden="1" x14ac:dyDescent="0.3">
      <c r="A145" s="4" t="str">
        <f>TEXT(Table1[[#This Row],[Date]],"mmm")</f>
        <v>Jul</v>
      </c>
      <c r="B145" s="4">
        <v>44771</v>
      </c>
      <c r="C145" t="s">
        <v>157</v>
      </c>
      <c r="D145" t="s">
        <v>153</v>
      </c>
      <c r="E145" t="s">
        <v>103</v>
      </c>
      <c r="F145" s="1">
        <v>-135</v>
      </c>
      <c r="G145" s="1">
        <v>6960.72</v>
      </c>
    </row>
    <row r="146" spans="1:7" hidden="1" x14ac:dyDescent="0.3">
      <c r="A146" s="4" t="str">
        <f>TEXT(Table1[[#This Row],[Date]],"mmm")</f>
        <v>Aug</v>
      </c>
      <c r="B146" s="4">
        <v>44774</v>
      </c>
      <c r="C146" t="s">
        <v>156</v>
      </c>
      <c r="D146" t="s">
        <v>169</v>
      </c>
      <c r="E146" t="s">
        <v>62</v>
      </c>
      <c r="F146" s="1">
        <v>-30.16</v>
      </c>
      <c r="G146" s="1">
        <v>6930.56</v>
      </c>
    </row>
    <row r="147" spans="1:7" hidden="1" x14ac:dyDescent="0.3">
      <c r="A147" s="4" t="str">
        <f>TEXT(Table1[[#This Row],[Date]],"mmm")</f>
        <v>Aug</v>
      </c>
      <c r="B147" s="4">
        <v>44774</v>
      </c>
      <c r="C147" t="s">
        <v>156</v>
      </c>
      <c r="D147" t="s">
        <v>170</v>
      </c>
      <c r="E147" t="s">
        <v>59</v>
      </c>
      <c r="F147" s="1">
        <v>-5.85</v>
      </c>
      <c r="G147" s="1">
        <v>6924.71</v>
      </c>
    </row>
    <row r="148" spans="1:7" hidden="1" x14ac:dyDescent="0.3">
      <c r="A148" s="4" t="str">
        <f>TEXT(Table1[[#This Row],[Date]],"mmm")</f>
        <v>Aug</v>
      </c>
      <c r="B148" s="4">
        <v>44774</v>
      </c>
      <c r="C148" t="s">
        <v>156</v>
      </c>
      <c r="D148" t="s">
        <v>171</v>
      </c>
      <c r="E148" t="s">
        <v>97</v>
      </c>
      <c r="F148" s="1">
        <v>-77.09</v>
      </c>
      <c r="G148" s="1">
        <v>6847.62</v>
      </c>
    </row>
    <row r="149" spans="1:7" hidden="1" x14ac:dyDescent="0.3">
      <c r="A149" s="4" t="str">
        <f>TEXT(Table1[[#This Row],[Date]],"mmm")</f>
        <v>Aug</v>
      </c>
      <c r="B149" s="4">
        <v>44775</v>
      </c>
      <c r="C149" t="s">
        <v>156</v>
      </c>
      <c r="D149" t="s">
        <v>172</v>
      </c>
      <c r="E149" t="s">
        <v>59</v>
      </c>
      <c r="F149" s="1">
        <v>-4.49</v>
      </c>
      <c r="G149" s="1">
        <v>6843.13</v>
      </c>
    </row>
    <row r="150" spans="1:7" hidden="1" x14ac:dyDescent="0.3">
      <c r="A150" s="4" t="str">
        <f>TEXT(Table1[[#This Row],[Date]],"mmm")</f>
        <v>Aug</v>
      </c>
      <c r="B150" s="4">
        <v>44775</v>
      </c>
      <c r="C150" t="s">
        <v>156</v>
      </c>
      <c r="D150" t="s">
        <v>173</v>
      </c>
      <c r="E150" t="s">
        <v>251</v>
      </c>
      <c r="F150" s="1">
        <v>-193</v>
      </c>
      <c r="G150" s="1">
        <v>6650.13</v>
      </c>
    </row>
    <row r="151" spans="1:7" hidden="1" x14ac:dyDescent="0.3">
      <c r="A151" s="4" t="str">
        <f>TEXT(Table1[[#This Row],[Date]],"mmm")</f>
        <v>Aug</v>
      </c>
      <c r="B151" s="4">
        <v>44775</v>
      </c>
      <c r="C151" t="s">
        <v>156</v>
      </c>
      <c r="D151" t="s">
        <v>174</v>
      </c>
      <c r="E151" t="s">
        <v>97</v>
      </c>
      <c r="F151" s="1">
        <v>-25</v>
      </c>
      <c r="G151" s="1">
        <v>6625.13</v>
      </c>
    </row>
    <row r="152" spans="1:7" hidden="1" x14ac:dyDescent="0.3">
      <c r="A152" s="4" t="str">
        <f>TEXT(Table1[[#This Row],[Date]],"mmm")</f>
        <v>Aug</v>
      </c>
      <c r="B152" s="4">
        <v>44775</v>
      </c>
      <c r="C152" t="s">
        <v>156</v>
      </c>
      <c r="D152" t="s">
        <v>175</v>
      </c>
      <c r="E152" t="s">
        <v>61</v>
      </c>
      <c r="F152" s="1">
        <v>-32.619999999999997</v>
      </c>
      <c r="G152" s="1">
        <v>6592.51</v>
      </c>
    </row>
    <row r="153" spans="1:7" hidden="1" x14ac:dyDescent="0.3">
      <c r="A153" s="4" t="str">
        <f>TEXT(Table1[[#This Row],[Date]],"mmm")</f>
        <v>Aug</v>
      </c>
      <c r="B153" s="4">
        <v>44775</v>
      </c>
      <c r="C153" t="s">
        <v>156</v>
      </c>
      <c r="D153" t="s">
        <v>176</v>
      </c>
      <c r="E153" t="s">
        <v>97</v>
      </c>
      <c r="F153" s="1">
        <v>-17.16</v>
      </c>
      <c r="G153" s="1">
        <v>6575.35</v>
      </c>
    </row>
    <row r="154" spans="1:7" hidden="1" x14ac:dyDescent="0.3">
      <c r="A154" s="4" t="str">
        <f>TEXT(Table1[[#This Row],[Date]],"mmm")</f>
        <v>Aug</v>
      </c>
      <c r="B154" s="4">
        <v>44776</v>
      </c>
      <c r="C154" t="s">
        <v>156</v>
      </c>
      <c r="D154" t="s">
        <v>177</v>
      </c>
      <c r="E154" t="s">
        <v>59</v>
      </c>
      <c r="F154" s="1">
        <v>-9.64</v>
      </c>
      <c r="G154" s="1">
        <v>6565.71</v>
      </c>
    </row>
    <row r="155" spans="1:7" hidden="1" x14ac:dyDescent="0.3">
      <c r="A155" s="4" t="str">
        <f>TEXT(Table1[[#This Row],[Date]],"mmm")</f>
        <v>Aug</v>
      </c>
      <c r="B155" s="4">
        <v>44776</v>
      </c>
      <c r="C155" t="s">
        <v>157</v>
      </c>
      <c r="D155" t="s">
        <v>153</v>
      </c>
      <c r="E155" t="s">
        <v>248</v>
      </c>
      <c r="F155" s="1">
        <v>-978.59</v>
      </c>
      <c r="G155" s="1">
        <v>5587.12</v>
      </c>
    </row>
    <row r="156" spans="1:7" hidden="1" x14ac:dyDescent="0.3">
      <c r="A156" s="4" t="str">
        <f>TEXT(Table1[[#This Row],[Date]],"mmm")</f>
        <v>Aug</v>
      </c>
      <c r="B156" s="4">
        <v>44776</v>
      </c>
      <c r="C156" t="s">
        <v>156</v>
      </c>
      <c r="D156" t="s">
        <v>178</v>
      </c>
      <c r="E156" t="s">
        <v>59</v>
      </c>
      <c r="F156" s="1">
        <v>-40.54</v>
      </c>
      <c r="G156" s="1">
        <v>5546.58</v>
      </c>
    </row>
    <row r="157" spans="1:7" hidden="1" x14ac:dyDescent="0.3">
      <c r="A157" s="4" t="str">
        <f>TEXT(Table1[[#This Row],[Date]],"mmm")</f>
        <v>Aug</v>
      </c>
      <c r="B157" s="4">
        <v>44776</v>
      </c>
      <c r="C157" t="s">
        <v>156</v>
      </c>
      <c r="D157" t="s">
        <v>179</v>
      </c>
      <c r="E157" t="s">
        <v>62</v>
      </c>
      <c r="F157" s="1">
        <v>-17.22</v>
      </c>
      <c r="G157" s="1">
        <v>5529.36</v>
      </c>
    </row>
    <row r="158" spans="1:7" hidden="1" x14ac:dyDescent="0.3">
      <c r="A158" s="4" t="str">
        <f>TEXT(Table1[[#This Row],[Date]],"mmm")</f>
        <v>Aug</v>
      </c>
      <c r="B158" s="4">
        <v>44776</v>
      </c>
      <c r="C158" t="s">
        <v>156</v>
      </c>
      <c r="D158" t="s">
        <v>180</v>
      </c>
      <c r="E158" t="s">
        <v>61</v>
      </c>
      <c r="F158" s="1">
        <v>-45.52</v>
      </c>
      <c r="G158" s="1">
        <v>5483.84</v>
      </c>
    </row>
    <row r="159" spans="1:7" hidden="1" x14ac:dyDescent="0.3">
      <c r="A159" s="4" t="str">
        <f>TEXT(Table1[[#This Row],[Date]],"mmm")</f>
        <v>Aug</v>
      </c>
      <c r="B159" s="4">
        <v>44776</v>
      </c>
      <c r="C159" t="s">
        <v>156</v>
      </c>
      <c r="D159" t="s">
        <v>181</v>
      </c>
      <c r="E159" t="s">
        <v>103</v>
      </c>
      <c r="F159" s="1">
        <v>-236.57</v>
      </c>
      <c r="G159" s="1">
        <v>5247.27</v>
      </c>
    </row>
    <row r="160" spans="1:7" hidden="1" x14ac:dyDescent="0.3">
      <c r="A160" s="4" t="str">
        <f>TEXT(Table1[[#This Row],[Date]],"mmm")</f>
        <v>Aug</v>
      </c>
      <c r="B160" s="4">
        <v>44776</v>
      </c>
      <c r="C160" t="s">
        <v>156</v>
      </c>
      <c r="D160" t="s">
        <v>182</v>
      </c>
      <c r="E160" t="s">
        <v>248</v>
      </c>
      <c r="F160" s="1">
        <v>-25</v>
      </c>
      <c r="G160" s="1">
        <v>5222.2700000000004</v>
      </c>
    </row>
    <row r="161" spans="1:7" hidden="1" x14ac:dyDescent="0.3">
      <c r="A161" s="4" t="str">
        <f>TEXT(Table1[[#This Row],[Date]],"mmm")</f>
        <v>Aug</v>
      </c>
      <c r="B161" s="4">
        <v>44776</v>
      </c>
      <c r="C161" t="s">
        <v>156</v>
      </c>
      <c r="D161" t="s">
        <v>183</v>
      </c>
      <c r="E161" t="s">
        <v>248</v>
      </c>
      <c r="F161" s="1">
        <v>-9</v>
      </c>
      <c r="G161" s="1">
        <v>5213.2700000000004</v>
      </c>
    </row>
    <row r="162" spans="1:7" hidden="1" x14ac:dyDescent="0.3">
      <c r="A162" s="4" t="str">
        <f>TEXT(Table1[[#This Row],[Date]],"mmm")</f>
        <v>Aug</v>
      </c>
      <c r="B162" s="4">
        <v>44777</v>
      </c>
      <c r="C162" t="s">
        <v>159</v>
      </c>
      <c r="D162" t="s">
        <v>184</v>
      </c>
      <c r="E162" t="s">
        <v>64</v>
      </c>
      <c r="F162" s="1">
        <v>1209</v>
      </c>
      <c r="G162" s="1">
        <v>6422.27</v>
      </c>
    </row>
    <row r="163" spans="1:7" hidden="1" x14ac:dyDescent="0.3">
      <c r="A163" s="4" t="str">
        <f>TEXT(Table1[[#This Row],[Date]],"mmm")</f>
        <v>Aug</v>
      </c>
      <c r="B163" s="4">
        <v>44777</v>
      </c>
      <c r="C163" t="s">
        <v>159</v>
      </c>
      <c r="D163" t="s">
        <v>51</v>
      </c>
      <c r="E163" t="s">
        <v>64</v>
      </c>
      <c r="F163" s="1">
        <v>1988.16</v>
      </c>
      <c r="G163" s="1">
        <v>8410.43</v>
      </c>
    </row>
    <row r="164" spans="1:7" hidden="1" x14ac:dyDescent="0.3">
      <c r="A164" s="4" t="str">
        <f>TEXT(Table1[[#This Row],[Date]],"mmm")</f>
        <v>Aug</v>
      </c>
      <c r="B164" s="4">
        <v>44777</v>
      </c>
      <c r="C164" t="s">
        <v>156</v>
      </c>
      <c r="D164" t="s">
        <v>185</v>
      </c>
      <c r="E164" t="s">
        <v>59</v>
      </c>
      <c r="F164" s="1">
        <v>-7.75</v>
      </c>
      <c r="G164" s="1">
        <v>8402.68</v>
      </c>
    </row>
    <row r="165" spans="1:7" hidden="1" x14ac:dyDescent="0.3">
      <c r="A165" s="4" t="str">
        <f>TEXT(Table1[[#This Row],[Date]],"mmm")</f>
        <v>Aug</v>
      </c>
      <c r="B165" s="4">
        <v>44777</v>
      </c>
      <c r="C165" t="s">
        <v>156</v>
      </c>
      <c r="D165" t="s">
        <v>186</v>
      </c>
      <c r="E165" t="s">
        <v>59</v>
      </c>
      <c r="F165" s="1">
        <v>-10.52</v>
      </c>
      <c r="G165" s="1">
        <v>8392.16</v>
      </c>
    </row>
    <row r="166" spans="1:7" hidden="1" x14ac:dyDescent="0.3">
      <c r="A166" s="4" t="str">
        <f>TEXT(Table1[[#This Row],[Date]],"mmm")</f>
        <v>Aug</v>
      </c>
      <c r="B166" s="4">
        <v>44777</v>
      </c>
      <c r="C166" t="s">
        <v>156</v>
      </c>
      <c r="D166" t="s">
        <v>187</v>
      </c>
      <c r="E166" t="s">
        <v>62</v>
      </c>
      <c r="F166" s="1">
        <v>-20</v>
      </c>
      <c r="G166" s="1">
        <v>8372.16</v>
      </c>
    </row>
    <row r="167" spans="1:7" hidden="1" x14ac:dyDescent="0.3">
      <c r="A167" s="4" t="str">
        <f>TEXT(Table1[[#This Row],[Date]],"mmm")</f>
        <v>Aug</v>
      </c>
      <c r="B167" s="4">
        <v>44777</v>
      </c>
      <c r="C167" t="s">
        <v>156</v>
      </c>
      <c r="D167" t="s">
        <v>123</v>
      </c>
      <c r="E167" t="s">
        <v>59</v>
      </c>
      <c r="F167" s="1">
        <v>-100</v>
      </c>
      <c r="G167" s="1">
        <v>8272.16</v>
      </c>
    </row>
    <row r="168" spans="1:7" hidden="1" x14ac:dyDescent="0.3">
      <c r="A168" s="4" t="str">
        <f>TEXT(Table1[[#This Row],[Date]],"mmm")</f>
        <v>Aug</v>
      </c>
      <c r="B168" s="4">
        <v>44777</v>
      </c>
      <c r="C168" t="s">
        <v>156</v>
      </c>
      <c r="D168" t="s">
        <v>188</v>
      </c>
      <c r="E168" t="s">
        <v>248</v>
      </c>
      <c r="F168" s="1">
        <v>-8.61</v>
      </c>
      <c r="G168" s="1">
        <v>8263.5499999999993</v>
      </c>
    </row>
    <row r="169" spans="1:7" hidden="1" x14ac:dyDescent="0.3">
      <c r="A169" s="4" t="str">
        <f>TEXT(Table1[[#This Row],[Date]],"mmm")</f>
        <v>Aug</v>
      </c>
      <c r="B169" s="4">
        <v>44778</v>
      </c>
      <c r="C169" t="s">
        <v>156</v>
      </c>
      <c r="D169" t="s">
        <v>189</v>
      </c>
      <c r="E169" t="s">
        <v>61</v>
      </c>
      <c r="F169" s="1">
        <v>-46.55</v>
      </c>
      <c r="G169" s="1">
        <v>8217</v>
      </c>
    </row>
    <row r="170" spans="1:7" hidden="1" x14ac:dyDescent="0.3">
      <c r="A170" s="4" t="str">
        <f>TEXT(Table1[[#This Row],[Date]],"mmm")</f>
        <v>Aug</v>
      </c>
      <c r="B170" s="4">
        <v>44778</v>
      </c>
      <c r="C170" t="s">
        <v>156</v>
      </c>
      <c r="D170" t="s">
        <v>190</v>
      </c>
      <c r="E170" t="s">
        <v>97</v>
      </c>
      <c r="F170" s="1">
        <v>-50</v>
      </c>
      <c r="G170" s="1">
        <v>8167</v>
      </c>
    </row>
    <row r="171" spans="1:7" hidden="1" x14ac:dyDescent="0.3">
      <c r="A171" s="4" t="str">
        <f>TEXT(Table1[[#This Row],[Date]],"mmm")</f>
        <v>Aug</v>
      </c>
      <c r="B171" s="4">
        <v>44778</v>
      </c>
      <c r="C171" t="s">
        <v>156</v>
      </c>
      <c r="D171" t="s">
        <v>191</v>
      </c>
      <c r="E171" t="s">
        <v>103</v>
      </c>
      <c r="F171" s="1">
        <v>-127.07</v>
      </c>
      <c r="G171" s="1">
        <v>8039.93</v>
      </c>
    </row>
    <row r="172" spans="1:7" hidden="1" x14ac:dyDescent="0.3">
      <c r="A172" s="4" t="str">
        <f>TEXT(Table1[[#This Row],[Date]],"mmm")</f>
        <v>Aug</v>
      </c>
      <c r="B172" s="4">
        <v>44778</v>
      </c>
      <c r="C172" t="s">
        <v>156</v>
      </c>
      <c r="D172" t="s">
        <v>192</v>
      </c>
      <c r="E172" t="s">
        <v>59</v>
      </c>
      <c r="F172" s="1">
        <v>-5.44</v>
      </c>
      <c r="G172" s="1">
        <v>8034.49</v>
      </c>
    </row>
    <row r="173" spans="1:7" hidden="1" x14ac:dyDescent="0.3">
      <c r="A173" s="4" t="str">
        <f>TEXT(Table1[[#This Row],[Date]],"mmm")</f>
        <v>Aug</v>
      </c>
      <c r="B173" s="4">
        <v>44779</v>
      </c>
      <c r="C173" t="s">
        <v>156</v>
      </c>
      <c r="D173" t="s">
        <v>193</v>
      </c>
      <c r="E173" t="s">
        <v>97</v>
      </c>
      <c r="F173" s="1">
        <v>-498.24</v>
      </c>
      <c r="G173" s="1">
        <v>7536.25</v>
      </c>
    </row>
    <row r="174" spans="1:7" hidden="1" x14ac:dyDescent="0.3">
      <c r="A174" s="4" t="str">
        <f>TEXT(Table1[[#This Row],[Date]],"mmm")</f>
        <v>Aug</v>
      </c>
      <c r="B174" s="4">
        <v>44779</v>
      </c>
      <c r="C174" t="s">
        <v>156</v>
      </c>
      <c r="D174" t="s">
        <v>194</v>
      </c>
      <c r="E174" t="s">
        <v>62</v>
      </c>
      <c r="F174" s="1">
        <v>-32.159999999999997</v>
      </c>
      <c r="G174" s="1">
        <v>7504.09</v>
      </c>
    </row>
    <row r="175" spans="1:7" hidden="1" x14ac:dyDescent="0.3">
      <c r="A175" s="4" t="str">
        <f>TEXT(Table1[[#This Row],[Date]],"mmm")</f>
        <v>Aug</v>
      </c>
      <c r="B175" s="4">
        <v>44779</v>
      </c>
      <c r="C175" t="s">
        <v>156</v>
      </c>
      <c r="D175" t="s">
        <v>195</v>
      </c>
      <c r="E175" t="s">
        <v>97</v>
      </c>
      <c r="F175" s="1">
        <v>-77.36</v>
      </c>
      <c r="G175" s="1">
        <v>7426.73</v>
      </c>
    </row>
    <row r="176" spans="1:7" hidden="1" x14ac:dyDescent="0.3">
      <c r="A176" s="4" t="str">
        <f>TEXT(Table1[[#This Row],[Date]],"mmm")</f>
        <v>Aug</v>
      </c>
      <c r="B176" s="4">
        <v>44779</v>
      </c>
      <c r="C176" t="s">
        <v>156</v>
      </c>
      <c r="D176" t="s">
        <v>196</v>
      </c>
      <c r="E176" t="s">
        <v>97</v>
      </c>
      <c r="F176" s="1">
        <v>-289</v>
      </c>
      <c r="G176" s="1">
        <v>7137.73</v>
      </c>
    </row>
    <row r="177" spans="1:7" hidden="1" x14ac:dyDescent="0.3">
      <c r="A177" s="4" t="str">
        <f>TEXT(Table1[[#This Row],[Date]],"mmm")</f>
        <v>Aug</v>
      </c>
      <c r="B177" s="4">
        <v>44779</v>
      </c>
      <c r="C177" t="s">
        <v>156</v>
      </c>
      <c r="D177" t="s">
        <v>197</v>
      </c>
      <c r="E177" t="s">
        <v>97</v>
      </c>
      <c r="F177" s="1">
        <v>-6.07</v>
      </c>
      <c r="G177" s="1">
        <v>7131.66</v>
      </c>
    </row>
    <row r="178" spans="1:7" hidden="1" x14ac:dyDescent="0.3">
      <c r="A178" s="4" t="str">
        <f>TEXT(Table1[[#This Row],[Date]],"mmm")</f>
        <v>Aug</v>
      </c>
      <c r="B178" s="4">
        <v>44779</v>
      </c>
      <c r="C178" t="s">
        <v>158</v>
      </c>
      <c r="D178" t="s">
        <v>198</v>
      </c>
      <c r="E178" t="s">
        <v>103</v>
      </c>
      <c r="F178" s="1">
        <v>363.64</v>
      </c>
      <c r="G178" s="1">
        <v>7495.3</v>
      </c>
    </row>
    <row r="179" spans="1:7" hidden="1" x14ac:dyDescent="0.3">
      <c r="A179" s="4" t="str">
        <f>TEXT(Table1[[#This Row],[Date]],"mmm")</f>
        <v>Aug</v>
      </c>
      <c r="B179" s="4">
        <v>44779</v>
      </c>
      <c r="C179" t="s">
        <v>156</v>
      </c>
      <c r="D179" t="s">
        <v>199</v>
      </c>
      <c r="E179" t="s">
        <v>103</v>
      </c>
      <c r="F179" s="1">
        <v>-495.17</v>
      </c>
      <c r="G179" s="1">
        <v>7000.13</v>
      </c>
    </row>
    <row r="180" spans="1:7" hidden="1" x14ac:dyDescent="0.3">
      <c r="A180" s="4" t="str">
        <f>TEXT(Table1[[#This Row],[Date]],"mmm")</f>
        <v>Aug</v>
      </c>
      <c r="B180" s="4">
        <v>44779</v>
      </c>
      <c r="C180" t="s">
        <v>156</v>
      </c>
      <c r="D180" t="s">
        <v>200</v>
      </c>
      <c r="E180" t="s">
        <v>248</v>
      </c>
      <c r="F180" s="1">
        <v>-27.46</v>
      </c>
      <c r="G180" s="1">
        <v>6972.67</v>
      </c>
    </row>
    <row r="181" spans="1:7" hidden="1" x14ac:dyDescent="0.3">
      <c r="A181" s="4" t="str">
        <f>TEXT(Table1[[#This Row],[Date]],"mmm")</f>
        <v>Aug</v>
      </c>
      <c r="B181" s="4">
        <v>44780</v>
      </c>
      <c r="C181" t="s">
        <v>156</v>
      </c>
      <c r="D181" t="s">
        <v>201</v>
      </c>
      <c r="E181" t="s">
        <v>248</v>
      </c>
      <c r="F181" s="1">
        <v>-26</v>
      </c>
      <c r="G181" s="1">
        <v>6946.67</v>
      </c>
    </row>
    <row r="182" spans="1:7" hidden="1" x14ac:dyDescent="0.3">
      <c r="A182" s="4" t="str">
        <f>TEXT(Table1[[#This Row],[Date]],"mmm")</f>
        <v>Aug</v>
      </c>
      <c r="B182" s="4">
        <v>44780</v>
      </c>
      <c r="C182" t="s">
        <v>156</v>
      </c>
      <c r="D182" t="s">
        <v>202</v>
      </c>
      <c r="E182" t="s">
        <v>61</v>
      </c>
      <c r="F182" s="1">
        <v>-41.73</v>
      </c>
      <c r="G182" s="1">
        <v>6904.94</v>
      </c>
    </row>
    <row r="183" spans="1:7" hidden="1" x14ac:dyDescent="0.3">
      <c r="A183" s="4" t="str">
        <f>TEXT(Table1[[#This Row],[Date]],"mmm")</f>
        <v>Aug</v>
      </c>
      <c r="B183" s="4">
        <v>44780</v>
      </c>
      <c r="C183" t="s">
        <v>156</v>
      </c>
      <c r="D183" t="s">
        <v>203</v>
      </c>
      <c r="E183" t="s">
        <v>61</v>
      </c>
      <c r="F183" s="1">
        <v>-21.75</v>
      </c>
      <c r="G183" s="1">
        <v>6883.19</v>
      </c>
    </row>
    <row r="184" spans="1:7" hidden="1" x14ac:dyDescent="0.3">
      <c r="A184" s="4" t="str">
        <f>TEXT(Table1[[#This Row],[Date]],"mmm")</f>
        <v>Aug</v>
      </c>
      <c r="B184" s="4">
        <v>44780</v>
      </c>
      <c r="C184" t="s">
        <v>156</v>
      </c>
      <c r="D184" t="s">
        <v>204</v>
      </c>
      <c r="E184" t="s">
        <v>62</v>
      </c>
      <c r="F184" s="1">
        <v>-7.85</v>
      </c>
      <c r="G184" s="1">
        <v>6875.34</v>
      </c>
    </row>
    <row r="185" spans="1:7" hidden="1" x14ac:dyDescent="0.3">
      <c r="A185" s="4" t="str">
        <f>TEXT(Table1[[#This Row],[Date]],"mmm")</f>
        <v>Aug</v>
      </c>
      <c r="B185" s="4">
        <v>44780</v>
      </c>
      <c r="C185" t="s">
        <v>156</v>
      </c>
      <c r="D185" t="s">
        <v>205</v>
      </c>
      <c r="E185" t="s">
        <v>62</v>
      </c>
      <c r="F185" s="1">
        <v>-8</v>
      </c>
      <c r="G185" s="1">
        <v>6867.34</v>
      </c>
    </row>
    <row r="186" spans="1:7" hidden="1" x14ac:dyDescent="0.3">
      <c r="A186" s="4" t="str">
        <f>TEXT(Table1[[#This Row],[Date]],"mmm")</f>
        <v>Aug</v>
      </c>
      <c r="B186" s="4">
        <v>44781</v>
      </c>
      <c r="C186" t="s">
        <v>156</v>
      </c>
      <c r="D186" t="s">
        <v>206</v>
      </c>
      <c r="E186" t="s">
        <v>59</v>
      </c>
      <c r="F186" s="1">
        <v>-27.92</v>
      </c>
      <c r="G186" s="1">
        <v>6839.42</v>
      </c>
    </row>
    <row r="187" spans="1:7" hidden="1" x14ac:dyDescent="0.3">
      <c r="A187" s="4" t="str">
        <f>TEXT(Table1[[#This Row],[Date]],"mmm")</f>
        <v>Aug</v>
      </c>
      <c r="B187" s="4">
        <v>44781</v>
      </c>
      <c r="C187" t="s">
        <v>156</v>
      </c>
      <c r="D187" t="s">
        <v>207</v>
      </c>
      <c r="E187" t="s">
        <v>61</v>
      </c>
      <c r="F187" s="1">
        <v>-45.54</v>
      </c>
      <c r="G187" s="1">
        <v>6793.88</v>
      </c>
    </row>
    <row r="188" spans="1:7" hidden="1" x14ac:dyDescent="0.3">
      <c r="A188" s="4" t="str">
        <f>TEXT(Table1[[#This Row],[Date]],"mmm")</f>
        <v>Aug</v>
      </c>
      <c r="B188" s="4">
        <v>44781</v>
      </c>
      <c r="C188" t="s">
        <v>156</v>
      </c>
      <c r="D188" t="s">
        <v>208</v>
      </c>
      <c r="E188" t="s">
        <v>59</v>
      </c>
      <c r="F188" s="1">
        <v>-5.33</v>
      </c>
      <c r="G188" s="1">
        <v>6788.55</v>
      </c>
    </row>
    <row r="189" spans="1:7" hidden="1" x14ac:dyDescent="0.3">
      <c r="A189" s="4" t="str">
        <f>TEXT(Table1[[#This Row],[Date]],"mmm")</f>
        <v>Aug</v>
      </c>
      <c r="B189" s="4">
        <v>44781</v>
      </c>
      <c r="C189" t="s">
        <v>156</v>
      </c>
      <c r="D189" t="s">
        <v>209</v>
      </c>
      <c r="E189" t="s">
        <v>96</v>
      </c>
      <c r="F189" s="1">
        <v>-44.8</v>
      </c>
      <c r="G189" s="1">
        <v>6743.75</v>
      </c>
    </row>
    <row r="190" spans="1:7" hidden="1" x14ac:dyDescent="0.3">
      <c r="A190" s="4" t="str">
        <f>TEXT(Table1[[#This Row],[Date]],"mmm")</f>
        <v>Aug</v>
      </c>
      <c r="B190" s="4">
        <v>44781</v>
      </c>
      <c r="C190" t="s">
        <v>156</v>
      </c>
      <c r="D190" t="s">
        <v>210</v>
      </c>
      <c r="E190" t="s">
        <v>103</v>
      </c>
      <c r="F190" s="1">
        <v>-39.47</v>
      </c>
      <c r="G190" s="1">
        <v>6704.28</v>
      </c>
    </row>
    <row r="191" spans="1:7" hidden="1" x14ac:dyDescent="0.3">
      <c r="A191" s="4" t="str">
        <f>TEXT(Table1[[#This Row],[Date]],"mmm")</f>
        <v>Aug</v>
      </c>
      <c r="B191" s="4">
        <v>44782</v>
      </c>
      <c r="C191" t="s">
        <v>156</v>
      </c>
      <c r="D191" t="s">
        <v>211</v>
      </c>
      <c r="E191" t="s">
        <v>62</v>
      </c>
      <c r="F191" s="1">
        <v>-59.99</v>
      </c>
      <c r="G191" s="1">
        <v>6644.29</v>
      </c>
    </row>
    <row r="192" spans="1:7" hidden="1" x14ac:dyDescent="0.3">
      <c r="A192" s="4" t="str">
        <f>TEXT(Table1[[#This Row],[Date]],"mmm")</f>
        <v>Aug</v>
      </c>
      <c r="B192" s="4">
        <v>44782</v>
      </c>
      <c r="C192" t="s">
        <v>156</v>
      </c>
      <c r="D192" t="s">
        <v>212</v>
      </c>
      <c r="E192" t="s">
        <v>59</v>
      </c>
      <c r="F192" s="1">
        <v>-14.44</v>
      </c>
      <c r="G192" s="1">
        <v>6629.85</v>
      </c>
    </row>
    <row r="193" spans="1:7" hidden="1" x14ac:dyDescent="0.3">
      <c r="A193" s="4" t="str">
        <f>TEXT(Table1[[#This Row],[Date]],"mmm")</f>
        <v>Aug</v>
      </c>
      <c r="B193" s="4">
        <v>44782</v>
      </c>
      <c r="C193" t="s">
        <v>156</v>
      </c>
      <c r="D193" t="s">
        <v>213</v>
      </c>
      <c r="E193" t="s">
        <v>62</v>
      </c>
      <c r="F193" s="1">
        <v>-12.49</v>
      </c>
      <c r="G193" s="1">
        <v>6617.36</v>
      </c>
    </row>
    <row r="194" spans="1:7" hidden="1" x14ac:dyDescent="0.3">
      <c r="A194" s="4" t="str">
        <f>TEXT(Table1[[#This Row],[Date]],"mmm")</f>
        <v>Aug</v>
      </c>
      <c r="B194" s="4">
        <v>44782</v>
      </c>
      <c r="C194" t="s">
        <v>156</v>
      </c>
      <c r="D194" t="s">
        <v>214</v>
      </c>
      <c r="E194" t="s">
        <v>59</v>
      </c>
      <c r="F194" s="1">
        <v>-7.01</v>
      </c>
      <c r="G194" s="1">
        <v>6610.35</v>
      </c>
    </row>
    <row r="195" spans="1:7" hidden="1" x14ac:dyDescent="0.3">
      <c r="A195" s="4" t="str">
        <f>TEXT(Table1[[#This Row],[Date]],"mmm")</f>
        <v>Aug</v>
      </c>
      <c r="B195" s="4">
        <v>44783</v>
      </c>
      <c r="C195" t="s">
        <v>156</v>
      </c>
      <c r="D195" t="s">
        <v>170</v>
      </c>
      <c r="E195" t="s">
        <v>103</v>
      </c>
      <c r="F195" s="1">
        <v>-228.36</v>
      </c>
      <c r="G195" s="1">
        <v>6381.99</v>
      </c>
    </row>
    <row r="196" spans="1:7" hidden="1" x14ac:dyDescent="0.3">
      <c r="A196" s="4" t="str">
        <f>TEXT(Table1[[#This Row],[Date]],"mmm")</f>
        <v>Aug</v>
      </c>
      <c r="B196" s="4">
        <v>44783</v>
      </c>
      <c r="C196" t="s">
        <v>156</v>
      </c>
      <c r="D196" t="s">
        <v>196</v>
      </c>
      <c r="E196" t="s">
        <v>97</v>
      </c>
      <c r="F196" s="1">
        <v>-39</v>
      </c>
      <c r="G196" s="1">
        <v>6342.99</v>
      </c>
    </row>
    <row r="197" spans="1:7" hidden="1" x14ac:dyDescent="0.3">
      <c r="A197" s="4" t="str">
        <f>TEXT(Table1[[#This Row],[Date]],"mmm")</f>
        <v>Aug</v>
      </c>
      <c r="B197" s="4">
        <v>44783</v>
      </c>
      <c r="C197" t="s">
        <v>156</v>
      </c>
      <c r="D197" t="s">
        <v>197</v>
      </c>
      <c r="E197" t="s">
        <v>97</v>
      </c>
      <c r="F197" s="1">
        <v>-0.82</v>
      </c>
      <c r="G197" s="1">
        <v>6342.17</v>
      </c>
    </row>
    <row r="198" spans="1:7" hidden="1" x14ac:dyDescent="0.3">
      <c r="A198" s="4" t="str">
        <f>TEXT(Table1[[#This Row],[Date]],"mmm")</f>
        <v>Aug</v>
      </c>
      <c r="B198" s="4">
        <v>44784</v>
      </c>
      <c r="C198" t="s">
        <v>156</v>
      </c>
      <c r="D198" t="s">
        <v>215</v>
      </c>
      <c r="E198" t="s">
        <v>62</v>
      </c>
      <c r="F198" s="1">
        <v>-29.99</v>
      </c>
      <c r="G198" s="1">
        <v>6312.18</v>
      </c>
    </row>
    <row r="199" spans="1:7" hidden="1" x14ac:dyDescent="0.3">
      <c r="A199" s="4" t="str">
        <f>TEXT(Table1[[#This Row],[Date]],"mmm")</f>
        <v>Aug</v>
      </c>
      <c r="B199" s="4">
        <v>44784</v>
      </c>
      <c r="C199" t="s">
        <v>156</v>
      </c>
      <c r="D199" t="s">
        <v>193</v>
      </c>
      <c r="E199" t="s">
        <v>97</v>
      </c>
      <c r="F199" s="1">
        <v>-35</v>
      </c>
      <c r="G199" s="1">
        <v>6277.18</v>
      </c>
    </row>
    <row r="200" spans="1:7" hidden="1" x14ac:dyDescent="0.3">
      <c r="A200" s="4" t="str">
        <f>TEXT(Table1[[#This Row],[Date]],"mmm")</f>
        <v>Aug</v>
      </c>
      <c r="B200" s="4">
        <v>44784</v>
      </c>
      <c r="C200" t="s">
        <v>156</v>
      </c>
      <c r="D200" t="s">
        <v>193</v>
      </c>
      <c r="E200" t="s">
        <v>97</v>
      </c>
      <c r="F200" s="1">
        <v>-73.12</v>
      </c>
      <c r="G200" s="1">
        <v>6204.06</v>
      </c>
    </row>
    <row r="201" spans="1:7" hidden="1" x14ac:dyDescent="0.3">
      <c r="A201" s="4" t="str">
        <f>TEXT(Table1[[#This Row],[Date]],"mmm")</f>
        <v>Aug</v>
      </c>
      <c r="B201" s="4">
        <v>44785</v>
      </c>
      <c r="C201" t="s">
        <v>156</v>
      </c>
      <c r="D201" t="s">
        <v>216</v>
      </c>
      <c r="E201" t="s">
        <v>59</v>
      </c>
      <c r="F201" s="1">
        <v>-9.48</v>
      </c>
      <c r="G201" s="1">
        <v>6194.58</v>
      </c>
    </row>
    <row r="202" spans="1:7" hidden="1" x14ac:dyDescent="0.3">
      <c r="A202" s="4" t="str">
        <f>TEXT(Table1[[#This Row],[Date]],"mmm")</f>
        <v>Aug</v>
      </c>
      <c r="B202" s="4">
        <v>44785</v>
      </c>
      <c r="C202" t="s">
        <v>157</v>
      </c>
      <c r="D202" t="s">
        <v>49</v>
      </c>
      <c r="E202" t="s">
        <v>63</v>
      </c>
      <c r="F202" s="1">
        <v>-42.48</v>
      </c>
      <c r="G202" s="1">
        <v>6152.1</v>
      </c>
    </row>
    <row r="203" spans="1:7" hidden="1" x14ac:dyDescent="0.3">
      <c r="A203" s="4" t="str">
        <f>TEXT(Table1[[#This Row],[Date]],"mmm")</f>
        <v>Aug</v>
      </c>
      <c r="B203" s="4">
        <v>44785</v>
      </c>
      <c r="C203" t="s">
        <v>158</v>
      </c>
      <c r="D203" t="s">
        <v>217</v>
      </c>
      <c r="E203" t="s">
        <v>103</v>
      </c>
      <c r="F203" s="1">
        <v>39.47</v>
      </c>
      <c r="G203" s="1">
        <v>6191.57</v>
      </c>
    </row>
    <row r="204" spans="1:7" hidden="1" x14ac:dyDescent="0.3">
      <c r="A204" s="4" t="str">
        <f>TEXT(Table1[[#This Row],[Date]],"mmm")</f>
        <v>Aug</v>
      </c>
      <c r="B204" s="4">
        <v>44785</v>
      </c>
      <c r="C204" t="s">
        <v>158</v>
      </c>
      <c r="D204" t="s">
        <v>217</v>
      </c>
      <c r="E204" t="s">
        <v>103</v>
      </c>
      <c r="F204" s="1">
        <v>154.68</v>
      </c>
      <c r="G204" s="1">
        <v>6346.25</v>
      </c>
    </row>
    <row r="205" spans="1:7" hidden="1" x14ac:dyDescent="0.3">
      <c r="A205" s="4" t="str">
        <f>TEXT(Table1[[#This Row],[Date]],"mmm")</f>
        <v>Aug</v>
      </c>
      <c r="B205" s="4">
        <v>44785</v>
      </c>
      <c r="C205" t="s">
        <v>156</v>
      </c>
      <c r="D205" t="s">
        <v>218</v>
      </c>
      <c r="E205" t="s">
        <v>61</v>
      </c>
      <c r="F205" s="1">
        <v>-47.47</v>
      </c>
      <c r="G205" s="1">
        <v>6298.78</v>
      </c>
    </row>
    <row r="206" spans="1:7" hidden="1" x14ac:dyDescent="0.3">
      <c r="A206" s="4" t="str">
        <f>TEXT(Table1[[#This Row],[Date]],"mmm")</f>
        <v>Aug</v>
      </c>
      <c r="B206" s="4">
        <v>44787</v>
      </c>
      <c r="C206" t="s">
        <v>156</v>
      </c>
      <c r="D206" t="s">
        <v>219</v>
      </c>
      <c r="E206" t="s">
        <v>97</v>
      </c>
      <c r="F206" s="1">
        <v>-1.75</v>
      </c>
      <c r="G206" s="1">
        <v>6297.03</v>
      </c>
    </row>
    <row r="207" spans="1:7" hidden="1" x14ac:dyDescent="0.3">
      <c r="A207" s="4" t="str">
        <f>TEXT(Table1[[#This Row],[Date]],"mmm")</f>
        <v>Aug</v>
      </c>
      <c r="B207" s="4">
        <v>44787</v>
      </c>
      <c r="C207" t="s">
        <v>156</v>
      </c>
      <c r="D207" t="s">
        <v>219</v>
      </c>
      <c r="E207" t="s">
        <v>97</v>
      </c>
      <c r="F207" s="1">
        <v>-1.75</v>
      </c>
      <c r="G207" s="1">
        <v>6295.28</v>
      </c>
    </row>
    <row r="208" spans="1:7" hidden="1" x14ac:dyDescent="0.3">
      <c r="A208" s="4" t="str">
        <f>TEXT(Table1[[#This Row],[Date]],"mmm")</f>
        <v>Aug</v>
      </c>
      <c r="B208" s="4">
        <v>44787</v>
      </c>
      <c r="C208" t="s">
        <v>156</v>
      </c>
      <c r="D208" t="s">
        <v>220</v>
      </c>
      <c r="E208" t="s">
        <v>103</v>
      </c>
      <c r="F208" s="1">
        <v>-335.32</v>
      </c>
      <c r="G208" s="1">
        <v>5959.96</v>
      </c>
    </row>
    <row r="209" spans="1:7" hidden="1" x14ac:dyDescent="0.3">
      <c r="A209" s="4" t="str">
        <f>TEXT(Table1[[#This Row],[Date]],"mmm")</f>
        <v>Aug</v>
      </c>
      <c r="B209" s="4">
        <v>44787</v>
      </c>
      <c r="C209" t="s">
        <v>156</v>
      </c>
      <c r="D209" t="s">
        <v>220</v>
      </c>
      <c r="E209" t="s">
        <v>103</v>
      </c>
      <c r="F209" s="1">
        <v>-253.43</v>
      </c>
      <c r="G209" s="1">
        <v>5706.53</v>
      </c>
    </row>
    <row r="210" spans="1:7" hidden="1" x14ac:dyDescent="0.3">
      <c r="A210" s="4" t="str">
        <f>TEXT(Table1[[#This Row],[Date]],"mmm")</f>
        <v>Aug</v>
      </c>
      <c r="B210" s="4">
        <v>44787</v>
      </c>
      <c r="C210" t="s">
        <v>156</v>
      </c>
      <c r="D210" t="s">
        <v>221</v>
      </c>
      <c r="E210" t="s">
        <v>97</v>
      </c>
      <c r="F210" s="1">
        <v>-1.5</v>
      </c>
      <c r="G210" s="1">
        <v>5705.03</v>
      </c>
    </row>
    <row r="211" spans="1:7" hidden="1" x14ac:dyDescent="0.3">
      <c r="A211" s="4" t="str">
        <f>TEXT(Table1[[#This Row],[Date]],"mmm")</f>
        <v>Aug</v>
      </c>
      <c r="B211" s="4">
        <v>44787</v>
      </c>
      <c r="C211" t="s">
        <v>156</v>
      </c>
      <c r="D211" t="s">
        <v>222</v>
      </c>
      <c r="E211" t="s">
        <v>61</v>
      </c>
      <c r="F211" s="1">
        <v>-40.049999999999997</v>
      </c>
      <c r="G211" s="1">
        <v>5664.98</v>
      </c>
    </row>
    <row r="212" spans="1:7" hidden="1" x14ac:dyDescent="0.3">
      <c r="A212" s="4" t="str">
        <f>TEXT(Table1[[#This Row],[Date]],"mmm")</f>
        <v>Aug</v>
      </c>
      <c r="B212" s="4">
        <v>44787</v>
      </c>
      <c r="C212" t="s">
        <v>156</v>
      </c>
      <c r="D212" t="s">
        <v>223</v>
      </c>
      <c r="E212" t="s">
        <v>59</v>
      </c>
      <c r="F212" s="1">
        <v>-6.25</v>
      </c>
      <c r="G212" s="1">
        <v>5658.73</v>
      </c>
    </row>
    <row r="213" spans="1:7" hidden="1" x14ac:dyDescent="0.3">
      <c r="A213" s="4" t="str">
        <f>TEXT(Table1[[#This Row],[Date]],"mmm")</f>
        <v>Aug</v>
      </c>
      <c r="B213" s="4">
        <v>44788</v>
      </c>
      <c r="C213" t="s">
        <v>156</v>
      </c>
      <c r="D213" t="s">
        <v>224</v>
      </c>
      <c r="E213" t="s">
        <v>59</v>
      </c>
      <c r="F213" s="1">
        <v>-7.7</v>
      </c>
      <c r="G213" s="1">
        <v>5651.03</v>
      </c>
    </row>
    <row r="214" spans="1:7" hidden="1" x14ac:dyDescent="0.3">
      <c r="A214" s="4" t="str">
        <f>TEXT(Table1[[#This Row],[Date]],"mmm")</f>
        <v>Aug</v>
      </c>
      <c r="B214" s="4">
        <v>44788</v>
      </c>
      <c r="C214" t="s">
        <v>156</v>
      </c>
      <c r="D214" t="s">
        <v>225</v>
      </c>
      <c r="E214" t="s">
        <v>59</v>
      </c>
      <c r="F214" s="1">
        <v>-6.35</v>
      </c>
      <c r="G214" s="1">
        <v>5644.68</v>
      </c>
    </row>
    <row r="215" spans="1:7" hidden="1" x14ac:dyDescent="0.3">
      <c r="A215" s="4" t="str">
        <f>TEXT(Table1[[#This Row],[Date]],"mmm")</f>
        <v>Aug</v>
      </c>
      <c r="B215" s="4">
        <v>44788</v>
      </c>
      <c r="C215" t="s">
        <v>156</v>
      </c>
      <c r="D215" t="s">
        <v>225</v>
      </c>
      <c r="E215" t="s">
        <v>59</v>
      </c>
      <c r="F215" s="1">
        <v>-16.559999999999999</v>
      </c>
      <c r="G215" s="1">
        <v>5628.12</v>
      </c>
    </row>
    <row r="216" spans="1:7" hidden="1" x14ac:dyDescent="0.3">
      <c r="A216" s="4" t="str">
        <f>TEXT(Table1[[#This Row],[Date]],"mmm")</f>
        <v>Aug</v>
      </c>
      <c r="B216" s="4">
        <v>44788</v>
      </c>
      <c r="C216" t="s">
        <v>156</v>
      </c>
      <c r="D216" t="s">
        <v>226</v>
      </c>
      <c r="E216" t="s">
        <v>59</v>
      </c>
      <c r="F216" s="1">
        <v>-40</v>
      </c>
      <c r="G216" s="1">
        <v>5588.12</v>
      </c>
    </row>
    <row r="217" spans="1:7" hidden="1" x14ac:dyDescent="0.3">
      <c r="A217" s="4" t="str">
        <f>TEXT(Table1[[#This Row],[Date]],"mmm")</f>
        <v>Aug</v>
      </c>
      <c r="B217" s="4">
        <v>44788</v>
      </c>
      <c r="C217" t="s">
        <v>157</v>
      </c>
      <c r="D217" t="s">
        <v>153</v>
      </c>
      <c r="E217" t="s">
        <v>59</v>
      </c>
      <c r="F217" s="1">
        <v>-55.47</v>
      </c>
      <c r="G217" s="1">
        <v>5532.65</v>
      </c>
    </row>
    <row r="218" spans="1:7" hidden="1" x14ac:dyDescent="0.3">
      <c r="A218" s="4" t="str">
        <f>TEXT(Table1[[#This Row],[Date]],"mmm")</f>
        <v>Aug</v>
      </c>
      <c r="B218" s="4">
        <v>44788</v>
      </c>
      <c r="C218" t="s">
        <v>249</v>
      </c>
      <c r="D218" t="s">
        <v>168</v>
      </c>
      <c r="E218" t="s">
        <v>249</v>
      </c>
      <c r="F218" s="1">
        <v>-3750</v>
      </c>
      <c r="G218" s="1">
        <v>1782.65</v>
      </c>
    </row>
    <row r="219" spans="1:7" hidden="1" x14ac:dyDescent="0.3">
      <c r="A219" s="4" t="str">
        <f>TEXT(Table1[[#This Row],[Date]],"mmm")</f>
        <v>Aug</v>
      </c>
      <c r="B219" s="4">
        <v>44788</v>
      </c>
      <c r="C219" t="s">
        <v>158</v>
      </c>
      <c r="D219" t="s">
        <v>170</v>
      </c>
      <c r="E219" t="s">
        <v>103</v>
      </c>
      <c r="F219" s="1">
        <v>228.36</v>
      </c>
      <c r="G219" s="1">
        <v>2011.01</v>
      </c>
    </row>
    <row r="220" spans="1:7" hidden="1" x14ac:dyDescent="0.3">
      <c r="A220" s="4" t="str">
        <f>TEXT(Table1[[#This Row],[Date]],"mmm")</f>
        <v>Aug</v>
      </c>
      <c r="B220" s="4">
        <v>44788</v>
      </c>
      <c r="C220" t="s">
        <v>156</v>
      </c>
      <c r="D220" t="s">
        <v>227</v>
      </c>
      <c r="E220" t="s">
        <v>62</v>
      </c>
      <c r="F220" s="1">
        <v>-6</v>
      </c>
      <c r="G220" s="1">
        <v>2005.01</v>
      </c>
    </row>
    <row r="221" spans="1:7" hidden="1" x14ac:dyDescent="0.3">
      <c r="A221" s="4" t="str">
        <f>TEXT(Table1[[#This Row],[Date]],"mmm")</f>
        <v>Aug</v>
      </c>
      <c r="B221" s="4">
        <v>44788</v>
      </c>
      <c r="C221" t="s">
        <v>156</v>
      </c>
      <c r="D221" t="s">
        <v>220</v>
      </c>
      <c r="E221" t="s">
        <v>103</v>
      </c>
      <c r="F221" s="1">
        <v>-1091.3</v>
      </c>
      <c r="G221" s="1">
        <v>913.71</v>
      </c>
    </row>
    <row r="222" spans="1:7" hidden="1" x14ac:dyDescent="0.3">
      <c r="A222" s="4" t="str">
        <f>TEXT(Table1[[#This Row],[Date]],"mmm")</f>
        <v>Aug</v>
      </c>
      <c r="B222" s="4">
        <v>44789</v>
      </c>
      <c r="C222" t="s">
        <v>158</v>
      </c>
      <c r="D222" t="s">
        <v>220</v>
      </c>
      <c r="E222" t="s">
        <v>103</v>
      </c>
      <c r="F222" s="1">
        <v>253.43</v>
      </c>
      <c r="G222" s="1">
        <v>1167.1400000000001</v>
      </c>
    </row>
    <row r="223" spans="1:7" hidden="1" x14ac:dyDescent="0.3">
      <c r="A223" s="4" t="str">
        <f>TEXT(Table1[[#This Row],[Date]],"mmm")</f>
        <v>Aug</v>
      </c>
      <c r="B223" s="4">
        <v>44789</v>
      </c>
      <c r="C223" t="s">
        <v>156</v>
      </c>
      <c r="D223" t="s">
        <v>228</v>
      </c>
      <c r="E223" t="s">
        <v>103</v>
      </c>
      <c r="F223" s="1">
        <v>-172.45</v>
      </c>
      <c r="G223" s="1">
        <v>994.69</v>
      </c>
    </row>
    <row r="224" spans="1:7" hidden="1" x14ac:dyDescent="0.3">
      <c r="A224" s="4" t="str">
        <f>TEXT(Table1[[#This Row],[Date]],"mmm")</f>
        <v>Aug</v>
      </c>
      <c r="B224" s="4">
        <v>44789</v>
      </c>
      <c r="C224" t="s">
        <v>156</v>
      </c>
      <c r="D224" t="s">
        <v>229</v>
      </c>
      <c r="E224" t="s">
        <v>103</v>
      </c>
      <c r="F224" s="1">
        <v>-254.48</v>
      </c>
      <c r="G224" s="1">
        <v>740.21</v>
      </c>
    </row>
    <row r="225" spans="1:7" hidden="1" x14ac:dyDescent="0.3">
      <c r="A225" s="4" t="str">
        <f>TEXT(Table1[[#This Row],[Date]],"mmm")</f>
        <v>Aug</v>
      </c>
      <c r="B225" s="4">
        <v>44790</v>
      </c>
      <c r="C225" t="s">
        <v>156</v>
      </c>
      <c r="D225" t="s">
        <v>212</v>
      </c>
      <c r="E225" t="s">
        <v>59</v>
      </c>
      <c r="F225" s="1">
        <v>-8.7899999999999991</v>
      </c>
      <c r="G225" s="1">
        <v>731.42</v>
      </c>
    </row>
    <row r="226" spans="1:7" hidden="1" x14ac:dyDescent="0.3">
      <c r="A226" s="4" t="str">
        <f>TEXT(Table1[[#This Row],[Date]],"mmm")</f>
        <v>Aug</v>
      </c>
      <c r="B226" s="4">
        <v>44790</v>
      </c>
      <c r="C226" t="s">
        <v>156</v>
      </c>
      <c r="D226" t="s">
        <v>230</v>
      </c>
      <c r="E226" t="s">
        <v>59</v>
      </c>
      <c r="F226" s="1">
        <v>-22.69</v>
      </c>
      <c r="G226" s="1">
        <v>708.73</v>
      </c>
    </row>
    <row r="227" spans="1:7" hidden="1" x14ac:dyDescent="0.3">
      <c r="A227" s="4" t="str">
        <f>TEXT(Table1[[#This Row],[Date]],"mmm")</f>
        <v>Aug</v>
      </c>
      <c r="B227" s="4">
        <v>44791</v>
      </c>
      <c r="C227" t="s">
        <v>159</v>
      </c>
      <c r="D227" t="s">
        <v>51</v>
      </c>
      <c r="E227" t="s">
        <v>64</v>
      </c>
      <c r="F227" s="1">
        <v>2027.61</v>
      </c>
      <c r="G227" s="1">
        <v>2736.34</v>
      </c>
    </row>
    <row r="228" spans="1:7" hidden="1" x14ac:dyDescent="0.3">
      <c r="A228" s="4" t="str">
        <f>TEXT(Table1[[#This Row],[Date]],"mmm")</f>
        <v>Aug</v>
      </c>
      <c r="B228" s="4">
        <v>44791</v>
      </c>
      <c r="C228" t="s">
        <v>156</v>
      </c>
      <c r="D228" t="s">
        <v>220</v>
      </c>
      <c r="E228" t="s">
        <v>103</v>
      </c>
      <c r="F228" s="1">
        <v>-197.4</v>
      </c>
      <c r="G228" s="1">
        <v>2538.94</v>
      </c>
    </row>
    <row r="229" spans="1:7" hidden="1" x14ac:dyDescent="0.3">
      <c r="A229" s="4" t="str">
        <f>TEXT(Table1[[#This Row],[Date]],"mmm")</f>
        <v>Aug</v>
      </c>
      <c r="B229" s="4">
        <v>44791</v>
      </c>
      <c r="C229" t="s">
        <v>156</v>
      </c>
      <c r="D229" t="s">
        <v>136</v>
      </c>
      <c r="E229" t="s">
        <v>65</v>
      </c>
      <c r="F229" s="1">
        <v>-54.85</v>
      </c>
      <c r="G229" s="1">
        <v>2484.09</v>
      </c>
    </row>
    <row r="230" spans="1:7" hidden="1" x14ac:dyDescent="0.3">
      <c r="A230" s="4" t="str">
        <f>TEXT(Table1[[#This Row],[Date]],"mmm")</f>
        <v>Aug</v>
      </c>
      <c r="B230" s="4">
        <v>44792</v>
      </c>
      <c r="C230" t="s">
        <v>156</v>
      </c>
      <c r="D230" t="s">
        <v>134</v>
      </c>
      <c r="E230" t="s">
        <v>62</v>
      </c>
      <c r="F230" s="1">
        <v>-3.27</v>
      </c>
      <c r="G230" s="1">
        <v>2480.8200000000002</v>
      </c>
    </row>
    <row r="231" spans="1:7" hidden="1" x14ac:dyDescent="0.3">
      <c r="A231" s="4" t="str">
        <f>TEXT(Table1[[#This Row],[Date]],"mmm")</f>
        <v>Aug</v>
      </c>
      <c r="B231" s="4">
        <v>44792</v>
      </c>
      <c r="C231" t="s">
        <v>160</v>
      </c>
      <c r="D231" t="s">
        <v>134</v>
      </c>
      <c r="E231" t="s">
        <v>62</v>
      </c>
      <c r="F231" s="1">
        <v>-0.03</v>
      </c>
      <c r="G231" s="1">
        <v>2480.79</v>
      </c>
    </row>
    <row r="232" spans="1:7" hidden="1" x14ac:dyDescent="0.3">
      <c r="A232" s="4" t="str">
        <f>TEXT(Table1[[#This Row],[Date]],"mmm")</f>
        <v>Aug</v>
      </c>
      <c r="B232" s="4">
        <v>44792</v>
      </c>
      <c r="C232" t="s">
        <v>156</v>
      </c>
      <c r="D232" t="s">
        <v>231</v>
      </c>
      <c r="E232" t="s">
        <v>62</v>
      </c>
      <c r="F232" s="1">
        <v>-29.99</v>
      </c>
      <c r="G232" s="1">
        <v>2450.8000000000002</v>
      </c>
    </row>
    <row r="233" spans="1:7" hidden="1" x14ac:dyDescent="0.3">
      <c r="A233" s="4" t="str">
        <f>TEXT(Table1[[#This Row],[Date]],"mmm")</f>
        <v>Aug</v>
      </c>
      <c r="B233" s="4">
        <v>44792</v>
      </c>
      <c r="C233" t="s">
        <v>157</v>
      </c>
      <c r="D233" t="s">
        <v>132</v>
      </c>
      <c r="E233" t="s">
        <v>63</v>
      </c>
      <c r="F233" s="1">
        <v>-830</v>
      </c>
      <c r="G233" s="1">
        <v>1620.8</v>
      </c>
    </row>
    <row r="234" spans="1:7" hidden="1" x14ac:dyDescent="0.3">
      <c r="A234" s="4" t="str">
        <f>TEXT(Table1[[#This Row],[Date]],"mmm")</f>
        <v>Aug</v>
      </c>
      <c r="B234" s="4">
        <v>44792</v>
      </c>
      <c r="C234" t="s">
        <v>156</v>
      </c>
      <c r="D234" t="s">
        <v>232</v>
      </c>
      <c r="E234" t="s">
        <v>61</v>
      </c>
      <c r="F234" s="1">
        <v>-45.35</v>
      </c>
      <c r="G234" s="1">
        <v>1575.45</v>
      </c>
    </row>
    <row r="235" spans="1:7" hidden="1" x14ac:dyDescent="0.3">
      <c r="A235" s="4" t="str">
        <f>TEXT(Table1[[#This Row],[Date]],"mmm")</f>
        <v>Aug</v>
      </c>
      <c r="B235" s="4">
        <v>44793</v>
      </c>
      <c r="C235" t="s">
        <v>156</v>
      </c>
      <c r="D235" t="s">
        <v>233</v>
      </c>
      <c r="E235" t="s">
        <v>59</v>
      </c>
      <c r="F235" s="1">
        <v>-7</v>
      </c>
      <c r="G235" s="1">
        <v>1568.45</v>
      </c>
    </row>
    <row r="236" spans="1:7" hidden="1" x14ac:dyDescent="0.3">
      <c r="A236" s="4" t="str">
        <f>TEXT(Table1[[#This Row],[Date]],"mmm")</f>
        <v>Aug</v>
      </c>
      <c r="B236" s="4">
        <v>44793</v>
      </c>
      <c r="C236" t="s">
        <v>156</v>
      </c>
      <c r="D236" t="s">
        <v>234</v>
      </c>
      <c r="E236" t="s">
        <v>60</v>
      </c>
      <c r="F236" s="1">
        <v>-36</v>
      </c>
      <c r="G236" s="1">
        <v>1532.45</v>
      </c>
    </row>
    <row r="237" spans="1:7" hidden="1" x14ac:dyDescent="0.3">
      <c r="A237" s="4" t="str">
        <f>TEXT(Table1[[#This Row],[Date]],"mmm")</f>
        <v>Aug</v>
      </c>
      <c r="B237" s="4">
        <v>44793</v>
      </c>
      <c r="C237" t="s">
        <v>156</v>
      </c>
      <c r="D237" t="s">
        <v>123</v>
      </c>
      <c r="E237" t="s">
        <v>59</v>
      </c>
      <c r="F237" s="1">
        <v>-100</v>
      </c>
      <c r="G237" s="1">
        <v>1432.45</v>
      </c>
    </row>
    <row r="238" spans="1:7" hidden="1" x14ac:dyDescent="0.3">
      <c r="A238" s="4" t="str">
        <f>TEXT(Table1[[#This Row],[Date]],"mmm")</f>
        <v>Aug</v>
      </c>
      <c r="B238" s="4">
        <v>44793</v>
      </c>
      <c r="C238" t="s">
        <v>156</v>
      </c>
      <c r="D238" t="s">
        <v>235</v>
      </c>
      <c r="E238" t="s">
        <v>59</v>
      </c>
      <c r="F238" s="1">
        <v>-7.72</v>
      </c>
      <c r="G238" s="1">
        <v>1424.73</v>
      </c>
    </row>
    <row r="239" spans="1:7" hidden="1" x14ac:dyDescent="0.3">
      <c r="A239" s="4" t="str">
        <f>TEXT(Table1[[#This Row],[Date]],"mmm")</f>
        <v>Aug</v>
      </c>
      <c r="B239" s="4">
        <v>44794</v>
      </c>
      <c r="C239" t="s">
        <v>156</v>
      </c>
      <c r="D239" t="s">
        <v>192</v>
      </c>
      <c r="E239" t="s">
        <v>59</v>
      </c>
      <c r="F239" s="1">
        <v>-11.5</v>
      </c>
      <c r="G239" s="1">
        <v>1413.23</v>
      </c>
    </row>
    <row r="240" spans="1:7" hidden="1" x14ac:dyDescent="0.3">
      <c r="A240" s="4" t="str">
        <f>TEXT(Table1[[#This Row],[Date]],"mmm")</f>
        <v>Aug</v>
      </c>
      <c r="B240" s="4">
        <v>44795</v>
      </c>
      <c r="C240" t="s">
        <v>156</v>
      </c>
      <c r="D240" t="s">
        <v>236</v>
      </c>
      <c r="E240" t="s">
        <v>59</v>
      </c>
      <c r="F240" s="1">
        <v>-9.73</v>
      </c>
      <c r="G240" s="1">
        <v>1403.5</v>
      </c>
    </row>
    <row r="241" spans="1:7" hidden="1" x14ac:dyDescent="0.3">
      <c r="A241" s="4" t="str">
        <f>TEXT(Table1[[#This Row],[Date]],"mmm")</f>
        <v>Aug</v>
      </c>
      <c r="B241" s="4">
        <v>44796</v>
      </c>
      <c r="C241" t="s">
        <v>156</v>
      </c>
      <c r="D241" t="s">
        <v>236</v>
      </c>
      <c r="E241" t="s">
        <v>59</v>
      </c>
      <c r="F241" s="1">
        <v>-10.55</v>
      </c>
      <c r="G241" s="1">
        <v>1392.95</v>
      </c>
    </row>
    <row r="242" spans="1:7" hidden="1" x14ac:dyDescent="0.3">
      <c r="A242" s="4" t="str">
        <f>TEXT(Table1[[#This Row],[Date]],"mmm")</f>
        <v>Aug</v>
      </c>
      <c r="B242" s="4">
        <v>44797</v>
      </c>
      <c r="C242" t="s">
        <v>156</v>
      </c>
      <c r="D242" t="s">
        <v>237</v>
      </c>
      <c r="E242" t="s">
        <v>59</v>
      </c>
      <c r="F242" s="1">
        <v>-15.48</v>
      </c>
      <c r="G242" s="1">
        <v>1377.47</v>
      </c>
    </row>
    <row r="243" spans="1:7" hidden="1" x14ac:dyDescent="0.3">
      <c r="A243" s="4" t="str">
        <f>TEXT(Table1[[#This Row],[Date]],"mmm")</f>
        <v>Aug</v>
      </c>
      <c r="B243" s="4">
        <v>44797</v>
      </c>
      <c r="C243" t="s">
        <v>238</v>
      </c>
      <c r="D243" t="s">
        <v>239</v>
      </c>
      <c r="E243" t="s">
        <v>250</v>
      </c>
      <c r="F243" s="1">
        <v>-302.5</v>
      </c>
      <c r="G243" s="1">
        <v>1074.97</v>
      </c>
    </row>
    <row r="244" spans="1:7" hidden="1" x14ac:dyDescent="0.3">
      <c r="A244" s="4" t="str">
        <f>TEXT(Table1[[#This Row],[Date]],"mmm")</f>
        <v>Aug</v>
      </c>
      <c r="B244" s="4">
        <v>44797</v>
      </c>
      <c r="C244" t="s">
        <v>154</v>
      </c>
      <c r="D244" t="s">
        <v>107</v>
      </c>
      <c r="E244" t="s">
        <v>250</v>
      </c>
      <c r="F244" s="1">
        <v>2.5</v>
      </c>
      <c r="G244" s="1">
        <v>1077.47</v>
      </c>
    </row>
    <row r="245" spans="1:7" hidden="1" x14ac:dyDescent="0.3">
      <c r="A245" s="4" t="str">
        <f>TEXT(Table1[[#This Row],[Date]],"mmm")</f>
        <v>Aug</v>
      </c>
      <c r="B245" s="4">
        <v>44798</v>
      </c>
      <c r="C245" t="s">
        <v>156</v>
      </c>
      <c r="D245" t="s">
        <v>123</v>
      </c>
      <c r="E245" t="s">
        <v>59</v>
      </c>
      <c r="F245" s="1">
        <v>-100</v>
      </c>
      <c r="G245" s="1">
        <v>977.47</v>
      </c>
    </row>
    <row r="246" spans="1:7" hidden="1" x14ac:dyDescent="0.3">
      <c r="A246" s="4" t="str">
        <f>TEXT(Table1[[#This Row],[Date]],"mmm")</f>
        <v>Aug</v>
      </c>
      <c r="B246" s="4">
        <v>44799</v>
      </c>
      <c r="C246" t="s">
        <v>156</v>
      </c>
      <c r="D246" t="s">
        <v>240</v>
      </c>
      <c r="E246" t="s">
        <v>59</v>
      </c>
      <c r="F246" s="1">
        <v>-6.2</v>
      </c>
      <c r="G246" s="1">
        <v>971.27</v>
      </c>
    </row>
    <row r="247" spans="1:7" hidden="1" x14ac:dyDescent="0.3">
      <c r="A247" s="4" t="str">
        <f>TEXT(Table1[[#This Row],[Date]],"mmm")</f>
        <v>Aug</v>
      </c>
      <c r="B247" s="4">
        <v>44800</v>
      </c>
      <c r="C247" t="s">
        <v>156</v>
      </c>
      <c r="D247" t="s">
        <v>175</v>
      </c>
      <c r="E247" t="s">
        <v>61</v>
      </c>
      <c r="F247" s="1">
        <v>-45.17</v>
      </c>
      <c r="G247" s="1">
        <v>926.1</v>
      </c>
    </row>
    <row r="248" spans="1:7" hidden="1" x14ac:dyDescent="0.3">
      <c r="A248" s="4" t="str">
        <f>TEXT(Table1[[#This Row],[Date]],"mmm")</f>
        <v>Aug</v>
      </c>
      <c r="B248" s="4">
        <v>44800</v>
      </c>
      <c r="C248" t="s">
        <v>156</v>
      </c>
      <c r="D248" t="s">
        <v>241</v>
      </c>
      <c r="E248" t="s">
        <v>59</v>
      </c>
      <c r="F248" s="1">
        <v>-18</v>
      </c>
      <c r="G248" s="1">
        <v>908.1</v>
      </c>
    </row>
    <row r="249" spans="1:7" hidden="1" x14ac:dyDescent="0.3">
      <c r="A249" s="4" t="str">
        <f>TEXT(Table1[[#This Row],[Date]],"mmm")</f>
        <v>Aug</v>
      </c>
      <c r="B249" s="4">
        <v>44800</v>
      </c>
      <c r="C249" t="s">
        <v>156</v>
      </c>
      <c r="D249" t="s">
        <v>242</v>
      </c>
      <c r="E249" t="s">
        <v>103</v>
      </c>
      <c r="F249" s="1">
        <v>-76.02</v>
      </c>
      <c r="G249" s="1">
        <v>832.08</v>
      </c>
    </row>
    <row r="250" spans="1:7" hidden="1" x14ac:dyDescent="0.3">
      <c r="A250" s="4" t="str">
        <f>TEXT(Table1[[#This Row],[Date]],"mmm")</f>
        <v>Aug</v>
      </c>
      <c r="B250" s="4">
        <v>44800</v>
      </c>
      <c r="C250" t="s">
        <v>156</v>
      </c>
      <c r="D250" t="s">
        <v>243</v>
      </c>
      <c r="E250" t="s">
        <v>59</v>
      </c>
      <c r="F250" s="1">
        <v>-21.97</v>
      </c>
      <c r="G250" s="1">
        <v>810.11</v>
      </c>
    </row>
    <row r="251" spans="1:7" hidden="1" x14ac:dyDescent="0.3">
      <c r="A251" s="4" t="str">
        <f>TEXT(Table1[[#This Row],[Date]],"mmm")</f>
        <v>Aug</v>
      </c>
      <c r="B251" s="4">
        <v>44801</v>
      </c>
      <c r="C251" t="s">
        <v>156</v>
      </c>
      <c r="D251" t="s">
        <v>244</v>
      </c>
      <c r="E251" t="s">
        <v>97</v>
      </c>
      <c r="F251" s="1">
        <v>-1.75</v>
      </c>
      <c r="G251" s="1">
        <v>808.36</v>
      </c>
    </row>
    <row r="252" spans="1:7" hidden="1" x14ac:dyDescent="0.3">
      <c r="A252" s="4" t="str">
        <f>TEXT(Table1[[#This Row],[Date]],"mmm")</f>
        <v>Aug</v>
      </c>
      <c r="B252" s="4">
        <v>44801</v>
      </c>
      <c r="C252" t="s">
        <v>156</v>
      </c>
      <c r="D252" t="s">
        <v>245</v>
      </c>
      <c r="E252" t="s">
        <v>59</v>
      </c>
      <c r="F252" s="1">
        <v>-10.79</v>
      </c>
      <c r="G252" s="1">
        <v>797.57</v>
      </c>
    </row>
    <row r="253" spans="1:7" hidden="1" x14ac:dyDescent="0.3">
      <c r="A253" s="4" t="str">
        <f>TEXT(Table1[[#This Row],[Date]],"mmm")</f>
        <v>Aug</v>
      </c>
      <c r="B253" s="4">
        <v>44801</v>
      </c>
      <c r="C253" t="s">
        <v>156</v>
      </c>
      <c r="D253" t="s">
        <v>245</v>
      </c>
      <c r="E253" t="s">
        <v>59</v>
      </c>
      <c r="F253" s="1">
        <v>-5.85</v>
      </c>
      <c r="G253" s="1">
        <v>791.72</v>
      </c>
    </row>
    <row r="254" spans="1:7" hidden="1" x14ac:dyDescent="0.3">
      <c r="A254" s="4" t="str">
        <f>TEXT(Table1[[#This Row],[Date]],"mmm")</f>
        <v>Aug</v>
      </c>
      <c r="B254" s="4">
        <v>44801</v>
      </c>
      <c r="C254" t="s">
        <v>156</v>
      </c>
      <c r="D254" t="s">
        <v>246</v>
      </c>
      <c r="E254" t="s">
        <v>61</v>
      </c>
      <c r="F254" s="1">
        <v>-24.83</v>
      </c>
      <c r="G254" s="1">
        <v>766.89</v>
      </c>
    </row>
    <row r="255" spans="1:7" hidden="1" x14ac:dyDescent="0.3">
      <c r="A255" s="4" t="str">
        <f>TEXT(Table1[[#This Row],[Date]],"mmm")</f>
        <v>Aug</v>
      </c>
      <c r="B255" s="4">
        <v>44802</v>
      </c>
      <c r="C255" t="s">
        <v>156</v>
      </c>
      <c r="D255" t="s">
        <v>236</v>
      </c>
      <c r="E255" t="s">
        <v>59</v>
      </c>
      <c r="F255" s="1">
        <v>-9.73</v>
      </c>
      <c r="G255" s="1">
        <v>757.16</v>
      </c>
    </row>
    <row r="256" spans="1:7" hidden="1" x14ac:dyDescent="0.3">
      <c r="A256" s="4" t="str">
        <f>TEXT(Table1[[#This Row],[Date]],"mmm")</f>
        <v>Aug</v>
      </c>
      <c r="B256" s="4">
        <v>44802</v>
      </c>
      <c r="C256" t="s">
        <v>156</v>
      </c>
      <c r="D256" t="s">
        <v>247</v>
      </c>
      <c r="E256" t="s">
        <v>97</v>
      </c>
      <c r="F256" s="1">
        <v>-27.95</v>
      </c>
      <c r="G256" s="1">
        <v>729.21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BB72-6056-41DA-BEB3-7C8BE0893143}">
  <dimension ref="A5:G22"/>
  <sheetViews>
    <sheetView workbookViewId="0">
      <selection activeCell="G10" sqref="G10"/>
    </sheetView>
  </sheetViews>
  <sheetFormatPr defaultRowHeight="14.4" x14ac:dyDescent="0.3"/>
  <cols>
    <col min="1" max="1" width="15.44140625" bestFit="1" customWidth="1"/>
    <col min="2" max="2" width="15.21875" bestFit="1" customWidth="1"/>
    <col min="3" max="4" width="8.44140625" bestFit="1" customWidth="1"/>
    <col min="5" max="5" width="10.77734375" bestFit="1" customWidth="1"/>
    <col min="6" max="6" width="10.21875" bestFit="1" customWidth="1"/>
    <col min="7" max="7" width="27.77734375" bestFit="1" customWidth="1"/>
    <col min="8" max="8" width="37.21875" bestFit="1" customWidth="1"/>
    <col min="9" max="9" width="15.33203125" bestFit="1" customWidth="1"/>
    <col min="10" max="10" width="16.77734375" bestFit="1" customWidth="1"/>
    <col min="11" max="11" width="23.33203125" bestFit="1" customWidth="1"/>
    <col min="12" max="12" width="8.109375" bestFit="1" customWidth="1"/>
    <col min="13" max="13" width="23.77734375" bestFit="1" customWidth="1"/>
    <col min="14" max="14" width="37.6640625" bestFit="1" customWidth="1"/>
    <col min="15" max="15" width="34.44140625" bestFit="1" customWidth="1"/>
    <col min="16" max="16" width="32.5546875" bestFit="1" customWidth="1"/>
    <col min="17" max="17" width="23" bestFit="1" customWidth="1"/>
    <col min="18" max="18" width="31.21875" bestFit="1" customWidth="1"/>
    <col min="19" max="19" width="19.21875" bestFit="1" customWidth="1"/>
    <col min="20" max="20" width="32.21875" bestFit="1" customWidth="1"/>
    <col min="21" max="21" width="27.77734375" bestFit="1" customWidth="1"/>
    <col min="22" max="22" width="36.21875" bestFit="1" customWidth="1"/>
    <col min="23" max="23" width="30.6640625" bestFit="1" customWidth="1"/>
    <col min="24" max="24" width="33.6640625" bestFit="1" customWidth="1"/>
    <col min="25" max="25" width="30.5546875" bestFit="1" customWidth="1"/>
    <col min="26" max="26" width="20.77734375" bestFit="1" customWidth="1"/>
    <col min="27" max="27" width="29.6640625" bestFit="1" customWidth="1"/>
    <col min="28" max="28" width="33" bestFit="1" customWidth="1"/>
    <col min="29" max="29" width="23.6640625" bestFit="1" customWidth="1"/>
    <col min="30" max="30" width="34.21875" bestFit="1" customWidth="1"/>
    <col min="31" max="31" width="21.5546875" bestFit="1" customWidth="1"/>
    <col min="32" max="32" width="26.44140625" bestFit="1" customWidth="1"/>
    <col min="33" max="33" width="30.6640625" bestFit="1" customWidth="1"/>
    <col min="34" max="34" width="23.109375" bestFit="1" customWidth="1"/>
    <col min="35" max="35" width="22.21875" bestFit="1" customWidth="1"/>
    <col min="36" max="36" width="33.21875" bestFit="1" customWidth="1"/>
    <col min="37" max="37" width="30.88671875" bestFit="1" customWidth="1"/>
    <col min="38" max="38" width="24.6640625" bestFit="1" customWidth="1"/>
    <col min="39" max="39" width="30" bestFit="1" customWidth="1"/>
    <col min="40" max="40" width="27.44140625" bestFit="1" customWidth="1"/>
    <col min="41" max="41" width="29.77734375" bestFit="1" customWidth="1"/>
    <col min="42" max="42" width="31.88671875" bestFit="1" customWidth="1"/>
    <col min="43" max="43" width="25.44140625" bestFit="1" customWidth="1"/>
    <col min="44" max="44" width="26.6640625" bestFit="1" customWidth="1"/>
    <col min="45" max="45" width="26.77734375" bestFit="1" customWidth="1"/>
    <col min="46" max="46" width="25.77734375" bestFit="1" customWidth="1"/>
    <col min="47" max="47" width="27.21875" bestFit="1" customWidth="1"/>
    <col min="48" max="48" width="36.44140625" bestFit="1" customWidth="1"/>
    <col min="49" max="49" width="26.33203125" bestFit="1" customWidth="1"/>
    <col min="50" max="50" width="27.77734375" bestFit="1" customWidth="1"/>
    <col min="51" max="51" width="19.6640625" bestFit="1" customWidth="1"/>
    <col min="52" max="52" width="29.6640625" bestFit="1" customWidth="1"/>
    <col min="53" max="53" width="30.77734375" bestFit="1" customWidth="1"/>
    <col min="54" max="54" width="31.44140625" bestFit="1" customWidth="1"/>
    <col min="55" max="55" width="12.5546875" bestFit="1" customWidth="1"/>
    <col min="56" max="56" width="10.21875" bestFit="1" customWidth="1"/>
  </cols>
  <sheetData>
    <row r="5" spans="1:7" x14ac:dyDescent="0.3">
      <c r="A5" s="11" t="s">
        <v>104</v>
      </c>
      <c r="B5" s="11" t="s">
        <v>164</v>
      </c>
    </row>
    <row r="6" spans="1:7" x14ac:dyDescent="0.3">
      <c r="A6" s="11" t="s">
        <v>106</v>
      </c>
      <c r="B6" t="s">
        <v>162</v>
      </c>
      <c r="C6" t="s">
        <v>163</v>
      </c>
      <c r="D6" t="s">
        <v>252</v>
      </c>
      <c r="E6" t="s">
        <v>105</v>
      </c>
    </row>
    <row r="7" spans="1:7" x14ac:dyDescent="0.3">
      <c r="A7" s="6" t="s">
        <v>103</v>
      </c>
      <c r="B7" s="2">
        <v>-788.28999999999985</v>
      </c>
      <c r="C7" s="2">
        <v>-1397.6899999999998</v>
      </c>
      <c r="D7" s="2">
        <v>-2467.46</v>
      </c>
      <c r="E7" s="2">
        <v>-4653.4399999999996</v>
      </c>
    </row>
    <row r="8" spans="1:7" x14ac:dyDescent="0.3">
      <c r="A8" s="6" t="s">
        <v>59</v>
      </c>
      <c r="B8" s="2">
        <v>-598.0200000000001</v>
      </c>
      <c r="C8" s="2">
        <v>-539.77</v>
      </c>
      <c r="D8" s="2">
        <v>-746.74000000000012</v>
      </c>
      <c r="E8" s="2">
        <v>-1884.5300000000002</v>
      </c>
    </row>
    <row r="9" spans="1:7" x14ac:dyDescent="0.3">
      <c r="A9" s="6" t="s">
        <v>61</v>
      </c>
      <c r="B9" s="2">
        <v>-202.07</v>
      </c>
      <c r="C9" s="2">
        <v>-153.39999999999998</v>
      </c>
      <c r="D9" s="2">
        <v>-436.58</v>
      </c>
      <c r="E9" s="2">
        <v>-792.05</v>
      </c>
    </row>
    <row r="10" spans="1:7" x14ac:dyDescent="0.3">
      <c r="A10" s="6" t="s">
        <v>60</v>
      </c>
      <c r="B10" s="2">
        <v>-127.34</v>
      </c>
      <c r="C10" s="2">
        <v>-76</v>
      </c>
      <c r="D10" s="2">
        <v>-36</v>
      </c>
      <c r="E10" s="2">
        <v>-239.34</v>
      </c>
    </row>
    <row r="11" spans="1:7" x14ac:dyDescent="0.3">
      <c r="A11" s="6" t="s">
        <v>62</v>
      </c>
      <c r="B11" s="2">
        <v>-170.9</v>
      </c>
      <c r="C11" s="2">
        <v>-56.880000000000024</v>
      </c>
      <c r="D11" s="2">
        <v>-257.15000000000003</v>
      </c>
      <c r="E11" s="2">
        <v>-484.93000000000006</v>
      </c>
    </row>
    <row r="12" spans="1:7" x14ac:dyDescent="0.3">
      <c r="A12" s="6" t="s">
        <v>65</v>
      </c>
      <c r="B12" s="2">
        <v>-54.87</v>
      </c>
      <c r="C12" s="2">
        <v>-54.87</v>
      </c>
      <c r="D12" s="2">
        <v>-54.85</v>
      </c>
      <c r="E12" s="2">
        <v>-164.59</v>
      </c>
    </row>
    <row r="13" spans="1:7" x14ac:dyDescent="0.3">
      <c r="A13" s="6" t="s">
        <v>63</v>
      </c>
      <c r="B13" s="2">
        <v>-719.95</v>
      </c>
      <c r="C13" s="2">
        <v>-1687.3400000000001</v>
      </c>
      <c r="D13" s="2">
        <v>-872.48</v>
      </c>
      <c r="E13" s="2">
        <v>-3279.77</v>
      </c>
    </row>
    <row r="14" spans="1:7" x14ac:dyDescent="0.3">
      <c r="A14" s="6" t="s">
        <v>161</v>
      </c>
      <c r="B14" s="2"/>
      <c r="C14" s="2">
        <v>-800</v>
      </c>
      <c r="D14" s="2"/>
      <c r="E14" s="2">
        <v>-800</v>
      </c>
    </row>
    <row r="15" spans="1:7" x14ac:dyDescent="0.3">
      <c r="A15" s="6" t="s">
        <v>64</v>
      </c>
      <c r="B15" s="2">
        <v>3960.84</v>
      </c>
      <c r="C15" s="2">
        <v>5813.92</v>
      </c>
      <c r="D15" s="2">
        <v>5224.7699999999995</v>
      </c>
      <c r="E15" s="2">
        <v>14999.529999999999</v>
      </c>
      <c r="G15">
        <f>GETPIVOTDATA("Amount $",$A$5,"Month","Jul","Categories","Salary")-GETPIVOTDATA("Amount $",$A$5,"Month","Jun","Categories","Salary")</f>
        <v>1853.08</v>
      </c>
    </row>
    <row r="16" spans="1:7" x14ac:dyDescent="0.3">
      <c r="A16" s="6" t="s">
        <v>97</v>
      </c>
      <c r="B16" s="2"/>
      <c r="C16" s="2"/>
      <c r="D16" s="2">
        <v>-1222.5599999999997</v>
      </c>
      <c r="E16" s="2">
        <v>-1222.5599999999997</v>
      </c>
      <c r="G16">
        <f>GETPIVOTDATA("Amount $",$A$5,"Month","Aug","Categories","Salary")-GETPIVOTDATA("Amount $",$A$5,"Month","Jun","Categories","Salary")</f>
        <v>1263.9299999999994</v>
      </c>
    </row>
    <row r="17" spans="1:7" x14ac:dyDescent="0.3">
      <c r="A17" s="6" t="s">
        <v>251</v>
      </c>
      <c r="B17" s="2"/>
      <c r="C17" s="2"/>
      <c r="D17" s="2">
        <v>-193</v>
      </c>
      <c r="E17" s="2">
        <v>-193</v>
      </c>
      <c r="G17">
        <f>G15+G16</f>
        <v>3117.0099999999993</v>
      </c>
    </row>
    <row r="18" spans="1:7" x14ac:dyDescent="0.3">
      <c r="A18" s="6" t="s">
        <v>248</v>
      </c>
      <c r="B18" s="2"/>
      <c r="C18" s="2"/>
      <c r="D18" s="2">
        <v>-1074.6600000000001</v>
      </c>
      <c r="E18" s="2">
        <v>-1074.6600000000001</v>
      </c>
    </row>
    <row r="19" spans="1:7" x14ac:dyDescent="0.3">
      <c r="A19" s="6" t="s">
        <v>96</v>
      </c>
      <c r="B19" s="2"/>
      <c r="C19" s="2"/>
      <c r="D19" s="2">
        <v>-44.8</v>
      </c>
      <c r="E19" s="2">
        <v>-44.8</v>
      </c>
    </row>
    <row r="20" spans="1:7" x14ac:dyDescent="0.3">
      <c r="A20" s="6" t="s">
        <v>249</v>
      </c>
      <c r="B20" s="2"/>
      <c r="C20" s="2"/>
      <c r="D20" s="2">
        <v>-3750</v>
      </c>
      <c r="E20" s="2">
        <v>-3750</v>
      </c>
    </row>
    <row r="21" spans="1:7" x14ac:dyDescent="0.3">
      <c r="A21" s="6" t="s">
        <v>250</v>
      </c>
      <c r="B21" s="2"/>
      <c r="C21" s="2"/>
      <c r="D21" s="2">
        <v>-300</v>
      </c>
      <c r="E21" s="2">
        <v>-300</v>
      </c>
    </row>
    <row r="22" spans="1:7" x14ac:dyDescent="0.3">
      <c r="A22" s="6" t="s">
        <v>105</v>
      </c>
      <c r="B22" s="2">
        <v>1299.4000000000005</v>
      </c>
      <c r="C22" s="2">
        <v>1047.9700000000003</v>
      </c>
      <c r="D22" s="2">
        <v>-6231.51</v>
      </c>
      <c r="E22" s="2">
        <v>-3884.1400000000008</v>
      </c>
      <c r="G22">
        <f>20000/12</f>
        <v>1666.6666666666667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E85C-CA3A-420F-A756-AC3DC26C6737}">
  <dimension ref="B1:O49"/>
  <sheetViews>
    <sheetView showGridLines="0" topLeftCell="A20" zoomScaleNormal="100" workbookViewId="0">
      <selection activeCell="E48" sqref="E48"/>
    </sheetView>
  </sheetViews>
  <sheetFormatPr defaultRowHeight="14.4" x14ac:dyDescent="0.3"/>
  <cols>
    <col min="1" max="1" width="5" customWidth="1"/>
    <col min="2" max="3" width="8.44140625" customWidth="1"/>
    <col min="4" max="4" width="8.44140625" style="3" customWidth="1"/>
    <col min="5" max="5" width="34.77734375" style="6" bestFit="1" customWidth="1"/>
    <col min="6" max="7" width="12.5546875" style="7" customWidth="1"/>
    <col min="8" max="8" width="13.44140625" style="3" bestFit="1" customWidth="1"/>
    <col min="9" max="9" width="9.6640625" style="3" customWidth="1"/>
    <col min="10" max="10" width="27.88671875" style="6" bestFit="1" customWidth="1"/>
    <col min="11" max="11" width="9.6640625" customWidth="1"/>
    <col min="12" max="12" width="10.109375" bestFit="1" customWidth="1"/>
    <col min="13" max="13" width="12" style="3" bestFit="1" customWidth="1"/>
    <col min="14" max="14" width="11.109375" bestFit="1" customWidth="1"/>
  </cols>
  <sheetData>
    <row r="1" spans="5:15" x14ac:dyDescent="0.3">
      <c r="F1" s="6"/>
      <c r="G1" s="6"/>
    </row>
    <row r="2" spans="5:15" x14ac:dyDescent="0.3">
      <c r="F2" s="3" t="s">
        <v>67</v>
      </c>
      <c r="G2" s="3" t="s">
        <v>68</v>
      </c>
      <c r="H2" s="3" t="s">
        <v>69</v>
      </c>
      <c r="J2" s="6" t="s">
        <v>66</v>
      </c>
      <c r="K2" s="29">
        <v>70000</v>
      </c>
      <c r="L2" s="29"/>
      <c r="O2" s="7"/>
    </row>
    <row r="3" spans="5:15" x14ac:dyDescent="0.3">
      <c r="E3" s="6" t="s">
        <v>70</v>
      </c>
      <c r="F3" s="7">
        <f>ROUNDUP(H3/26, 2)</f>
        <v>2880</v>
      </c>
      <c r="G3" s="7">
        <f>H3/12</f>
        <v>6240</v>
      </c>
      <c r="H3" s="5">
        <v>74880</v>
      </c>
      <c r="I3" s="5"/>
      <c r="J3" s="6" t="s">
        <v>71</v>
      </c>
      <c r="K3" s="29">
        <f>90000/65804*K2</f>
        <v>95738.860859522218</v>
      </c>
      <c r="L3" s="29"/>
      <c r="O3" s="7"/>
    </row>
    <row r="4" spans="5:15" x14ac:dyDescent="0.3">
      <c r="E4" s="6" t="s">
        <v>72</v>
      </c>
      <c r="F4" s="7">
        <v>0.69</v>
      </c>
      <c r="G4" s="7">
        <f>H4/12</f>
        <v>1.4949999999999999</v>
      </c>
      <c r="H4" s="5">
        <f>F4*26</f>
        <v>17.939999999999998</v>
      </c>
      <c r="I4" s="5"/>
      <c r="K4" s="7"/>
      <c r="M4" s="5"/>
      <c r="N4" s="7"/>
      <c r="O4" s="7"/>
    </row>
    <row r="5" spans="5:15" x14ac:dyDescent="0.3">
      <c r="J5" s="6" t="s">
        <v>73</v>
      </c>
      <c r="K5" s="29">
        <f>85000/145913*K6</f>
        <v>106743.61145691197</v>
      </c>
      <c r="L5" s="29"/>
      <c r="M5" s="5"/>
      <c r="N5" s="7"/>
      <c r="O5" s="7"/>
    </row>
    <row r="6" spans="5:15" x14ac:dyDescent="0.3">
      <c r="E6" s="6" t="s">
        <v>74</v>
      </c>
      <c r="F6" s="7">
        <f>ROUNDUP(-2/100*F3,2)</f>
        <v>-57.6</v>
      </c>
      <c r="G6" s="7">
        <f>H6/12</f>
        <v>-124.80000000000001</v>
      </c>
      <c r="H6" s="5">
        <f>F6*26</f>
        <v>-1497.6000000000001</v>
      </c>
      <c r="I6" s="5"/>
      <c r="J6" s="6" t="s">
        <v>75</v>
      </c>
      <c r="K6" s="29">
        <f>316741/121000*K2</f>
        <v>183238.59504132232</v>
      </c>
      <c r="L6" s="29"/>
      <c r="M6" s="5"/>
      <c r="N6" s="7"/>
      <c r="O6" s="7"/>
    </row>
    <row r="7" spans="5:15" x14ac:dyDescent="0.3">
      <c r="E7" s="6" t="s">
        <v>76</v>
      </c>
      <c r="F7" s="7">
        <v>-19.23</v>
      </c>
      <c r="G7" s="7">
        <f t="shared" ref="G7:G10" si="0">H7/12</f>
        <v>-41.664999999999999</v>
      </c>
      <c r="H7" s="5">
        <f t="shared" ref="H7:H10" si="1">F7*26</f>
        <v>-499.98</v>
      </c>
      <c r="I7" s="5"/>
      <c r="J7" s="6" t="s">
        <v>77</v>
      </c>
      <c r="K7" s="29">
        <f>K2/42736*114000</f>
        <v>186727.81729689255</v>
      </c>
      <c r="L7" s="29"/>
    </row>
    <row r="8" spans="5:15" x14ac:dyDescent="0.3">
      <c r="E8" s="6" t="s">
        <v>78</v>
      </c>
      <c r="F8" s="7">
        <v>0</v>
      </c>
      <c r="G8" s="7">
        <f t="shared" si="0"/>
        <v>0</v>
      </c>
      <c r="H8" s="5">
        <f t="shared" si="1"/>
        <v>0</v>
      </c>
      <c r="I8" s="5"/>
      <c r="L8" s="7"/>
    </row>
    <row r="9" spans="5:15" x14ac:dyDescent="0.3">
      <c r="E9" s="6" t="s">
        <v>79</v>
      </c>
      <c r="F9" s="7">
        <v>-6.38</v>
      </c>
      <c r="G9" s="7">
        <f t="shared" si="0"/>
        <v>-13.823333333333332</v>
      </c>
      <c r="H9" s="5">
        <f t="shared" si="1"/>
        <v>-165.88</v>
      </c>
      <c r="I9" s="5"/>
      <c r="L9" s="7"/>
    </row>
    <row r="10" spans="5:15" x14ac:dyDescent="0.3">
      <c r="E10" s="6" t="s">
        <v>80</v>
      </c>
      <c r="F10" s="7">
        <v>-4.43</v>
      </c>
      <c r="G10" s="7">
        <f t="shared" si="0"/>
        <v>-9.5983333333333327</v>
      </c>
      <c r="H10" s="5">
        <f t="shared" si="1"/>
        <v>-115.17999999999999</v>
      </c>
      <c r="I10" s="5"/>
      <c r="L10" s="7"/>
    </row>
    <row r="11" spans="5:15" x14ac:dyDescent="0.3">
      <c r="E11" s="6" t="s">
        <v>259</v>
      </c>
      <c r="F11" s="7">
        <v>-39.950000000000003</v>
      </c>
      <c r="G11" s="7">
        <f>H11/12</f>
        <v>-86.558333333333337</v>
      </c>
      <c r="H11" s="5">
        <f>F11*26</f>
        <v>-1038.7</v>
      </c>
      <c r="I11" s="5"/>
      <c r="J11" s="6">
        <v>41.54</v>
      </c>
      <c r="L11" s="7"/>
    </row>
    <row r="12" spans="5:15" x14ac:dyDescent="0.3">
      <c r="H12" s="5"/>
      <c r="I12" s="5"/>
      <c r="J12" s="7">
        <f>J11+F11</f>
        <v>1.5899999999999963</v>
      </c>
      <c r="K12" s="3"/>
      <c r="L12" s="3"/>
      <c r="N12" s="3"/>
      <c r="O12" s="3"/>
    </row>
    <row r="13" spans="5:15" x14ac:dyDescent="0.3">
      <c r="E13" s="6" t="s">
        <v>83</v>
      </c>
      <c r="F13" s="7">
        <f>H13/26</f>
        <v>0</v>
      </c>
      <c r="G13" s="7">
        <f>H13/12</f>
        <v>0</v>
      </c>
      <c r="H13" s="7"/>
      <c r="I13" s="5"/>
      <c r="K13" s="8"/>
      <c r="L13" s="8"/>
      <c r="N13" s="1"/>
      <c r="O13" s="1"/>
    </row>
    <row r="14" spans="5:15" x14ac:dyDescent="0.3">
      <c r="H14" s="5"/>
      <c r="I14" s="5"/>
      <c r="K14" s="8"/>
      <c r="L14" s="1"/>
      <c r="N14" s="1"/>
      <c r="O14" s="1"/>
    </row>
    <row r="15" spans="5:15" x14ac:dyDescent="0.3">
      <c r="E15" s="6" t="s">
        <v>86</v>
      </c>
      <c r="F15" s="7">
        <f>F3+F4+F7+F8+F9</f>
        <v>2855.08</v>
      </c>
      <c r="G15" s="7">
        <f t="shared" ref="G15:H15" si="2">G3+G4+G7+G8+G9</f>
        <v>6186.0066666666662</v>
      </c>
      <c r="H15" s="7">
        <f t="shared" si="2"/>
        <v>74232.08</v>
      </c>
      <c r="I15" s="5"/>
      <c r="K15" s="7"/>
      <c r="N15" s="1"/>
      <c r="O15" s="1"/>
    </row>
    <row r="16" spans="5:15" x14ac:dyDescent="0.3">
      <c r="E16" s="6" t="s">
        <v>87</v>
      </c>
      <c r="F16" s="7">
        <f>F15+F6-F13</f>
        <v>2797.48</v>
      </c>
      <c r="G16" s="7">
        <f t="shared" ref="G16:H16" si="3">G15+G6-G13</f>
        <v>6061.206666666666</v>
      </c>
      <c r="H16" s="7">
        <f t="shared" si="3"/>
        <v>72734.48</v>
      </c>
      <c r="I16" s="5"/>
      <c r="K16" s="1"/>
    </row>
    <row r="17" spans="2:15" x14ac:dyDescent="0.3">
      <c r="K17" s="7"/>
      <c r="N17" s="1"/>
      <c r="O17" s="1"/>
    </row>
    <row r="18" spans="2:15" x14ac:dyDescent="0.3">
      <c r="B18" s="9">
        <f>ABS(F18/$F$3)</f>
        <v>0.11033533097222223</v>
      </c>
      <c r="C18" s="9">
        <v>0.11359</v>
      </c>
      <c r="D18" s="9">
        <f>IF(K17&gt;523601, ((K17-523600)*0.37+157804.25)/K17, IF(K17&gt;209426, ((K17-209425)*0.35+47843)/K17, IF(K17&gt;164926, ((K17-164925)*0.32+33603)/K17, IF(K17&gt;86376, ((K17-86375)*0.24+14751)/K17, IF(K17&gt;40526, ((K17-40525)*0.22+4664)/K17, IF(K17&gt;9951, ((K17-9950)*0.12+995)/K17, IF(K17&gt;0, ((K17-0)*0.1+0)/K17, 0)))))))</f>
        <v>0</v>
      </c>
      <c r="E18" s="6" t="s">
        <v>90</v>
      </c>
      <c r="F18" s="7">
        <f>F16*$C$18*(-1)</f>
        <v>-317.76575320000001</v>
      </c>
      <c r="G18" s="7">
        <f t="shared" ref="G18:H18" si="4">G16*$C$18*(-1)</f>
        <v>-688.49246526666661</v>
      </c>
      <c r="H18" s="7">
        <f t="shared" si="4"/>
        <v>-8261.9095831999985</v>
      </c>
      <c r="I18" s="7"/>
    </row>
    <row r="19" spans="2:15" x14ac:dyDescent="0.3">
      <c r="B19" s="9">
        <f>ABS(F19/$F$3)</f>
        <v>4.0456611805555556E-2</v>
      </c>
      <c r="C19" s="9">
        <v>4.165E-2</v>
      </c>
      <c r="D19" s="9">
        <f>IF(K17&gt;625370, ((K17-625369)*0.123+60789.92)/K17, IF(K17&gt;375222, ((K17-375221)*0.113+32523.2)/K17, IF(K17&gt;312687, ((K17-312686)*0.103+26082.09)/K17, IF(K17&gt;61215, ((K17-61214)*0.093+2695.19)/K17, IF(K17&gt;48436, ((K17-48435)*0.08+1672.87)/K17, IF(K17&gt;34893, ((K17-34892)*0.06+860.29)/K17, IF(K17&gt;22108, ((K17-22107)*0.04+348.89)/K17, IF(K17&gt;9326, ((K17-9325)*0.02+98.25)/K17, IF(K17&gt;0, ((K17-0)*0.01+0)/K17, )))))))))</f>
        <v>0</v>
      </c>
      <c r="E19" s="6" t="s">
        <v>91</v>
      </c>
      <c r="F19" s="7">
        <f>F16*$C$19*(-1)</f>
        <v>-116.51504199999999</v>
      </c>
      <c r="G19" s="7">
        <f t="shared" ref="G19:H19" si="5">G16*$C$19*(-1)</f>
        <v>-252.44925766666663</v>
      </c>
      <c r="H19" s="7">
        <f t="shared" si="5"/>
        <v>-3029.3910919999998</v>
      </c>
      <c r="I19" s="7"/>
      <c r="K19" s="1"/>
      <c r="M19" s="5"/>
    </row>
    <row r="20" spans="2:15" x14ac:dyDescent="0.3">
      <c r="B20" s="9">
        <f>ABS(F20/$F$3)</f>
        <v>6.1463527777777777E-2</v>
      </c>
      <c r="C20" s="9">
        <v>6.2E-2</v>
      </c>
      <c r="D20" s="9">
        <v>6.2E-2</v>
      </c>
      <c r="E20" s="6" t="s">
        <v>92</v>
      </c>
      <c r="F20" s="7">
        <f>F15*$D$20*(-1)</f>
        <v>-177.01496</v>
      </c>
      <c r="G20" s="7">
        <f t="shared" ref="G20:H20" si="6">G15*$D$20*(-1)</f>
        <v>-383.5324133333333</v>
      </c>
      <c r="H20" s="7">
        <f t="shared" si="6"/>
        <v>-4602.3889600000002</v>
      </c>
      <c r="I20" s="7"/>
    </row>
    <row r="21" spans="2:15" x14ac:dyDescent="0.3">
      <c r="B21" s="9">
        <f>ABS(F21/$F$3)</f>
        <v>1.4374534722222223E-2</v>
      </c>
      <c r="C21" s="9">
        <v>1.4500000000000001E-2</v>
      </c>
      <c r="D21" s="9">
        <v>1.4500000000000001E-2</v>
      </c>
      <c r="E21" s="6" t="s">
        <v>93</v>
      </c>
      <c r="F21" s="7">
        <f>F15*$D$21*(-1)</f>
        <v>-41.39866</v>
      </c>
      <c r="G21" s="7">
        <f t="shared" ref="G21:H21" si="7">G15*$D$21*(-1)</f>
        <v>-89.697096666666667</v>
      </c>
      <c r="H21" s="7">
        <f t="shared" si="7"/>
        <v>-1076.3651600000001</v>
      </c>
      <c r="I21" s="7"/>
    </row>
    <row r="22" spans="2:15" x14ac:dyDescent="0.3">
      <c r="B22" s="9"/>
      <c r="C22" s="9"/>
    </row>
    <row r="23" spans="2:15" x14ac:dyDescent="0.3">
      <c r="B23" s="9">
        <f>ABS((F3-F23)/$F$3)</f>
        <v>0.2709320886111109</v>
      </c>
      <c r="C23" s="9">
        <f>ABS((F3-F23)/$F$3)</f>
        <v>0.2709320886111109</v>
      </c>
      <c r="E23" s="6" t="s">
        <v>94</v>
      </c>
      <c r="F23" s="7">
        <f>F3+F6+F7+F8+F9+F10+F18+F19+F20+F21+F11</f>
        <v>2099.7155848000007</v>
      </c>
      <c r="G23" s="7">
        <f>G3+G6+G7+G8+G9+G10+G18+G19+G20+G21+G11</f>
        <v>4549.3837670666662</v>
      </c>
      <c r="H23" s="7">
        <f t="shared" ref="H23" si="8">H3+H6+H7+H8+H9+H10+H18+H19+H20+H21+H11</f>
        <v>54592.605204799998</v>
      </c>
      <c r="I23" s="7"/>
      <c r="J23" s="7"/>
      <c r="K23" s="33" t="s">
        <v>266</v>
      </c>
      <c r="L23" s="33"/>
      <c r="M23" s="33" t="s">
        <v>69</v>
      </c>
      <c r="N23" s="33"/>
    </row>
    <row r="24" spans="2:15" x14ac:dyDescent="0.3">
      <c r="J24" s="17" t="s">
        <v>63</v>
      </c>
      <c r="K24" s="30">
        <f>-F25</f>
        <v>383.07692307692309</v>
      </c>
      <c r="L24" s="30"/>
      <c r="M24" s="34">
        <f t="shared" ref="M24:M29" si="9">K24*26</f>
        <v>9960</v>
      </c>
      <c r="N24" s="34"/>
    </row>
    <row r="25" spans="2:15" x14ac:dyDescent="0.3">
      <c r="E25" s="6" t="s">
        <v>63</v>
      </c>
      <c r="F25" s="7">
        <f>H25/26</f>
        <v>-383.07692307692309</v>
      </c>
      <c r="G25" s="7">
        <v>-830</v>
      </c>
      <c r="H25" s="5">
        <f>G25*12</f>
        <v>-9960</v>
      </c>
      <c r="I25" s="5"/>
      <c r="J25" s="17" t="s">
        <v>262</v>
      </c>
      <c r="K25" s="13">
        <f>-(F28+F29)</f>
        <v>67.530769230769224</v>
      </c>
      <c r="L25" s="34">
        <f>SUM(K25:K27)</f>
        <v>173.06923076923078</v>
      </c>
      <c r="M25" s="15">
        <f t="shared" si="9"/>
        <v>1755.7999999999997</v>
      </c>
      <c r="N25" s="34">
        <f>SUM(M25:M27)</f>
        <v>4499.7999999999993</v>
      </c>
    </row>
    <row r="26" spans="2:15" x14ac:dyDescent="0.3">
      <c r="E26" s="6" t="s">
        <v>95</v>
      </c>
      <c r="F26" s="7">
        <f t="shared" ref="F26:F38" si="10">H26/26</f>
        <v>0</v>
      </c>
      <c r="G26" s="7">
        <v>0</v>
      </c>
      <c r="H26" s="5">
        <f t="shared" ref="H26:H38" si="11">G26*12</f>
        <v>0</v>
      </c>
      <c r="I26" s="5"/>
      <c r="J26" s="17" t="s">
        <v>263</v>
      </c>
      <c r="K26" s="13">
        <v>100</v>
      </c>
      <c r="L26" s="34"/>
      <c r="M26" s="15">
        <f t="shared" si="9"/>
        <v>2600</v>
      </c>
      <c r="N26" s="35"/>
    </row>
    <row r="27" spans="2:15" x14ac:dyDescent="0.3">
      <c r="E27" s="6" t="s">
        <v>61</v>
      </c>
      <c r="F27" s="20">
        <f t="shared" si="10"/>
        <v>-115.38461538461539</v>
      </c>
      <c r="G27" s="7">
        <v>-250</v>
      </c>
      <c r="H27" s="5">
        <f t="shared" si="11"/>
        <v>-3000</v>
      </c>
      <c r="I27" s="5"/>
      <c r="J27" s="18" t="s">
        <v>264</v>
      </c>
      <c r="K27" s="12">
        <f>-F35</f>
        <v>5.5384615384615383</v>
      </c>
      <c r="L27" s="34"/>
      <c r="M27" s="15">
        <f t="shared" si="9"/>
        <v>144</v>
      </c>
      <c r="N27" s="35"/>
    </row>
    <row r="28" spans="2:15" x14ac:dyDescent="0.3">
      <c r="E28" s="6" t="s">
        <v>96</v>
      </c>
      <c r="F28" s="7">
        <f>H28/26</f>
        <v>-21.376923076923074</v>
      </c>
      <c r="G28" s="7">
        <f>(-277.9)/6</f>
        <v>-46.316666666666663</v>
      </c>
      <c r="H28" s="5">
        <f t="shared" si="11"/>
        <v>-555.79999999999995</v>
      </c>
      <c r="I28" s="5"/>
      <c r="J28" s="17" t="s">
        <v>260</v>
      </c>
      <c r="K28" s="30">
        <f>-(F27+F30+F31+F32+F33+F36+F38)</f>
        <v>392.8938461538462</v>
      </c>
      <c r="L28" s="30"/>
      <c r="M28" s="30">
        <f t="shared" si="9"/>
        <v>10215.240000000002</v>
      </c>
      <c r="N28" s="30"/>
    </row>
    <row r="29" spans="2:15" x14ac:dyDescent="0.3">
      <c r="E29" s="6" t="s">
        <v>97</v>
      </c>
      <c r="F29" s="7">
        <f t="shared" si="10"/>
        <v>-46.153846153846153</v>
      </c>
      <c r="G29" s="7">
        <v>-100</v>
      </c>
      <c r="H29" s="5">
        <f t="shared" si="11"/>
        <v>-1200</v>
      </c>
      <c r="I29" s="5"/>
      <c r="J29" s="17" t="s">
        <v>261</v>
      </c>
      <c r="K29" s="30">
        <f>F23-K24-L25-K28</f>
        <v>1150.6755848000005</v>
      </c>
      <c r="L29" s="30"/>
      <c r="M29" s="30">
        <f t="shared" si="9"/>
        <v>29917.565204800012</v>
      </c>
      <c r="N29" s="30"/>
    </row>
    <row r="30" spans="2:15" x14ac:dyDescent="0.3">
      <c r="E30" s="6" t="s">
        <v>65</v>
      </c>
      <c r="F30" s="7">
        <f t="shared" si="10"/>
        <v>-43.306153846153848</v>
      </c>
      <c r="G30" s="7">
        <v>-93.83</v>
      </c>
      <c r="H30" s="5">
        <f t="shared" si="11"/>
        <v>-1125.96</v>
      </c>
      <c r="I30" s="5"/>
    </row>
    <row r="31" spans="2:15" x14ac:dyDescent="0.3">
      <c r="E31" s="6" t="s">
        <v>98</v>
      </c>
      <c r="F31" s="20">
        <f t="shared" si="10"/>
        <v>-19.615384615384617</v>
      </c>
      <c r="G31" s="7">
        <v>-42.5</v>
      </c>
      <c r="H31" s="5">
        <f t="shared" si="11"/>
        <v>-510</v>
      </c>
      <c r="I31" s="5"/>
      <c r="J31" s="16" t="s">
        <v>89</v>
      </c>
      <c r="K31" s="30">
        <f>K24+L25+K28+K29</f>
        <v>2099.7155848000007</v>
      </c>
      <c r="L31" s="30"/>
      <c r="M31" s="30">
        <f>M24+N25+M28+M29</f>
        <v>54592.605204800013</v>
      </c>
      <c r="N31" s="30"/>
    </row>
    <row r="32" spans="2:15" x14ac:dyDescent="0.3">
      <c r="E32" s="6" t="s">
        <v>253</v>
      </c>
      <c r="F32" s="7">
        <f>H32/26</f>
        <v>-12.456923076923077</v>
      </c>
      <c r="G32" s="7">
        <v>-26.99</v>
      </c>
      <c r="H32" s="5">
        <f t="shared" si="11"/>
        <v>-323.88</v>
      </c>
      <c r="I32" s="5"/>
    </row>
    <row r="33" spans="4:14" x14ac:dyDescent="0.3">
      <c r="E33" s="6" t="s">
        <v>254</v>
      </c>
      <c r="F33" s="7">
        <v>0</v>
      </c>
      <c r="G33" s="7">
        <f>H33/12</f>
        <v>0</v>
      </c>
      <c r="H33" s="5">
        <f>F33*26</f>
        <v>0</v>
      </c>
      <c r="I33" s="5"/>
      <c r="J33" s="7"/>
      <c r="K33" s="33" t="s">
        <v>266</v>
      </c>
      <c r="L33" s="33"/>
      <c r="M33" s="33" t="s">
        <v>69</v>
      </c>
      <c r="N33" s="33"/>
    </row>
    <row r="34" spans="4:14" x14ac:dyDescent="0.3">
      <c r="E34" s="6" t="s">
        <v>257</v>
      </c>
      <c r="F34" s="7">
        <f>H34/26</f>
        <v>0</v>
      </c>
      <c r="G34" s="7">
        <v>0</v>
      </c>
      <c r="H34" s="5">
        <f t="shared" si="11"/>
        <v>0</v>
      </c>
      <c r="I34" s="5"/>
      <c r="J34" s="17" t="s">
        <v>63</v>
      </c>
      <c r="K34" s="30">
        <f>-F25</f>
        <v>383.07692307692309</v>
      </c>
      <c r="L34" s="30"/>
      <c r="M34" s="34">
        <f>K34*26</f>
        <v>9960</v>
      </c>
      <c r="N34" s="34"/>
    </row>
    <row r="35" spans="4:14" x14ac:dyDescent="0.3">
      <c r="E35" s="6" t="s">
        <v>255</v>
      </c>
      <c r="F35" s="7">
        <f t="shared" ref="F35:F37" si="12">H35/26</f>
        <v>-5.5384615384615383</v>
      </c>
      <c r="G35" s="7">
        <v>-12</v>
      </c>
      <c r="H35" s="5">
        <f t="shared" si="11"/>
        <v>-144</v>
      </c>
      <c r="I35" s="5"/>
      <c r="J35" s="17" t="s">
        <v>262</v>
      </c>
      <c r="K35" s="13">
        <f>-(F28+F29)</f>
        <v>67.530769230769224</v>
      </c>
      <c r="L35" s="34">
        <f>SUM(K35:K37)</f>
        <v>173.06923076923078</v>
      </c>
      <c r="M35" s="15">
        <f>K35*26</f>
        <v>1755.7999999999997</v>
      </c>
      <c r="N35" s="34">
        <f>SUM(M35:M37)</f>
        <v>4499.7999999999993</v>
      </c>
    </row>
    <row r="36" spans="4:14" x14ac:dyDescent="0.3">
      <c r="E36" s="6" t="s">
        <v>256</v>
      </c>
      <c r="F36" s="7">
        <f t="shared" si="12"/>
        <v>-17.515384615384615</v>
      </c>
      <c r="G36" s="7">
        <v>-37.950000000000003</v>
      </c>
      <c r="H36" s="5">
        <f t="shared" si="11"/>
        <v>-455.40000000000003</v>
      </c>
      <c r="I36" s="5"/>
      <c r="J36" s="17" t="s">
        <v>263</v>
      </c>
      <c r="K36" s="13">
        <v>100</v>
      </c>
      <c r="L36" s="34"/>
      <c r="M36" s="15">
        <f t="shared" ref="M36:M37" si="13">K36*26</f>
        <v>2600</v>
      </c>
      <c r="N36" s="35"/>
    </row>
    <row r="37" spans="4:14" x14ac:dyDescent="0.3">
      <c r="E37" s="6" t="s">
        <v>258</v>
      </c>
      <c r="F37" s="7">
        <f t="shared" si="12"/>
        <v>0</v>
      </c>
      <c r="G37" s="7">
        <v>0</v>
      </c>
      <c r="H37" s="5">
        <f t="shared" si="11"/>
        <v>0</v>
      </c>
      <c r="I37" s="5"/>
      <c r="J37" s="18" t="s">
        <v>264</v>
      </c>
      <c r="K37" s="12">
        <f>-F35</f>
        <v>5.5384615384615383</v>
      </c>
      <c r="L37" s="34"/>
      <c r="M37" s="15">
        <f t="shared" si="13"/>
        <v>144</v>
      </c>
      <c r="N37" s="35"/>
    </row>
    <row r="38" spans="4:14" x14ac:dyDescent="0.3">
      <c r="E38" s="6" t="s">
        <v>99</v>
      </c>
      <c r="F38" s="20">
        <f t="shared" si="10"/>
        <v>-184.61538461538461</v>
      </c>
      <c r="G38" s="7">
        <v>-400</v>
      </c>
      <c r="H38" s="5">
        <f t="shared" si="11"/>
        <v>-4800</v>
      </c>
      <c r="I38" s="5"/>
      <c r="J38" s="17" t="s">
        <v>260</v>
      </c>
      <c r="K38" s="30">
        <f>-(F27+F30+F31+F32+F33+F36+F38)</f>
        <v>392.8938461538462</v>
      </c>
      <c r="L38" s="30"/>
      <c r="M38" s="30">
        <f>K38*26</f>
        <v>10215.240000000002</v>
      </c>
      <c r="N38" s="30"/>
    </row>
    <row r="39" spans="4:14" x14ac:dyDescent="0.3">
      <c r="H39" s="5"/>
      <c r="I39" s="5"/>
      <c r="J39" s="14" t="s">
        <v>265</v>
      </c>
      <c r="K39" s="30">
        <f>(350)*12/26</f>
        <v>161.53846153846155</v>
      </c>
      <c r="L39" s="30"/>
      <c r="M39" s="30">
        <f>K39*26</f>
        <v>4200</v>
      </c>
      <c r="N39" s="30"/>
    </row>
    <row r="40" spans="4:14" x14ac:dyDescent="0.3">
      <c r="E40" s="6" t="s">
        <v>100</v>
      </c>
      <c r="F40" s="7">
        <f>SUM(F23:F38)</f>
        <v>1250.6755848000009</v>
      </c>
      <c r="G40" s="7">
        <f>SUM(G23:G38)</f>
        <v>2709.7971004000001</v>
      </c>
      <c r="H40" s="7">
        <f>SUM(H23:H38)</f>
        <v>32517.565204799997</v>
      </c>
      <c r="I40" s="7"/>
      <c r="J40" s="17" t="s">
        <v>261</v>
      </c>
      <c r="K40" s="31">
        <f>F23-K34-L35-K38-K39</f>
        <v>989.13712326153893</v>
      </c>
      <c r="L40" s="32"/>
      <c r="M40" s="30">
        <f>K40*26</f>
        <v>25717.565204800012</v>
      </c>
      <c r="N40" s="30"/>
    </row>
    <row r="41" spans="4:14" x14ac:dyDescent="0.3">
      <c r="E41" s="6" t="s">
        <v>101</v>
      </c>
      <c r="F41" s="7">
        <f>H41/26</f>
        <v>144</v>
      </c>
      <c r="G41" s="7">
        <f>H41/12</f>
        <v>312</v>
      </c>
      <c r="H41" s="7">
        <f>H3*5/100</f>
        <v>3744</v>
      </c>
      <c r="I41" s="7"/>
    </row>
    <row r="42" spans="4:14" x14ac:dyDescent="0.3">
      <c r="E42" s="6" t="s">
        <v>102</v>
      </c>
      <c r="F42" s="7">
        <f t="shared" ref="F42" si="14">F40+F41</f>
        <v>1394.6755848000009</v>
      </c>
      <c r="G42" s="7">
        <f>G40+G41</f>
        <v>3021.7971004000001</v>
      </c>
      <c r="H42" s="7">
        <f>H40+H41</f>
        <v>36261.565204799997</v>
      </c>
      <c r="I42" s="7"/>
      <c r="J42" s="16" t="s">
        <v>89</v>
      </c>
      <c r="K42" s="31">
        <f>K34+L35+K38+K39+K40</f>
        <v>2099.7155848000007</v>
      </c>
      <c r="L42" s="32"/>
      <c r="M42" s="30">
        <f>M34+N35+M38+M39+M40</f>
        <v>54592.605204800013</v>
      </c>
      <c r="N42" s="30"/>
    </row>
    <row r="43" spans="4:14" x14ac:dyDescent="0.3">
      <c r="E43" s="6" t="s">
        <v>89</v>
      </c>
      <c r="F43" s="7">
        <f>F42-F6</f>
        <v>1452.2755848000008</v>
      </c>
      <c r="G43" s="7">
        <f t="shared" ref="G43" si="15">G42-G6</f>
        <v>3146.5971004000003</v>
      </c>
      <c r="H43" s="7">
        <f>H42-H6</f>
        <v>37759.165204799996</v>
      </c>
      <c r="I43" s="5"/>
    </row>
    <row r="44" spans="4:14" x14ac:dyDescent="0.3">
      <c r="D44" s="10"/>
      <c r="H44" s="7"/>
      <c r="I44" s="7"/>
      <c r="J44" s="3"/>
      <c r="K44" s="5"/>
      <c r="L44" s="1"/>
    </row>
    <row r="46" spans="4:14" x14ac:dyDescent="0.3">
      <c r="H46" s="5"/>
      <c r="I46" s="5"/>
    </row>
    <row r="47" spans="4:14" x14ac:dyDescent="0.3">
      <c r="H47" s="5"/>
    </row>
    <row r="48" spans="4:14" x14ac:dyDescent="0.3">
      <c r="H48" s="5"/>
    </row>
    <row r="49" spans="8:8" x14ac:dyDescent="0.3">
      <c r="H49" s="5"/>
    </row>
  </sheetData>
  <mergeCells count="31">
    <mergeCell ref="M31:N31"/>
    <mergeCell ref="M29:N29"/>
    <mergeCell ref="M28:N28"/>
    <mergeCell ref="M34:N34"/>
    <mergeCell ref="N35:N37"/>
    <mergeCell ref="M38:N38"/>
    <mergeCell ref="M39:N39"/>
    <mergeCell ref="M40:N40"/>
    <mergeCell ref="M42:N42"/>
    <mergeCell ref="K23:L23"/>
    <mergeCell ref="K33:L33"/>
    <mergeCell ref="K34:L34"/>
    <mergeCell ref="L35:L37"/>
    <mergeCell ref="M33:N33"/>
    <mergeCell ref="M23:N23"/>
    <mergeCell ref="M24:N24"/>
    <mergeCell ref="N25:N27"/>
    <mergeCell ref="L25:L27"/>
    <mergeCell ref="K24:L24"/>
    <mergeCell ref="K28:L28"/>
    <mergeCell ref="K29:L29"/>
    <mergeCell ref="K31:L31"/>
    <mergeCell ref="K39:L39"/>
    <mergeCell ref="K38:L38"/>
    <mergeCell ref="K40:L40"/>
    <mergeCell ref="K42:L42"/>
    <mergeCell ref="K2:L2"/>
    <mergeCell ref="K3:L3"/>
    <mergeCell ref="K5:L5"/>
    <mergeCell ref="K6:L6"/>
    <mergeCell ref="K7:L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6BC3-51B2-4DE0-AF8F-3B0CDF27E21D}">
  <dimension ref="B1:P49"/>
  <sheetViews>
    <sheetView showGridLines="0" tabSelected="1" topLeftCell="B19" zoomScaleNormal="100" workbookViewId="0">
      <selection activeCell="K30" sqref="K30"/>
    </sheetView>
  </sheetViews>
  <sheetFormatPr defaultRowHeight="14.4" x14ac:dyDescent="0.3"/>
  <cols>
    <col min="1" max="1" width="5" customWidth="1"/>
    <col min="2" max="3" width="8.44140625" customWidth="1"/>
    <col min="4" max="4" width="8.44140625" style="3" customWidth="1"/>
    <col min="5" max="5" width="3.44140625" style="3" customWidth="1"/>
    <col min="6" max="6" width="34.77734375" style="6" bestFit="1" customWidth="1"/>
    <col min="7" max="8" width="12.5546875" style="7" customWidth="1"/>
    <col min="9" max="9" width="13.44140625" style="3" bestFit="1" customWidth="1"/>
    <col min="10" max="10" width="9.6640625" style="3" customWidth="1"/>
    <col min="11" max="11" width="38.6640625" style="6" customWidth="1"/>
    <col min="12" max="12" width="9.6640625" customWidth="1"/>
    <col min="13" max="13" width="12.5546875" customWidth="1"/>
    <col min="14" max="14" width="12" style="3" bestFit="1" customWidth="1"/>
    <col min="15" max="15" width="11.109375" bestFit="1" customWidth="1"/>
  </cols>
  <sheetData>
    <row r="1" spans="6:16" x14ac:dyDescent="0.3">
      <c r="G1" s="6"/>
      <c r="H1" s="6"/>
    </row>
    <row r="2" spans="6:16" x14ac:dyDescent="0.3">
      <c r="G2" s="3" t="s">
        <v>67</v>
      </c>
      <c r="H2" s="3" t="s">
        <v>68</v>
      </c>
      <c r="I2" s="3" t="s">
        <v>69</v>
      </c>
      <c r="K2" s="6" t="s">
        <v>66</v>
      </c>
      <c r="L2" s="29">
        <v>70000</v>
      </c>
      <c r="M2" s="29"/>
      <c r="P2" s="7"/>
    </row>
    <row r="3" spans="6:16" x14ac:dyDescent="0.3">
      <c r="F3" s="6" t="s">
        <v>70</v>
      </c>
      <c r="G3" s="7">
        <f>ROUNDUP(I3/26, 2)</f>
        <v>3016.8</v>
      </c>
      <c r="H3" s="7">
        <f>I3/12</f>
        <v>6536.4000000000005</v>
      </c>
      <c r="I3" s="21">
        <f>74880*1.0475</f>
        <v>78436.800000000003</v>
      </c>
      <c r="J3" s="21"/>
      <c r="K3" s="6" t="s">
        <v>71</v>
      </c>
      <c r="L3" s="29">
        <f>90000/65804*L2</f>
        <v>95738.860859522218</v>
      </c>
      <c r="M3" s="29"/>
      <c r="P3" s="7"/>
    </row>
    <row r="4" spans="6:16" x14ac:dyDescent="0.3">
      <c r="F4" s="6" t="s">
        <v>72</v>
      </c>
      <c r="G4" s="7">
        <v>0.8</v>
      </c>
      <c r="H4" s="7">
        <f>I4/12</f>
        <v>1.7333333333333334</v>
      </c>
      <c r="I4" s="21">
        <f>G4*26</f>
        <v>20.8</v>
      </c>
      <c r="J4" s="21"/>
      <c r="L4" s="7"/>
      <c r="N4" s="21"/>
      <c r="O4" s="7"/>
      <c r="P4" s="7"/>
    </row>
    <row r="5" spans="6:16" x14ac:dyDescent="0.3">
      <c r="K5" s="6" t="s">
        <v>73</v>
      </c>
      <c r="L5" s="29">
        <f>85000/145913*L6</f>
        <v>106743.61145691197</v>
      </c>
      <c r="M5" s="29"/>
      <c r="N5" s="21"/>
      <c r="O5" s="7"/>
      <c r="P5" s="7"/>
    </row>
    <row r="6" spans="6:16" x14ac:dyDescent="0.3">
      <c r="F6" s="6" t="s">
        <v>74</v>
      </c>
      <c r="G6" s="7">
        <v>-60.34</v>
      </c>
      <c r="H6" s="7">
        <f>I6/12</f>
        <v>-130.73666666666668</v>
      </c>
      <c r="I6" s="21">
        <f>G6*26</f>
        <v>-1568.8400000000001</v>
      </c>
      <c r="J6" s="21"/>
      <c r="K6" s="6" t="s">
        <v>75</v>
      </c>
      <c r="L6" s="29">
        <f>316741/121000*L2</f>
        <v>183238.59504132232</v>
      </c>
      <c r="M6" s="29"/>
      <c r="N6" s="21"/>
      <c r="O6" s="7"/>
      <c r="P6" s="7"/>
    </row>
    <row r="7" spans="6:16" x14ac:dyDescent="0.3">
      <c r="F7" s="6" t="s">
        <v>76</v>
      </c>
      <c r="G7" s="7">
        <v>-19.23</v>
      </c>
      <c r="H7" s="7">
        <f t="shared" ref="H7:H10" si="0">I7/12</f>
        <v>-41.664999999999999</v>
      </c>
      <c r="I7" s="21">
        <f t="shared" ref="I7:I10" si="1">G7*26</f>
        <v>-499.98</v>
      </c>
      <c r="J7" s="21"/>
      <c r="K7" s="6" t="s">
        <v>77</v>
      </c>
      <c r="L7" s="29">
        <f>L2/42736*114000</f>
        <v>186727.81729689255</v>
      </c>
      <c r="M7" s="29"/>
    </row>
    <row r="8" spans="6:16" x14ac:dyDescent="0.3">
      <c r="F8" s="6" t="s">
        <v>78</v>
      </c>
      <c r="G8" s="7">
        <v>0</v>
      </c>
      <c r="H8" s="7">
        <f t="shared" si="0"/>
        <v>0</v>
      </c>
      <c r="I8" s="21">
        <f t="shared" si="1"/>
        <v>0</v>
      </c>
      <c r="J8" s="21"/>
      <c r="M8" s="7"/>
    </row>
    <row r="9" spans="6:16" x14ac:dyDescent="0.3">
      <c r="F9" s="6" t="s">
        <v>79</v>
      </c>
      <c r="G9" s="7">
        <v>-6.38</v>
      </c>
      <c r="H9" s="7">
        <f t="shared" si="0"/>
        <v>-13.823333333333332</v>
      </c>
      <c r="I9" s="21">
        <f t="shared" si="1"/>
        <v>-165.88</v>
      </c>
      <c r="J9" s="21"/>
      <c r="M9" s="7"/>
    </row>
    <row r="10" spans="6:16" x14ac:dyDescent="0.3">
      <c r="F10" s="6" t="s">
        <v>80</v>
      </c>
      <c r="G10" s="7">
        <v>-4.6399999999999997</v>
      </c>
      <c r="H10" s="7">
        <f t="shared" si="0"/>
        <v>-10.053333333333333</v>
      </c>
      <c r="I10" s="21">
        <f t="shared" si="1"/>
        <v>-120.63999999999999</v>
      </c>
      <c r="J10" s="21"/>
      <c r="M10" s="7"/>
    </row>
    <row r="11" spans="6:16" x14ac:dyDescent="0.3">
      <c r="F11" s="6" t="s">
        <v>259</v>
      </c>
      <c r="G11" s="7">
        <v>-41.54</v>
      </c>
      <c r="H11" s="7">
        <f>I11/12</f>
        <v>-90.00333333333333</v>
      </c>
      <c r="I11" s="21">
        <f>G11*26</f>
        <v>-1080.04</v>
      </c>
      <c r="J11" s="21"/>
      <c r="M11" s="7"/>
    </row>
    <row r="12" spans="6:16" x14ac:dyDescent="0.3">
      <c r="I12" s="21"/>
      <c r="J12" s="21"/>
      <c r="K12" s="7"/>
      <c r="L12" s="3"/>
      <c r="M12" s="3"/>
      <c r="O12" s="3"/>
      <c r="P12" s="3"/>
    </row>
    <row r="13" spans="6:16" x14ac:dyDescent="0.3">
      <c r="F13" s="6" t="s">
        <v>83</v>
      </c>
      <c r="G13" s="7">
        <f>I13/26</f>
        <v>0</v>
      </c>
      <c r="H13" s="7">
        <f>I13/12</f>
        <v>0</v>
      </c>
      <c r="I13" s="7"/>
      <c r="J13" s="21"/>
      <c r="L13" s="8"/>
      <c r="M13" s="8"/>
      <c r="O13" s="1"/>
      <c r="P13" s="1"/>
    </row>
    <row r="14" spans="6:16" x14ac:dyDescent="0.3">
      <c r="I14" s="21"/>
      <c r="J14" s="21"/>
      <c r="L14" s="8"/>
      <c r="M14" s="1"/>
      <c r="O14" s="1"/>
      <c r="P14" s="1"/>
    </row>
    <row r="15" spans="6:16" x14ac:dyDescent="0.3">
      <c r="F15" s="6" t="s">
        <v>86</v>
      </c>
      <c r="G15" s="7">
        <f>G3+G4+G7+G8+G9</f>
        <v>2991.9900000000002</v>
      </c>
      <c r="H15" s="7">
        <f t="shared" ref="H15:I15" si="2">H3+H4+H7+H8+H9</f>
        <v>6482.6450000000004</v>
      </c>
      <c r="I15" s="7">
        <f t="shared" si="2"/>
        <v>77791.740000000005</v>
      </c>
      <c r="J15" s="21"/>
      <c r="L15" s="7"/>
      <c r="O15" s="1"/>
      <c r="P15" s="1"/>
    </row>
    <row r="16" spans="6:16" x14ac:dyDescent="0.3">
      <c r="F16" s="6" t="s">
        <v>87</v>
      </c>
      <c r="G16" s="7">
        <f>G15+G6-G13</f>
        <v>2931.65</v>
      </c>
      <c r="H16" s="7">
        <f t="shared" ref="H16:I16" si="3">H15+H6-H13</f>
        <v>6351.9083333333338</v>
      </c>
      <c r="I16" s="7">
        <f t="shared" si="3"/>
        <v>76222.900000000009</v>
      </c>
      <c r="J16" s="21"/>
      <c r="L16" s="1"/>
    </row>
    <row r="17" spans="2:16" x14ac:dyDescent="0.3">
      <c r="L17" s="7"/>
      <c r="O17" s="1"/>
      <c r="P17" s="1"/>
    </row>
    <row r="18" spans="2:16" x14ac:dyDescent="0.3">
      <c r="B18" s="9">
        <f>ABS(G18/$G$3)</f>
        <v>0.10977167329620791</v>
      </c>
      <c r="C18" s="9">
        <v>0.11296</v>
      </c>
      <c r="D18" s="9">
        <f>IF(L17&gt;523601, ((L17-523600)*0.37+157804.25)/L17, IF(L17&gt;209426, ((L17-209425)*0.35+47843)/L17, IF(L17&gt;164926, ((L17-164925)*0.32+33603)/L17, IF(L17&gt;86376, ((L17-86375)*0.24+14751)/L17, IF(L17&gt;40526, ((L17-40525)*0.22+4664)/L17, IF(L17&gt;9951, ((L17-9950)*0.12+995)/L17, IF(L17&gt;0, ((L17-0)*0.1+0)/L17, 0)))))))</f>
        <v>0</v>
      </c>
      <c r="E18" s="9"/>
      <c r="F18" s="6" t="s">
        <v>90</v>
      </c>
      <c r="G18" s="7">
        <f>G16*$C$18*(-1)</f>
        <v>-331.15918400000004</v>
      </c>
      <c r="H18" s="7">
        <f t="shared" ref="H18:I18" si="4">H16*$C$18*(-1)</f>
        <v>-717.51156533333346</v>
      </c>
      <c r="I18" s="7">
        <f t="shared" si="4"/>
        <v>-8610.1387840000007</v>
      </c>
      <c r="J18" s="7"/>
      <c r="K18" s="7"/>
    </row>
    <row r="19" spans="2:16" x14ac:dyDescent="0.3">
      <c r="B19" s="9">
        <f>ABS(G19/$G$3)</f>
        <v>4.1438903846791296E-2</v>
      </c>
      <c r="C19" s="9">
        <v>4.26425E-2</v>
      </c>
      <c r="D19" s="9">
        <f>IF(L17&gt;625370, ((L17-625369)*0.123+60789.92)/L17, IF(L17&gt;375222, ((L17-375221)*0.113+32523.2)/L17, IF(L17&gt;312687, ((L17-312686)*0.103+26082.09)/L17, IF(L17&gt;61215, ((L17-61214)*0.093+2695.19)/L17, IF(L17&gt;48436, ((L17-48435)*0.08+1672.87)/L17, IF(L17&gt;34893, ((L17-34892)*0.06+860.29)/L17, IF(L17&gt;22108, ((L17-22107)*0.04+348.89)/L17, IF(L17&gt;9326, ((L17-9325)*0.02+98.25)/L17, IF(L17&gt;0, ((L17-0)*0.01+0)/L17, )))))))))</f>
        <v>0</v>
      </c>
      <c r="E19" s="9"/>
      <c r="F19" s="6" t="s">
        <v>91</v>
      </c>
      <c r="G19" s="7">
        <f>G16*$C$19*(-1)</f>
        <v>-125.012885125</v>
      </c>
      <c r="H19" s="7">
        <f t="shared" ref="H19:I19" si="5">H16*$C$19*(-1)</f>
        <v>-270.86125110416668</v>
      </c>
      <c r="I19" s="7">
        <f t="shared" si="5"/>
        <v>-3250.3350132500004</v>
      </c>
      <c r="J19" s="7"/>
      <c r="K19" s="7"/>
      <c r="L19" s="1"/>
      <c r="N19" s="21"/>
    </row>
    <row r="20" spans="2:16" x14ac:dyDescent="0.3">
      <c r="B20" s="9">
        <f>ABS(G20/$G$3)</f>
        <v>6.1490115354017508E-2</v>
      </c>
      <c r="C20" s="9">
        <v>6.2E-2</v>
      </c>
      <c r="D20" s="9">
        <v>6.2E-2</v>
      </c>
      <c r="E20" s="9"/>
      <c r="F20" s="6" t="s">
        <v>92</v>
      </c>
      <c r="G20" s="7">
        <f>G15*$D$20*(-1)</f>
        <v>-185.50338000000002</v>
      </c>
      <c r="H20" s="7">
        <f t="shared" ref="H20:I20" si="6">H15*$D$20*(-1)</f>
        <v>-401.92399</v>
      </c>
      <c r="I20" s="7">
        <f t="shared" si="6"/>
        <v>-4823.08788</v>
      </c>
      <c r="J20" s="7"/>
      <c r="K20" s="7"/>
    </row>
    <row r="21" spans="2:16" x14ac:dyDescent="0.3">
      <c r="B21" s="9">
        <f>ABS(G21/$G$3)</f>
        <v>1.4380752784407319E-2</v>
      </c>
      <c r="C21" s="9">
        <v>1.4500000000000001E-2</v>
      </c>
      <c r="D21" s="9">
        <v>1.4500000000000001E-2</v>
      </c>
      <c r="E21" s="9"/>
      <c r="F21" s="6" t="s">
        <v>93</v>
      </c>
      <c r="G21" s="7">
        <f>G15*$D$21*(-1)</f>
        <v>-43.383855000000004</v>
      </c>
      <c r="H21" s="7">
        <f t="shared" ref="H21:I21" si="7">H15*$D$21*(-1)</f>
        <v>-93.99835250000001</v>
      </c>
      <c r="I21" s="7">
        <f t="shared" si="7"/>
        <v>-1127.9802300000001</v>
      </c>
      <c r="J21" s="7"/>
      <c r="K21" s="7"/>
    </row>
    <row r="22" spans="2:16" x14ac:dyDescent="0.3">
      <c r="B22" s="9"/>
      <c r="C22" s="9"/>
    </row>
    <row r="23" spans="2:16" x14ac:dyDescent="0.3">
      <c r="B23" s="9">
        <f>ABS((G3-G23)/$G$3)</f>
        <v>0.27087950945538336</v>
      </c>
      <c r="C23" s="9">
        <f>ABS((G3-G23)/$G$3)</f>
        <v>0.27087950945538336</v>
      </c>
      <c r="F23" s="6" t="s">
        <v>94</v>
      </c>
      <c r="G23" s="7">
        <f>G3+G6+G7+G8+G9+G10+G18+G19+G20+G21+G11</f>
        <v>2199.6106958749997</v>
      </c>
      <c r="H23" s="7">
        <f>H3+H6+H7+H8+H9+H10+H18+H19+H20+H21+H11</f>
        <v>4765.823174395834</v>
      </c>
      <c r="I23" s="7">
        <f t="shared" ref="I23" si="8">I3+I6+I7+I8+I9+I10+I18+I19+I20+I21+I11</f>
        <v>57189.878092750012</v>
      </c>
      <c r="J23" s="7"/>
      <c r="K23" s="7"/>
      <c r="L23" s="33" t="s">
        <v>266</v>
      </c>
      <c r="M23" s="33"/>
      <c r="N23" s="33" t="s">
        <v>69</v>
      </c>
      <c r="O23" s="33"/>
    </row>
    <row r="24" spans="2:16" x14ac:dyDescent="0.3">
      <c r="K24" s="17" t="s">
        <v>286</v>
      </c>
      <c r="L24" s="30">
        <f>-G25</f>
        <v>383.07692307692309</v>
      </c>
      <c r="M24" s="30"/>
      <c r="N24" s="34">
        <f t="shared" ref="N24" si="9">L24*26</f>
        <v>9960</v>
      </c>
      <c r="O24" s="34"/>
    </row>
    <row r="25" spans="2:16" x14ac:dyDescent="0.3">
      <c r="F25" s="6" t="s">
        <v>63</v>
      </c>
      <c r="G25" s="7">
        <f>I25/26</f>
        <v>-383.07692307692309</v>
      </c>
      <c r="H25" s="7">
        <v>-830</v>
      </c>
      <c r="I25" s="21">
        <f>H25*12</f>
        <v>-9960</v>
      </c>
      <c r="J25" s="21"/>
      <c r="K25" s="17" t="s">
        <v>287</v>
      </c>
      <c r="L25" s="30">
        <f>-(G27+G30+G31+G32+G36+G38)</f>
        <v>403.62</v>
      </c>
      <c r="M25" s="30"/>
      <c r="N25" s="30">
        <f>L25*26</f>
        <v>10494.12</v>
      </c>
      <c r="O25" s="30"/>
    </row>
    <row r="26" spans="2:16" x14ac:dyDescent="0.3">
      <c r="F26" s="6" t="s">
        <v>95</v>
      </c>
      <c r="G26" s="7">
        <f t="shared" ref="G26:G38" si="10">I26/26</f>
        <v>0</v>
      </c>
      <c r="H26" s="7">
        <v>0</v>
      </c>
      <c r="I26" s="21">
        <f t="shared" ref="I26:I38" si="11">H26*12</f>
        <v>0</v>
      </c>
      <c r="J26" s="21"/>
      <c r="K26" s="17" t="s">
        <v>288</v>
      </c>
      <c r="L26" s="13">
        <f>-(G28+G29)</f>
        <v>71.569230769230771</v>
      </c>
      <c r="M26" s="36">
        <f>SUM(L26:L28)</f>
        <v>255.06923076923078</v>
      </c>
      <c r="N26" s="15">
        <f>L26*26</f>
        <v>1860.8</v>
      </c>
      <c r="O26" s="36">
        <f>SUM(N26:N28)</f>
        <v>6631.8</v>
      </c>
    </row>
    <row r="27" spans="2:16" x14ac:dyDescent="0.3">
      <c r="F27" s="6" t="s">
        <v>61</v>
      </c>
      <c r="G27" s="7">
        <f t="shared" si="10"/>
        <v>-120</v>
      </c>
      <c r="H27" s="7">
        <v>-260</v>
      </c>
      <c r="I27" s="21">
        <f t="shared" si="11"/>
        <v>-3120</v>
      </c>
      <c r="J27" s="21"/>
      <c r="K27" s="17" t="s">
        <v>289</v>
      </c>
      <c r="L27" s="13">
        <v>175</v>
      </c>
      <c r="M27" s="37"/>
      <c r="N27" s="15">
        <f>L27*26</f>
        <v>4550</v>
      </c>
      <c r="O27" s="37"/>
    </row>
    <row r="28" spans="2:16" x14ac:dyDescent="0.3">
      <c r="F28" s="6" t="s">
        <v>96</v>
      </c>
      <c r="G28" s="7">
        <f>I28/26</f>
        <v>-25.415384615384614</v>
      </c>
      <c r="H28" s="7">
        <f>(-330.4/6)</f>
        <v>-55.066666666666663</v>
      </c>
      <c r="I28" s="21">
        <f t="shared" si="11"/>
        <v>-660.8</v>
      </c>
      <c r="J28" s="21"/>
      <c r="K28" s="18" t="s">
        <v>290</v>
      </c>
      <c r="L28" s="12">
        <f>-G35</f>
        <v>8.5</v>
      </c>
      <c r="M28" s="38"/>
      <c r="N28" s="15">
        <f>L28*26</f>
        <v>221</v>
      </c>
      <c r="O28" s="38"/>
    </row>
    <row r="29" spans="2:16" x14ac:dyDescent="0.3">
      <c r="F29" s="6" t="s">
        <v>97</v>
      </c>
      <c r="G29" s="7">
        <f t="shared" si="10"/>
        <v>-46.153846153846153</v>
      </c>
      <c r="H29" s="7">
        <v>-100</v>
      </c>
      <c r="I29" s="21">
        <f t="shared" si="11"/>
        <v>-1200</v>
      </c>
      <c r="J29" s="21"/>
      <c r="K29" s="17" t="s">
        <v>291</v>
      </c>
      <c r="L29" s="30">
        <f>G23-L24-M26-L25</f>
        <v>1157.8445420288458</v>
      </c>
      <c r="M29" s="30"/>
      <c r="N29" s="30">
        <f>L29*26</f>
        <v>30103.958092749992</v>
      </c>
      <c r="O29" s="30"/>
    </row>
    <row r="30" spans="2:16" x14ac:dyDescent="0.3">
      <c r="F30" s="6" t="s">
        <v>65</v>
      </c>
      <c r="G30" s="7">
        <f t="shared" si="10"/>
        <v>-35.552307692307693</v>
      </c>
      <c r="H30" s="7">
        <f>-23.2-53.83</f>
        <v>-77.03</v>
      </c>
      <c r="I30" s="21">
        <f t="shared" si="11"/>
        <v>-924.36</v>
      </c>
      <c r="J30" s="21"/>
    </row>
    <row r="31" spans="2:16" x14ac:dyDescent="0.3">
      <c r="F31" s="6" t="s">
        <v>98</v>
      </c>
      <c r="G31" s="7">
        <f t="shared" si="10"/>
        <v>-19.615384615384617</v>
      </c>
      <c r="H31" s="7">
        <f>-42.5</f>
        <v>-42.5</v>
      </c>
      <c r="I31" s="21">
        <f t="shared" si="11"/>
        <v>-510</v>
      </c>
      <c r="J31" s="21"/>
      <c r="K31" s="16" t="s">
        <v>89</v>
      </c>
      <c r="L31" s="30">
        <f>L24+M26+L25+L29</f>
        <v>2199.6106958749997</v>
      </c>
      <c r="M31" s="30"/>
      <c r="N31" s="30">
        <f>N24+O26+N25+N29</f>
        <v>57189.87809274999</v>
      </c>
      <c r="O31" s="30"/>
    </row>
    <row r="32" spans="2:16" x14ac:dyDescent="0.3">
      <c r="F32" s="6" t="s">
        <v>253</v>
      </c>
      <c r="G32" s="7">
        <f>I32/26</f>
        <v>-4.6107692307692307</v>
      </c>
      <c r="H32" s="7">
        <v>-9.99</v>
      </c>
      <c r="I32" s="21">
        <f t="shared" si="11"/>
        <v>-119.88</v>
      </c>
      <c r="J32" s="21"/>
    </row>
    <row r="33" spans="4:15" x14ac:dyDescent="0.3">
      <c r="F33" s="6" t="s">
        <v>285</v>
      </c>
      <c r="G33" s="7">
        <v>0</v>
      </c>
      <c r="H33" s="7">
        <f>I33/12</f>
        <v>0</v>
      </c>
      <c r="I33" s="21">
        <f>G33*26</f>
        <v>0</v>
      </c>
      <c r="J33" s="21"/>
    </row>
    <row r="34" spans="4:15" x14ac:dyDescent="0.3">
      <c r="F34" s="6" t="s">
        <v>257</v>
      </c>
      <c r="G34" s="7">
        <f>I34/26</f>
        <v>0</v>
      </c>
      <c r="H34" s="7">
        <v>0</v>
      </c>
      <c r="I34" s="21">
        <f t="shared" si="11"/>
        <v>0</v>
      </c>
      <c r="J34" s="21"/>
      <c r="K34" s="7">
        <f>L29-53.62</f>
        <v>1104.2245420288459</v>
      </c>
    </row>
    <row r="35" spans="4:15" x14ac:dyDescent="0.3">
      <c r="F35" s="6" t="s">
        <v>284</v>
      </c>
      <c r="G35" s="7">
        <f t="shared" ref="G35:G37" si="12">I35/26</f>
        <v>-8.5</v>
      </c>
      <c r="H35" s="7">
        <f>-13-16/12-49/12</f>
        <v>-18.416666666666668</v>
      </c>
      <c r="I35" s="21">
        <f t="shared" si="11"/>
        <v>-221</v>
      </c>
      <c r="J35" s="21"/>
      <c r="K35" s="23"/>
      <c r="L35" s="24"/>
      <c r="M35" s="39"/>
      <c r="N35" s="25"/>
      <c r="O35" s="39"/>
    </row>
    <row r="36" spans="4:15" x14ac:dyDescent="0.3">
      <c r="F36" s="6" t="s">
        <v>256</v>
      </c>
      <c r="G36" s="7">
        <f t="shared" si="12"/>
        <v>-16.149230769230769</v>
      </c>
      <c r="H36" s="7">
        <v>-34.99</v>
      </c>
      <c r="I36" s="21">
        <f t="shared" si="11"/>
        <v>-419.88</v>
      </c>
      <c r="J36" s="21"/>
      <c r="K36" s="23"/>
      <c r="L36" s="24"/>
      <c r="M36" s="39"/>
      <c r="N36" s="25"/>
      <c r="O36" s="40"/>
    </row>
    <row r="37" spans="4:15" x14ac:dyDescent="0.3">
      <c r="F37" s="6" t="s">
        <v>258</v>
      </c>
      <c r="G37" s="7">
        <f t="shared" si="12"/>
        <v>0</v>
      </c>
      <c r="H37" s="7">
        <v>0</v>
      </c>
      <c r="I37" s="21">
        <f t="shared" si="11"/>
        <v>0</v>
      </c>
      <c r="J37" s="21"/>
      <c r="K37" s="26"/>
      <c r="L37" s="27"/>
      <c r="M37" s="39"/>
      <c r="N37" s="25"/>
      <c r="O37" s="40"/>
    </row>
    <row r="38" spans="4:15" x14ac:dyDescent="0.3">
      <c r="F38" s="6" t="s">
        <v>99</v>
      </c>
      <c r="G38" s="7">
        <f t="shared" si="10"/>
        <v>-207.69230769230768</v>
      </c>
      <c r="H38" s="7">
        <v>-450</v>
      </c>
      <c r="I38" s="21">
        <f t="shared" si="11"/>
        <v>-5400</v>
      </c>
      <c r="J38" s="21"/>
    </row>
    <row r="39" spans="4:15" x14ac:dyDescent="0.3">
      <c r="I39" s="21"/>
      <c r="J39" s="21"/>
    </row>
    <row r="40" spans="4:15" x14ac:dyDescent="0.3">
      <c r="F40" s="6" t="s">
        <v>100</v>
      </c>
      <c r="G40" s="7">
        <f>SUM(G23:G38)</f>
        <v>1332.8445420288458</v>
      </c>
      <c r="H40" s="7">
        <f>SUM(H23:H38)</f>
        <v>2887.8298410625011</v>
      </c>
      <c r="I40" s="7">
        <f>SUM(I23:I38)</f>
        <v>34653.958092750014</v>
      </c>
      <c r="J40" s="7"/>
    </row>
    <row r="41" spans="4:15" x14ac:dyDescent="0.3">
      <c r="F41" s="6" t="s">
        <v>101</v>
      </c>
      <c r="G41" s="7">
        <f>I41/26</f>
        <v>150.84</v>
      </c>
      <c r="H41" s="7">
        <f>I41/12</f>
        <v>326.82</v>
      </c>
      <c r="I41" s="7">
        <f>I3*5/100</f>
        <v>3921.84</v>
      </c>
      <c r="J41" s="7"/>
    </row>
    <row r="42" spans="4:15" x14ac:dyDescent="0.3">
      <c r="F42" s="6" t="s">
        <v>102</v>
      </c>
      <c r="G42" s="7">
        <f t="shared" ref="G42" si="13">G40+G41</f>
        <v>1483.6845420288457</v>
      </c>
      <c r="H42" s="7">
        <f>H40+H41</f>
        <v>3214.6498410625013</v>
      </c>
      <c r="I42" s="7">
        <f>I40+I41</f>
        <v>38575.798092750018</v>
      </c>
      <c r="J42" s="7"/>
    </row>
    <row r="43" spans="4:15" x14ac:dyDescent="0.3">
      <c r="F43" s="6" t="s">
        <v>89</v>
      </c>
      <c r="G43" s="7">
        <f>G42-G6</f>
        <v>1544.0245420288456</v>
      </c>
      <c r="H43" s="7">
        <f>H42-H6</f>
        <v>3345.386507729168</v>
      </c>
      <c r="I43" s="7">
        <f>I42-I6</f>
        <v>40144.638092750014</v>
      </c>
      <c r="J43" s="21"/>
    </row>
    <row r="44" spans="4:15" x14ac:dyDescent="0.3">
      <c r="D44" s="10"/>
      <c r="E44" s="10"/>
      <c r="I44" s="7"/>
      <c r="J44" s="7"/>
    </row>
    <row r="45" spans="4:15" x14ac:dyDescent="0.3">
      <c r="I45" s="21"/>
    </row>
    <row r="46" spans="4:15" x14ac:dyDescent="0.3">
      <c r="I46" s="21"/>
      <c r="J46" s="21"/>
    </row>
    <row r="47" spans="4:15" x14ac:dyDescent="0.3">
      <c r="I47" s="21"/>
    </row>
    <row r="48" spans="4:15" x14ac:dyDescent="0.3">
      <c r="I48" s="21"/>
    </row>
    <row r="49" spans="9:9" x14ac:dyDescent="0.3">
      <c r="I49" s="21"/>
    </row>
  </sheetData>
  <mergeCells count="19">
    <mergeCell ref="L2:M2"/>
    <mergeCell ref="L3:M3"/>
    <mergeCell ref="L5:M5"/>
    <mergeCell ref="L6:M6"/>
    <mergeCell ref="L7:M7"/>
    <mergeCell ref="N23:O23"/>
    <mergeCell ref="L24:M24"/>
    <mergeCell ref="N24:O24"/>
    <mergeCell ref="L25:M25"/>
    <mergeCell ref="N25:O25"/>
    <mergeCell ref="L23:M23"/>
    <mergeCell ref="M26:M28"/>
    <mergeCell ref="O26:O28"/>
    <mergeCell ref="M35:M37"/>
    <mergeCell ref="O35:O37"/>
    <mergeCell ref="L29:M29"/>
    <mergeCell ref="N29:O29"/>
    <mergeCell ref="L31:M31"/>
    <mergeCell ref="N31:O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20C0-F1F8-45B7-99C3-56EAD0F607A1}">
  <dimension ref="B1:P49"/>
  <sheetViews>
    <sheetView showGridLines="0" topLeftCell="B16" zoomScaleNormal="100" workbookViewId="0">
      <selection activeCell="I3" sqref="I3"/>
    </sheetView>
  </sheetViews>
  <sheetFormatPr defaultRowHeight="14.4" x14ac:dyDescent="0.3"/>
  <cols>
    <col min="1" max="1" width="5" customWidth="1"/>
    <col min="2" max="3" width="8.44140625" customWidth="1"/>
    <col min="4" max="4" width="8.44140625" style="3" customWidth="1"/>
    <col min="5" max="5" width="3.44140625" style="3" customWidth="1"/>
    <col min="6" max="6" width="34.77734375" style="6" bestFit="1" customWidth="1"/>
    <col min="7" max="8" width="12.5546875" style="7" customWidth="1"/>
    <col min="9" max="9" width="13.44140625" style="3" bestFit="1" customWidth="1"/>
    <col min="10" max="10" width="9.6640625" style="3" customWidth="1"/>
    <col min="11" max="11" width="38.6640625" style="6" customWidth="1"/>
    <col min="12" max="12" width="9.6640625" customWidth="1"/>
    <col min="13" max="13" width="10.109375" bestFit="1" customWidth="1"/>
    <col min="14" max="14" width="12" style="3" bestFit="1" customWidth="1"/>
    <col min="15" max="15" width="11.109375" bestFit="1" customWidth="1"/>
  </cols>
  <sheetData>
    <row r="1" spans="6:16" x14ac:dyDescent="0.3">
      <c r="G1" s="6"/>
      <c r="H1" s="6"/>
    </row>
    <row r="2" spans="6:16" x14ac:dyDescent="0.3">
      <c r="G2" s="3" t="s">
        <v>67</v>
      </c>
      <c r="H2" s="3" t="s">
        <v>68</v>
      </c>
      <c r="I2" s="3" t="s">
        <v>69</v>
      </c>
      <c r="K2" s="6" t="s">
        <v>66</v>
      </c>
      <c r="L2" s="29">
        <v>70000</v>
      </c>
      <c r="M2" s="29"/>
      <c r="P2" s="7"/>
    </row>
    <row r="3" spans="6:16" x14ac:dyDescent="0.3">
      <c r="F3" s="6" t="s">
        <v>70</v>
      </c>
      <c r="G3" s="7">
        <f>ROUNDUP(I3/26, 2)</f>
        <v>2880</v>
      </c>
      <c r="H3" s="7">
        <f>I3/12</f>
        <v>6240</v>
      </c>
      <c r="I3" s="28">
        <f>74880*1</f>
        <v>74880</v>
      </c>
      <c r="J3" s="28"/>
      <c r="K3" s="6" t="s">
        <v>71</v>
      </c>
      <c r="L3" s="29">
        <f>90000/65804*L2</f>
        <v>95738.860859522218</v>
      </c>
      <c r="M3" s="29"/>
      <c r="P3" s="7"/>
    </row>
    <row r="4" spans="6:16" x14ac:dyDescent="0.3">
      <c r="F4" s="6" t="s">
        <v>72</v>
      </c>
      <c r="G4" s="7">
        <v>0.69</v>
      </c>
      <c r="H4" s="7">
        <f>I4/12</f>
        <v>1.4949999999999999</v>
      </c>
      <c r="I4" s="28">
        <f>G4*26</f>
        <v>17.939999999999998</v>
      </c>
      <c r="J4" s="28"/>
      <c r="L4" s="7"/>
      <c r="N4" s="28"/>
      <c r="O4" s="7"/>
      <c r="P4" s="7"/>
    </row>
    <row r="5" spans="6:16" x14ac:dyDescent="0.3">
      <c r="K5" s="6" t="s">
        <v>73</v>
      </c>
      <c r="L5" s="29">
        <f>85000/145913*L6</f>
        <v>106743.61145691197</v>
      </c>
      <c r="M5" s="29"/>
      <c r="N5" s="28"/>
      <c r="O5" s="7"/>
      <c r="P5" s="7"/>
    </row>
    <row r="6" spans="6:16" x14ac:dyDescent="0.3">
      <c r="F6" s="6" t="s">
        <v>74</v>
      </c>
      <c r="G6" s="7">
        <v>-57.6</v>
      </c>
      <c r="H6" s="7">
        <f>I6/12</f>
        <v>-124.80000000000001</v>
      </c>
      <c r="I6" s="28">
        <f>G6*26</f>
        <v>-1497.6000000000001</v>
      </c>
      <c r="J6" s="28"/>
      <c r="K6" s="6" t="s">
        <v>75</v>
      </c>
      <c r="L6" s="29">
        <f>316741/121000*L2</f>
        <v>183238.59504132232</v>
      </c>
      <c r="M6" s="29"/>
      <c r="N6" s="28"/>
      <c r="O6" s="7"/>
      <c r="P6" s="7"/>
    </row>
    <row r="7" spans="6:16" x14ac:dyDescent="0.3">
      <c r="F7" s="6" t="s">
        <v>76</v>
      </c>
      <c r="G7" s="7">
        <v>-19.23</v>
      </c>
      <c r="H7" s="7">
        <f t="shared" ref="H7:H10" si="0">I7/12</f>
        <v>-41.664999999999999</v>
      </c>
      <c r="I7" s="28">
        <f t="shared" ref="I7:I10" si="1">G7*26</f>
        <v>-499.98</v>
      </c>
      <c r="J7" s="28"/>
      <c r="K7" s="6" t="s">
        <v>77</v>
      </c>
      <c r="L7" s="29">
        <f>L2/42736*114000</f>
        <v>186727.81729689255</v>
      </c>
      <c r="M7" s="29"/>
    </row>
    <row r="8" spans="6:16" x14ac:dyDescent="0.3">
      <c r="F8" s="6" t="s">
        <v>78</v>
      </c>
      <c r="G8" s="7">
        <v>0</v>
      </c>
      <c r="H8" s="7">
        <f t="shared" si="0"/>
        <v>0</v>
      </c>
      <c r="I8" s="28">
        <f t="shared" si="1"/>
        <v>0</v>
      </c>
      <c r="J8" s="28"/>
      <c r="M8" s="7"/>
    </row>
    <row r="9" spans="6:16" x14ac:dyDescent="0.3">
      <c r="F9" s="6" t="s">
        <v>79</v>
      </c>
      <c r="G9" s="7">
        <v>-6.38</v>
      </c>
      <c r="H9" s="7">
        <f t="shared" si="0"/>
        <v>-13.823333333333332</v>
      </c>
      <c r="I9" s="28">
        <f t="shared" si="1"/>
        <v>-165.88</v>
      </c>
      <c r="J9" s="28"/>
      <c r="M9" s="7"/>
    </row>
    <row r="10" spans="6:16" x14ac:dyDescent="0.3">
      <c r="F10" s="6" t="s">
        <v>80</v>
      </c>
      <c r="G10" s="7">
        <v>-4.43</v>
      </c>
      <c r="H10" s="7">
        <f t="shared" si="0"/>
        <v>-9.5983333333333327</v>
      </c>
      <c r="I10" s="28">
        <f t="shared" si="1"/>
        <v>-115.17999999999999</v>
      </c>
      <c r="J10" s="28"/>
      <c r="M10" s="7"/>
    </row>
    <row r="11" spans="6:16" x14ac:dyDescent="0.3">
      <c r="F11" s="6" t="s">
        <v>259</v>
      </c>
      <c r="G11" s="7">
        <v>-41.54</v>
      </c>
      <c r="H11" s="7">
        <f>I11/12</f>
        <v>-90.00333333333333</v>
      </c>
      <c r="I11" s="28">
        <f>G11*26</f>
        <v>-1080.04</v>
      </c>
      <c r="J11" s="28"/>
      <c r="M11" s="7"/>
    </row>
    <row r="12" spans="6:16" x14ac:dyDescent="0.3">
      <c r="I12" s="28"/>
      <c r="J12" s="28"/>
      <c r="K12" s="7"/>
      <c r="L12" s="3"/>
      <c r="M12" s="3"/>
      <c r="O12" s="3"/>
      <c r="P12" s="3"/>
    </row>
    <row r="13" spans="6:16" x14ac:dyDescent="0.3">
      <c r="F13" s="6" t="s">
        <v>83</v>
      </c>
      <c r="G13" s="7">
        <f>I13/26</f>
        <v>0</v>
      </c>
      <c r="H13" s="7">
        <f>I13/12</f>
        <v>0</v>
      </c>
      <c r="I13" s="7"/>
      <c r="J13" s="28"/>
      <c r="L13" s="8"/>
      <c r="M13" s="8"/>
      <c r="O13" s="1"/>
      <c r="P13" s="1"/>
    </row>
    <row r="14" spans="6:16" x14ac:dyDescent="0.3">
      <c r="I14" s="28"/>
      <c r="J14" s="28"/>
      <c r="L14" s="8"/>
      <c r="M14" s="1"/>
      <c r="O14" s="1"/>
      <c r="P14" s="1"/>
    </row>
    <row r="15" spans="6:16" x14ac:dyDescent="0.3">
      <c r="F15" s="6" t="s">
        <v>86</v>
      </c>
      <c r="G15" s="7">
        <f>G3+G4+G7+G8+G9</f>
        <v>2855.08</v>
      </c>
      <c r="H15" s="7">
        <f t="shared" ref="H15:I15" si="2">H3+H4+H7+H8+H9</f>
        <v>6186.0066666666662</v>
      </c>
      <c r="I15" s="7">
        <f t="shared" si="2"/>
        <v>74232.08</v>
      </c>
      <c r="J15" s="28"/>
      <c r="L15" s="7"/>
      <c r="O15" s="1"/>
      <c r="P15" s="1"/>
    </row>
    <row r="16" spans="6:16" x14ac:dyDescent="0.3">
      <c r="F16" s="6" t="s">
        <v>87</v>
      </c>
      <c r="G16" s="7">
        <f>G15+G6-G13</f>
        <v>2797.48</v>
      </c>
      <c r="H16" s="7">
        <f t="shared" ref="H16:I16" si="3">H15+H6-H13</f>
        <v>6061.206666666666</v>
      </c>
      <c r="I16" s="7">
        <f t="shared" si="3"/>
        <v>72734.48</v>
      </c>
      <c r="J16" s="28"/>
      <c r="L16" s="1"/>
    </row>
    <row r="17" spans="2:16" x14ac:dyDescent="0.3">
      <c r="L17" s="7"/>
      <c r="O17" s="1"/>
      <c r="P17" s="1"/>
    </row>
    <row r="18" spans="2:16" x14ac:dyDescent="0.3">
      <c r="B18" s="9">
        <f>ABS(G18/$G$3)</f>
        <v>0.10473551423611112</v>
      </c>
      <c r="C18" s="9">
        <v>0.107825</v>
      </c>
      <c r="D18" s="9">
        <f>IF(L17&gt;523601, ((L17-523600)*0.37+157804.25)/L17, IF(L17&gt;209426, ((L17-209425)*0.35+47843)/L17, IF(L17&gt;164926, ((L17-164925)*0.32+33603)/L17, IF(L17&gt;86376, ((L17-86375)*0.24+14751)/L17, IF(L17&gt;40526, ((L17-40525)*0.22+4664)/L17, IF(L17&gt;9951, ((L17-9950)*0.12+995)/L17, IF(L17&gt;0, ((L17-0)*0.1+0)/L17, 0)))))))</f>
        <v>0</v>
      </c>
      <c r="E18" s="9"/>
      <c r="F18" s="6" t="s">
        <v>90</v>
      </c>
      <c r="G18" s="7">
        <f>G16*$C$18*(-1)</f>
        <v>-301.63828100000001</v>
      </c>
      <c r="H18" s="7">
        <f t="shared" ref="H18:I18" si="4">H16*$C$18*(-1)</f>
        <v>-653.54960883333331</v>
      </c>
      <c r="I18" s="7">
        <f t="shared" si="4"/>
        <v>-7842.5953060000002</v>
      </c>
      <c r="J18" s="7"/>
      <c r="K18" s="7"/>
    </row>
    <row r="19" spans="2:16" x14ac:dyDescent="0.3">
      <c r="B19" s="9">
        <f>ABS(G19/$G$3)</f>
        <v>3.8824748472222219E-2</v>
      </c>
      <c r="C19" s="9">
        <v>3.9969999999999999E-2</v>
      </c>
      <c r="D19" s="9">
        <f>IF(L17&gt;625370, ((L17-625369)*0.123+60789.92)/L17, IF(L17&gt;375222, ((L17-375221)*0.113+32523.2)/L17, IF(L17&gt;312687, ((L17-312686)*0.103+26082.09)/L17, IF(L17&gt;61215, ((L17-61214)*0.093+2695.19)/L17, IF(L17&gt;48436, ((L17-48435)*0.08+1672.87)/L17, IF(L17&gt;34893, ((L17-34892)*0.06+860.29)/L17, IF(L17&gt;22108, ((L17-22107)*0.04+348.89)/L17, IF(L17&gt;9326, ((L17-9325)*0.02+98.25)/L17, IF(L17&gt;0, ((L17-0)*0.01+0)/L17, )))))))))</f>
        <v>0</v>
      </c>
      <c r="E19" s="9"/>
      <c r="F19" s="6" t="s">
        <v>91</v>
      </c>
      <c r="G19" s="7">
        <f>G16*$C$19*(-1)</f>
        <v>-111.81527559999999</v>
      </c>
      <c r="H19" s="7">
        <f t="shared" ref="H19:I19" si="5">H16*$C$19*(-1)</f>
        <v>-242.26643046666663</v>
      </c>
      <c r="I19" s="7">
        <f t="shared" si="5"/>
        <v>-2907.1971655999996</v>
      </c>
      <c r="J19" s="7"/>
      <c r="K19" s="7"/>
      <c r="L19" s="1"/>
      <c r="N19" s="28"/>
    </row>
    <row r="20" spans="2:16" x14ac:dyDescent="0.3">
      <c r="B20" s="9">
        <f>ABS(G20/$G$3)</f>
        <v>6.1463527777777777E-2</v>
      </c>
      <c r="C20" s="9">
        <v>6.2E-2</v>
      </c>
      <c r="D20" s="9">
        <v>6.2E-2</v>
      </c>
      <c r="E20" s="9"/>
      <c r="F20" s="6" t="s">
        <v>92</v>
      </c>
      <c r="G20" s="7">
        <f>G15*$D$20*(-1)</f>
        <v>-177.01496</v>
      </c>
      <c r="H20" s="7">
        <f t="shared" ref="H20:I20" si="6">H15*$D$20*(-1)</f>
        <v>-383.5324133333333</v>
      </c>
      <c r="I20" s="7">
        <f t="shared" si="6"/>
        <v>-4602.3889600000002</v>
      </c>
      <c r="J20" s="7"/>
      <c r="K20" s="7"/>
    </row>
    <row r="21" spans="2:16" x14ac:dyDescent="0.3">
      <c r="B21" s="9">
        <f>ABS(G21/$G$3)</f>
        <v>1.4374534722222223E-2</v>
      </c>
      <c r="C21" s="9">
        <v>1.4500000000000001E-2</v>
      </c>
      <c r="D21" s="9">
        <v>1.4500000000000001E-2</v>
      </c>
      <c r="E21" s="9"/>
      <c r="F21" s="6" t="s">
        <v>93</v>
      </c>
      <c r="G21" s="7">
        <f>G15*$D$21*(-1)</f>
        <v>-41.39866</v>
      </c>
      <c r="H21" s="7">
        <f t="shared" ref="H21:I21" si="7">H15*$D$21*(-1)</f>
        <v>-89.697096666666667</v>
      </c>
      <c r="I21" s="7">
        <f t="shared" si="7"/>
        <v>-1076.3651600000001</v>
      </c>
      <c r="J21" s="7"/>
      <c r="K21" s="7"/>
    </row>
    <row r="22" spans="2:16" x14ac:dyDescent="0.3">
      <c r="B22" s="9"/>
      <c r="C22" s="9"/>
    </row>
    <row r="23" spans="2:16" x14ac:dyDescent="0.3">
      <c r="B23" s="9">
        <f>ABS((G3-G23)/$G$3)</f>
        <v>0.26425249187499988</v>
      </c>
      <c r="C23" s="9">
        <f>ABS((G3-G23)/$G$3)</f>
        <v>0.26425249187499988</v>
      </c>
      <c r="F23" s="6" t="s">
        <v>94</v>
      </c>
      <c r="G23" s="7">
        <f>G3+G6+G7+G8+G9+G10+G18+G19+G20+G21+G11</f>
        <v>2118.9528234000004</v>
      </c>
      <c r="H23" s="7">
        <f>H3+H6+H7+H8+H9+H10+H18+H19+H20+H21+H11</f>
        <v>4591.0644506999997</v>
      </c>
      <c r="I23" s="7">
        <f t="shared" ref="I23" si="8">I3+I6+I7+I8+I9+I10+I18+I19+I20+I21+I11</f>
        <v>55092.773408399989</v>
      </c>
      <c r="J23" s="7"/>
      <c r="K23" s="7"/>
      <c r="L23" s="33" t="s">
        <v>266</v>
      </c>
      <c r="M23" s="33"/>
      <c r="N23" s="33" t="s">
        <v>69</v>
      </c>
      <c r="O23" s="33"/>
    </row>
    <row r="24" spans="2:16" x14ac:dyDescent="0.3">
      <c r="K24" s="17" t="s">
        <v>286</v>
      </c>
      <c r="L24" s="30">
        <f>-G25</f>
        <v>383.07692307692309</v>
      </c>
      <c r="M24" s="30"/>
      <c r="N24" s="34">
        <f t="shared" ref="N24" si="9">L24*26</f>
        <v>9960</v>
      </c>
      <c r="O24" s="34"/>
    </row>
    <row r="25" spans="2:16" x14ac:dyDescent="0.3">
      <c r="F25" s="6" t="s">
        <v>63</v>
      </c>
      <c r="G25" s="7">
        <f>I25/26</f>
        <v>-383.07692307692309</v>
      </c>
      <c r="H25" s="7">
        <v>-830</v>
      </c>
      <c r="I25" s="28">
        <f>H25*12</f>
        <v>-9960</v>
      </c>
      <c r="J25" s="28"/>
      <c r="K25" s="17" t="s">
        <v>287</v>
      </c>
      <c r="L25" s="30">
        <f>-(G27+G30+G31+G32+G36+G38)</f>
        <v>378.77538461538461</v>
      </c>
      <c r="M25" s="30"/>
      <c r="N25" s="30">
        <f>L25*26</f>
        <v>9848.16</v>
      </c>
      <c r="O25" s="30"/>
    </row>
    <row r="26" spans="2:16" x14ac:dyDescent="0.3">
      <c r="F26" s="6" t="s">
        <v>95</v>
      </c>
      <c r="G26" s="7">
        <f t="shared" ref="G26:G38" si="10">I26/26</f>
        <v>0</v>
      </c>
      <c r="H26" s="7">
        <v>0</v>
      </c>
      <c r="I26" s="28">
        <f t="shared" ref="I26:I38" si="11">H26*12</f>
        <v>0</v>
      </c>
      <c r="J26" s="28"/>
      <c r="K26" s="17" t="s">
        <v>288</v>
      </c>
      <c r="L26" s="13">
        <f>-(G28+G29)</f>
        <v>71.569230769230771</v>
      </c>
      <c r="M26" s="36">
        <f>SUM(L26:L28)</f>
        <v>255.06923076923078</v>
      </c>
      <c r="N26" s="15">
        <f>L26*26</f>
        <v>1860.8</v>
      </c>
      <c r="O26" s="36">
        <f>SUM(N26:N28)</f>
        <v>6631.8</v>
      </c>
    </row>
    <row r="27" spans="2:16" x14ac:dyDescent="0.3">
      <c r="F27" s="6" t="s">
        <v>61</v>
      </c>
      <c r="G27" s="7">
        <f t="shared" si="10"/>
        <v>-120</v>
      </c>
      <c r="H27" s="7">
        <v>-260</v>
      </c>
      <c r="I27" s="28">
        <f t="shared" si="11"/>
        <v>-3120</v>
      </c>
      <c r="J27" s="28"/>
      <c r="K27" s="17" t="s">
        <v>289</v>
      </c>
      <c r="L27" s="13">
        <v>175</v>
      </c>
      <c r="M27" s="37"/>
      <c r="N27" s="15">
        <f>L27*26</f>
        <v>4550</v>
      </c>
      <c r="O27" s="37"/>
    </row>
    <row r="28" spans="2:16" x14ac:dyDescent="0.3">
      <c r="F28" s="6" t="s">
        <v>96</v>
      </c>
      <c r="G28" s="7">
        <f>I28/26</f>
        <v>-25.415384615384614</v>
      </c>
      <c r="H28" s="7">
        <f>(-330.4/6)</f>
        <v>-55.066666666666663</v>
      </c>
      <c r="I28" s="28">
        <f t="shared" si="11"/>
        <v>-660.8</v>
      </c>
      <c r="J28" s="28"/>
      <c r="K28" s="18" t="s">
        <v>290</v>
      </c>
      <c r="L28" s="12">
        <f>-G35</f>
        <v>8.5</v>
      </c>
      <c r="M28" s="38"/>
      <c r="N28" s="15">
        <f>L28*26</f>
        <v>221</v>
      </c>
      <c r="O28" s="38"/>
    </row>
    <row r="29" spans="2:16" x14ac:dyDescent="0.3">
      <c r="F29" s="6" t="s">
        <v>97</v>
      </c>
      <c r="G29" s="7">
        <f t="shared" si="10"/>
        <v>-46.153846153846153</v>
      </c>
      <c r="H29" s="7">
        <v>-100</v>
      </c>
      <c r="I29" s="28">
        <f t="shared" si="11"/>
        <v>-1200</v>
      </c>
      <c r="J29" s="28"/>
      <c r="K29" s="17" t="s">
        <v>291</v>
      </c>
      <c r="L29" s="30">
        <f>G23-L24-M26-L25</f>
        <v>1102.0312849384618</v>
      </c>
      <c r="M29" s="30"/>
      <c r="N29" s="30">
        <f>L29*26</f>
        <v>28652.813408400005</v>
      </c>
      <c r="O29" s="30"/>
    </row>
    <row r="30" spans="2:16" x14ac:dyDescent="0.3">
      <c r="F30" s="6" t="s">
        <v>65</v>
      </c>
      <c r="G30" s="7">
        <f t="shared" si="10"/>
        <v>-10.707692307692307</v>
      </c>
      <c r="H30" s="7">
        <f>-23.2</f>
        <v>-23.2</v>
      </c>
      <c r="I30" s="28">
        <f t="shared" si="11"/>
        <v>-278.39999999999998</v>
      </c>
      <c r="J30" s="28"/>
    </row>
    <row r="31" spans="2:16" x14ac:dyDescent="0.3">
      <c r="F31" s="6" t="s">
        <v>98</v>
      </c>
      <c r="G31" s="7">
        <f t="shared" si="10"/>
        <v>-19.615384615384617</v>
      </c>
      <c r="H31" s="7">
        <v>-42.5</v>
      </c>
      <c r="I31" s="28">
        <f t="shared" si="11"/>
        <v>-510</v>
      </c>
      <c r="J31" s="28"/>
      <c r="K31" s="16" t="s">
        <v>89</v>
      </c>
      <c r="L31" s="30">
        <f>L24+M26+L25+L29</f>
        <v>2118.9528234000004</v>
      </c>
      <c r="M31" s="30"/>
      <c r="N31" s="30">
        <f>N24+O26+N25+N29</f>
        <v>55092.773408400004</v>
      </c>
      <c r="O31" s="30"/>
    </row>
    <row r="32" spans="2:16" x14ac:dyDescent="0.3">
      <c r="F32" s="6" t="s">
        <v>253</v>
      </c>
      <c r="G32" s="7">
        <f>I32/26</f>
        <v>-4.6107692307692307</v>
      </c>
      <c r="H32" s="7">
        <v>-9.99</v>
      </c>
      <c r="I32" s="28">
        <f t="shared" si="11"/>
        <v>-119.88</v>
      </c>
      <c r="J32" s="28"/>
    </row>
    <row r="33" spans="4:15" x14ac:dyDescent="0.3">
      <c r="F33" s="6" t="s">
        <v>285</v>
      </c>
      <c r="G33" s="7">
        <v>0</v>
      </c>
      <c r="H33" s="7">
        <f>I33/12</f>
        <v>0</v>
      </c>
      <c r="I33" s="28">
        <f>G33*26</f>
        <v>0</v>
      </c>
      <c r="J33" s="28"/>
    </row>
    <row r="34" spans="4:15" x14ac:dyDescent="0.3">
      <c r="F34" s="6" t="s">
        <v>257</v>
      </c>
      <c r="G34" s="7">
        <f>I34/26</f>
        <v>0</v>
      </c>
      <c r="H34" s="7">
        <v>0</v>
      </c>
      <c r="I34" s="28">
        <f t="shared" si="11"/>
        <v>0</v>
      </c>
      <c r="J34" s="28"/>
    </row>
    <row r="35" spans="4:15" x14ac:dyDescent="0.3">
      <c r="F35" s="6" t="s">
        <v>284</v>
      </c>
      <c r="G35" s="7">
        <f t="shared" ref="G35:G37" si="12">I35/26</f>
        <v>-8.5</v>
      </c>
      <c r="H35" s="7">
        <f>-13-16/12-49/12</f>
        <v>-18.416666666666668</v>
      </c>
      <c r="I35" s="28">
        <f t="shared" si="11"/>
        <v>-221</v>
      </c>
      <c r="J35" s="28"/>
      <c r="K35" s="23"/>
      <c r="L35" s="24"/>
      <c r="M35" s="39"/>
      <c r="N35" s="25"/>
      <c r="O35" s="39"/>
    </row>
    <row r="36" spans="4:15" x14ac:dyDescent="0.3">
      <c r="F36" s="6" t="s">
        <v>256</v>
      </c>
      <c r="G36" s="7">
        <f t="shared" si="12"/>
        <v>-16.149230769230769</v>
      </c>
      <c r="H36" s="7">
        <v>-34.99</v>
      </c>
      <c r="I36" s="28">
        <f t="shared" si="11"/>
        <v>-419.88</v>
      </c>
      <c r="J36" s="28"/>
      <c r="K36" s="23"/>
      <c r="L36" s="24"/>
      <c r="M36" s="39"/>
      <c r="N36" s="25"/>
      <c r="O36" s="40"/>
    </row>
    <row r="37" spans="4:15" x14ac:dyDescent="0.3">
      <c r="F37" s="6" t="s">
        <v>258</v>
      </c>
      <c r="G37" s="7">
        <f t="shared" si="12"/>
        <v>0</v>
      </c>
      <c r="H37" s="7">
        <v>0</v>
      </c>
      <c r="I37" s="28">
        <f t="shared" si="11"/>
        <v>0</v>
      </c>
      <c r="J37" s="28"/>
      <c r="K37" s="26"/>
      <c r="L37" s="27"/>
      <c r="M37" s="39"/>
      <c r="N37" s="25"/>
      <c r="O37" s="40"/>
    </row>
    <row r="38" spans="4:15" x14ac:dyDescent="0.3">
      <c r="F38" s="6" t="s">
        <v>99</v>
      </c>
      <c r="G38" s="7">
        <f t="shared" si="10"/>
        <v>-207.69230769230768</v>
      </c>
      <c r="H38" s="7">
        <v>-450</v>
      </c>
      <c r="I38" s="28">
        <f t="shared" si="11"/>
        <v>-5400</v>
      </c>
      <c r="J38" s="28"/>
    </row>
    <row r="39" spans="4:15" x14ac:dyDescent="0.3">
      <c r="I39" s="28"/>
      <c r="J39" s="28"/>
    </row>
    <row r="40" spans="4:15" x14ac:dyDescent="0.3">
      <c r="F40" s="6" t="s">
        <v>100</v>
      </c>
      <c r="G40" s="7">
        <f>SUM(G23:G38)</f>
        <v>1277.031284938462</v>
      </c>
      <c r="H40" s="7">
        <f>SUM(H23:H38)</f>
        <v>2766.9011173666672</v>
      </c>
      <c r="I40" s="7">
        <f>SUM(I23:I38)</f>
        <v>33202.81340839999</v>
      </c>
      <c r="J40" s="7"/>
    </row>
    <row r="41" spans="4:15" x14ac:dyDescent="0.3">
      <c r="F41" s="6" t="s">
        <v>101</v>
      </c>
      <c r="G41" s="7">
        <f>I41/26</f>
        <v>144</v>
      </c>
      <c r="H41" s="7">
        <f>I41/12</f>
        <v>312</v>
      </c>
      <c r="I41" s="7">
        <f>I3*5/100</f>
        <v>3744</v>
      </c>
      <c r="J41" s="7"/>
    </row>
    <row r="42" spans="4:15" x14ac:dyDescent="0.3">
      <c r="F42" s="6" t="s">
        <v>102</v>
      </c>
      <c r="G42" s="7">
        <f t="shared" ref="G42" si="13">G40+G41</f>
        <v>1421.031284938462</v>
      </c>
      <c r="H42" s="7">
        <f>H40+H41</f>
        <v>3078.9011173666672</v>
      </c>
      <c r="I42" s="7">
        <f>I40+I41</f>
        <v>36946.81340839999</v>
      </c>
      <c r="J42" s="7"/>
    </row>
    <row r="43" spans="4:15" x14ac:dyDescent="0.3">
      <c r="F43" s="6" t="s">
        <v>89</v>
      </c>
      <c r="G43" s="7">
        <f>G42-G6</f>
        <v>1478.6312849384619</v>
      </c>
      <c r="H43" s="7">
        <f>H42-H6</f>
        <v>3203.7011173666674</v>
      </c>
      <c r="I43" s="7">
        <f>I42-I6</f>
        <v>38444.413408399989</v>
      </c>
      <c r="J43" s="28"/>
    </row>
    <row r="44" spans="4:15" x14ac:dyDescent="0.3">
      <c r="D44" s="10"/>
      <c r="E44" s="10"/>
      <c r="I44" s="7"/>
      <c r="J44" s="7"/>
    </row>
    <row r="45" spans="4:15" x14ac:dyDescent="0.3">
      <c r="I45" s="28"/>
    </row>
    <row r="46" spans="4:15" x14ac:dyDescent="0.3">
      <c r="I46" s="28"/>
      <c r="J46" s="28"/>
    </row>
    <row r="47" spans="4:15" x14ac:dyDescent="0.3">
      <c r="I47" s="28"/>
    </row>
    <row r="48" spans="4:15" x14ac:dyDescent="0.3">
      <c r="I48" s="28"/>
    </row>
    <row r="49" spans="9:9" x14ac:dyDescent="0.3">
      <c r="I49" s="28"/>
    </row>
  </sheetData>
  <mergeCells count="19">
    <mergeCell ref="L29:M29"/>
    <mergeCell ref="N29:O29"/>
    <mergeCell ref="L31:M31"/>
    <mergeCell ref="N31:O31"/>
    <mergeCell ref="M35:M37"/>
    <mergeCell ref="O35:O37"/>
    <mergeCell ref="M26:M28"/>
    <mergeCell ref="O26:O28"/>
    <mergeCell ref="L2:M2"/>
    <mergeCell ref="L3:M3"/>
    <mergeCell ref="L5:M5"/>
    <mergeCell ref="L6:M6"/>
    <mergeCell ref="L7:M7"/>
    <mergeCell ref="L23:M23"/>
    <mergeCell ref="N23:O23"/>
    <mergeCell ref="L24:M24"/>
    <mergeCell ref="N24:O24"/>
    <mergeCell ref="L25:M25"/>
    <mergeCell ref="N25:O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Finance</vt:lpstr>
      <vt:lpstr>Finance 2</vt:lpstr>
      <vt:lpstr>Budget</vt:lpstr>
      <vt:lpstr>Transaction</vt:lpstr>
      <vt:lpstr>Pivot</vt:lpstr>
      <vt:lpstr>Finance 2023</vt:lpstr>
      <vt:lpstr>Finance 2024</vt:lpstr>
      <vt:lpstr>Finance 2024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 Widyanto</dc:creator>
  <cp:lastModifiedBy>Widyanto, Hendry</cp:lastModifiedBy>
  <dcterms:created xsi:type="dcterms:W3CDTF">2022-07-04T21:18:31Z</dcterms:created>
  <dcterms:modified xsi:type="dcterms:W3CDTF">2024-03-28T16:54:08Z</dcterms:modified>
</cp:coreProperties>
</file>