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bbott-my.sharepoint.com/personal/hendry_widyanto_abbott_com/Documents/Desktop/Personal/"/>
    </mc:Choice>
  </mc:AlternateContent>
  <xr:revisionPtr revIDLastSave="1689" documentId="6_{A63E7AF0-82F7-495D-93F7-F7BF0CF6FD2C}" xr6:coauthVersionLast="47" xr6:coauthVersionMax="47" xr10:uidLastSave="{447C8836-53BF-46BF-A29F-A88F0DB1B390}"/>
  <bookViews>
    <workbookView xWindow="-110" yWindow="-110" windowWidth="19420" windowHeight="10420" activeTab="2" xr2:uid="{0FF731ED-F991-44BD-92BC-15FA710295B6}"/>
  </bookViews>
  <sheets>
    <sheet name="Calculator" sheetId="6" r:id="rId1"/>
    <sheet name="Starting Money" sheetId="14" state="hidden" r:id="rId2"/>
    <sheet name="Actual" sheetId="4" r:id="rId3"/>
    <sheet name="1 - Balance vs Days" sheetId="8" state="hidden" r:id="rId4"/>
    <sheet name="2 - Profit vs Days" sheetId="12" state="hidden" r:id="rId5"/>
    <sheet name="Chart - Balance" sheetId="9" r:id="rId6"/>
    <sheet name="Chart - Profit" sheetId="13" r:id="rId7"/>
  </sheets>
  <calcPr calcId="191028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4" l="1"/>
  <c r="S28" i="4"/>
  <c r="S29" i="4" s="1"/>
  <c r="Q25" i="4"/>
  <c r="S18" i="4"/>
  <c r="Q19" i="4" s="1"/>
  <c r="S19" i="4" s="1"/>
  <c r="H11" i="4"/>
  <c r="S12" i="4"/>
  <c r="H10" i="4"/>
  <c r="C5" i="4"/>
  <c r="C6" i="4"/>
  <c r="C7" i="4"/>
  <c r="C8" i="4"/>
  <c r="C9" i="4"/>
  <c r="C10" i="4"/>
  <c r="C11" i="4"/>
  <c r="D2" i="4"/>
  <c r="F11" i="4"/>
  <c r="E11" i="4"/>
  <c r="D11" i="4"/>
  <c r="F10" i="4"/>
  <c r="E10" i="4"/>
  <c r="D10" i="4"/>
  <c r="X30" i="6"/>
  <c r="F5" i="4"/>
  <c r="E5" i="4"/>
  <c r="F6" i="4"/>
  <c r="E6" i="4"/>
  <c r="F7" i="4"/>
  <c r="E7" i="4"/>
  <c r="F8" i="4"/>
  <c r="E8" i="4"/>
  <c r="F9" i="4"/>
  <c r="E9" i="4"/>
  <c r="D6" i="4"/>
  <c r="D5" i="4"/>
  <c r="G5" i="4"/>
  <c r="D8" i="4"/>
  <c r="D7" i="4"/>
  <c r="D9" i="4"/>
  <c r="G6" i="4"/>
  <c r="I6" i="4"/>
  <c r="O34" i="6"/>
  <c r="G7" i="4"/>
  <c r="G8" i="4"/>
  <c r="G9" i="4"/>
  <c r="G10" i="4"/>
  <c r="M34" i="6"/>
  <c r="X34" i="6"/>
  <c r="C2" i="6"/>
  <c r="C3" i="6"/>
  <c r="C4" i="6"/>
  <c r="C5" i="6"/>
  <c r="O31" i="6"/>
  <c r="G11" i="4"/>
  <c r="I11" i="4"/>
  <c r="I10" i="4"/>
  <c r="I9" i="4"/>
  <c r="I8" i="4"/>
  <c r="O6" i="4"/>
  <c r="S6" i="4"/>
  <c r="R8" i="4"/>
  <c r="C6" i="6"/>
  <c r="C7" i="6"/>
  <c r="C8" i="6"/>
  <c r="C9" i="6"/>
  <c r="C10" i="6"/>
  <c r="C11" i="6"/>
  <c r="E2" i="6"/>
  <c r="E3" i="6"/>
  <c r="Y6" i="6"/>
  <c r="Q2" i="6"/>
  <c r="O35" i="6"/>
  <c r="X35" i="6"/>
  <c r="X31" i="6"/>
  <c r="R14" i="4"/>
  <c r="Q13" i="4"/>
  <c r="S13" i="4"/>
  <c r="Q7" i="4"/>
  <c r="S7" i="4"/>
  <c r="E4" i="6"/>
  <c r="E5" i="6"/>
  <c r="E6" i="6"/>
  <c r="E7" i="6"/>
  <c r="E8" i="6"/>
  <c r="E9" i="6"/>
  <c r="E10" i="6"/>
  <c r="E11" i="6"/>
  <c r="G2" i="6"/>
  <c r="N16" i="6"/>
  <c r="O37" i="6"/>
  <c r="X37" i="6"/>
  <c r="Q3" i="6"/>
  <c r="Q4" i="6"/>
  <c r="I7" i="4"/>
  <c r="Y4" i="6"/>
  <c r="N14" i="6"/>
  <c r="Y5" i="6"/>
  <c r="Q5" i="6"/>
  <c r="Y14" i="6"/>
  <c r="P14" i="6"/>
  <c r="Q8" i="6"/>
  <c r="Q9" i="6"/>
  <c r="Q10" i="6"/>
  <c r="N15" i="6"/>
  <c r="Q11" i="6"/>
  <c r="Y15" i="6"/>
  <c r="P15" i="6"/>
  <c r="P16" i="6"/>
  <c r="Q12" i="6"/>
  <c r="R2" i="6"/>
  <c r="R3" i="6"/>
  <c r="Y16" i="6"/>
  <c r="R4" i="6"/>
  <c r="R5" i="6"/>
  <c r="R8" i="6"/>
  <c r="N17" i="6"/>
  <c r="R9" i="6"/>
  <c r="Y17" i="6"/>
  <c r="P17" i="6"/>
  <c r="R10" i="6"/>
  <c r="R11" i="6"/>
  <c r="R12" i="6"/>
  <c r="G3" i="6"/>
  <c r="G4" i="6"/>
  <c r="G5" i="6"/>
  <c r="G6" i="6"/>
  <c r="G7" i="6"/>
  <c r="G8" i="6"/>
  <c r="G9" i="6"/>
  <c r="G10" i="6"/>
  <c r="G11" i="6"/>
  <c r="I2" i="6"/>
  <c r="N18" i="6"/>
  <c r="Y18" i="6"/>
  <c r="P18" i="6"/>
  <c r="S2" i="6"/>
  <c r="S3" i="6"/>
  <c r="S4" i="6"/>
  <c r="S5" i="6"/>
  <c r="N19" i="6"/>
  <c r="Y19" i="6"/>
  <c r="P19" i="6"/>
  <c r="S8" i="6"/>
  <c r="S9" i="6"/>
  <c r="S10" i="6"/>
  <c r="N20" i="6"/>
  <c r="S11" i="6"/>
  <c r="Y20" i="6"/>
  <c r="P20" i="6"/>
  <c r="S12" i="6"/>
  <c r="I3" i="6"/>
  <c r="I4" i="6"/>
  <c r="I5" i="6"/>
  <c r="I6" i="6"/>
  <c r="I7" i="6"/>
  <c r="I8" i="6"/>
  <c r="I9" i="6"/>
  <c r="I10" i="6"/>
  <c r="I11" i="6"/>
  <c r="K2" i="6"/>
  <c r="T2" i="6"/>
  <c r="N21" i="6"/>
  <c r="T3" i="6"/>
  <c r="Y21" i="6"/>
  <c r="P21" i="6"/>
  <c r="T4" i="6"/>
  <c r="T5" i="6"/>
  <c r="T8" i="6"/>
  <c r="N22" i="6"/>
  <c r="T9" i="6"/>
  <c r="Y22" i="6"/>
  <c r="P22" i="6"/>
  <c r="T10" i="6"/>
  <c r="T11" i="6"/>
  <c r="K3" i="6"/>
  <c r="K4" i="6"/>
  <c r="K5" i="6"/>
  <c r="K6" i="6"/>
  <c r="K7" i="6"/>
  <c r="K8" i="6"/>
  <c r="K9" i="6"/>
  <c r="K10" i="6"/>
  <c r="K11" i="6"/>
  <c r="T12" i="6"/>
  <c r="C13" i="6"/>
  <c r="C14" i="6"/>
  <c r="C15" i="6"/>
  <c r="C16" i="6"/>
  <c r="N23" i="6"/>
  <c r="Y23" i="6"/>
  <c r="P23" i="6"/>
  <c r="C17" i="6"/>
  <c r="C18" i="6"/>
  <c r="C19" i="6"/>
  <c r="C20" i="6"/>
  <c r="C21" i="6"/>
  <c r="C22" i="6"/>
  <c r="U2" i="6"/>
  <c r="E13" i="6"/>
  <c r="E14" i="6"/>
  <c r="E15" i="6"/>
  <c r="E16" i="6"/>
  <c r="E17" i="6"/>
  <c r="E18" i="6"/>
  <c r="E19" i="6"/>
  <c r="E20" i="6"/>
  <c r="E21" i="6"/>
  <c r="E22" i="6"/>
  <c r="G13" i="6"/>
  <c r="G14" i="6"/>
  <c r="G15" i="6"/>
  <c r="G16" i="6"/>
  <c r="G17" i="6"/>
  <c r="G18" i="6"/>
  <c r="G19" i="6"/>
  <c r="G20" i="6"/>
  <c r="G21" i="6"/>
  <c r="G22" i="6"/>
  <c r="I13" i="6"/>
  <c r="I14" i="6"/>
  <c r="I15" i="6"/>
  <c r="I16" i="6"/>
  <c r="I17" i="6"/>
  <c r="I18" i="6"/>
  <c r="I19" i="6"/>
  <c r="I20" i="6"/>
  <c r="I21" i="6"/>
  <c r="I22" i="6"/>
  <c r="K13" i="6"/>
  <c r="K14" i="6"/>
  <c r="K15" i="6"/>
  <c r="K16" i="6"/>
  <c r="K17" i="6"/>
  <c r="K18" i="6"/>
  <c r="K19" i="6"/>
  <c r="K20" i="6"/>
  <c r="K21" i="6"/>
  <c r="K22" i="6"/>
  <c r="C24" i="6"/>
  <c r="C25" i="6"/>
  <c r="C26" i="6"/>
  <c r="C27" i="6"/>
  <c r="C28" i="6"/>
  <c r="C29" i="6"/>
  <c r="C30" i="6"/>
  <c r="C31" i="6"/>
  <c r="C32" i="6"/>
  <c r="C33" i="6"/>
  <c r="E24" i="6"/>
  <c r="E25" i="6"/>
  <c r="E26" i="6"/>
  <c r="E27" i="6"/>
  <c r="E28" i="6"/>
  <c r="E29" i="6"/>
  <c r="E30" i="6"/>
  <c r="E31" i="6"/>
  <c r="E32" i="6"/>
  <c r="E33" i="6"/>
  <c r="G24" i="6"/>
  <c r="G25" i="6"/>
  <c r="G26" i="6"/>
  <c r="G27" i="6"/>
  <c r="G28" i="6"/>
  <c r="G29" i="6"/>
  <c r="G30" i="6"/>
  <c r="G31" i="6"/>
  <c r="G32" i="6"/>
  <c r="G33" i="6"/>
  <c r="I24" i="6"/>
  <c r="I25" i="6"/>
  <c r="I26" i="6"/>
  <c r="I27" i="6"/>
  <c r="I28" i="6"/>
  <c r="I29" i="6"/>
  <c r="I30" i="6"/>
  <c r="I31" i="6"/>
  <c r="I32" i="6"/>
  <c r="I33" i="6"/>
  <c r="K24" i="6"/>
  <c r="K25" i="6"/>
  <c r="K26" i="6"/>
  <c r="K27" i="6"/>
  <c r="K28" i="6"/>
  <c r="K29" i="6"/>
  <c r="K30" i="6"/>
  <c r="K31" i="6"/>
  <c r="K32" i="6"/>
  <c r="K33" i="6"/>
  <c r="U3" i="6"/>
  <c r="U4" i="6"/>
  <c r="N24" i="6"/>
  <c r="U5" i="6"/>
  <c r="N8" i="6"/>
  <c r="Y24" i="6"/>
  <c r="P24" i="6"/>
  <c r="W8" i="6"/>
  <c r="U8" i="6"/>
  <c r="U9" i="6"/>
  <c r="U10" i="6"/>
  <c r="N25" i="6"/>
  <c r="U11" i="6"/>
  <c r="Y25" i="6"/>
  <c r="P25" i="6"/>
  <c r="U12" i="6"/>
  <c r="N10" i="6"/>
  <c r="N26" i="6"/>
  <c r="Y26" i="6"/>
  <c r="P26" i="6"/>
  <c r="N11" i="6"/>
  <c r="R20" i="4" l="1"/>
  <c r="S25" i="4"/>
  <c r="R26" i="4"/>
  <c r="R28" i="4" s="1"/>
</calcChain>
</file>

<file path=xl/sharedStrings.xml><?xml version="1.0" encoding="utf-8"?>
<sst xmlns="http://schemas.openxmlformats.org/spreadsheetml/2006/main" count="67" uniqueCount="31">
  <si>
    <t>Start</t>
  </si>
  <si>
    <t>Percent</t>
  </si>
  <si>
    <t>Recurring</t>
  </si>
  <si>
    <t>52 Weeks</t>
  </si>
  <si>
    <t>104 Weeks</t>
  </si>
  <si>
    <t>Effective %</t>
  </si>
  <si>
    <t>Month</t>
  </si>
  <si>
    <t>Percentage</t>
  </si>
  <si>
    <t>Before</t>
  </si>
  <si>
    <t>After</t>
  </si>
  <si>
    <t>Remain</t>
  </si>
  <si>
    <t>Difference</t>
  </si>
  <si>
    <t>Total</t>
  </si>
  <si>
    <t>Unit</t>
  </si>
  <si>
    <t>Date</t>
  </si>
  <si>
    <t>Balance</t>
  </si>
  <si>
    <t>Profit</t>
  </si>
  <si>
    <t>Row Labels</t>
  </si>
  <si>
    <t>Grand Total</t>
  </si>
  <si>
    <t>Day</t>
  </si>
  <si>
    <t>Week</t>
  </si>
  <si>
    <t>Sum of Profit</t>
  </si>
  <si>
    <t>Ind Week</t>
  </si>
  <si>
    <t>Starting Money</t>
  </si>
  <si>
    <t>Max of Balance</t>
  </si>
  <si>
    <t>Total Option</t>
  </si>
  <si>
    <t>No.</t>
  </si>
  <si>
    <t>Deposit/Withdraw</t>
  </si>
  <si>
    <t>Sum of Deposit/Withdraw</t>
  </si>
  <si>
    <t>2x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</si>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</sst>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164" formatCode="0.0"/>
    <numFmt numFmtId="165" formatCode="&quot;$&quot;#,##0"/>
    <numFmt numFmtId="166" formatCode="0.000000"/>
    <numFmt numFmtId="167" formatCode="&quot;$&quot;#,##0.0"/>
    <numFmt numFmtId="168" formatCode="&quot;$&quot;#,##0.00"/>
    <numFmt numFmtId="169" formatCode="0.0%"/>
    <numFmt numFmtId="170" formatCode="mm/dd/yy"/>
    <numFmt numFmtId="171" formatCode="mm/dd/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0" xfId="0" applyNumberFormat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0" fontId="0" fillId="0" borderId="6" xfId="0" applyBorder="1"/>
    <xf numFmtId="16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171" formatCode="mm/dd/yy;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0.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0" formatCode="mm/dd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[Iron Condor or Credit Spread Plan.xlsx]1 - Balance vs Days!PivotTable1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'1 - Balance vs Days'!$B$1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'1 - Balance vs Days'!$A$2:$A$12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6</c:v>
                  </c:pt>
                  <c:pt idx="5">
                    <c:v>7</c:v>
                  </c:pt>
                  <c:pt idx="6">
                    <c:v>9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'1 - Balance vs Days'!$B$2:$B$12</c:f>
              <c:numCache>
                <c:formatCode>General</c:formatCode>
                <c:ptCount val="7"/>
                <c:pt idx="0">
                  <c:v>3000</c:v>
                </c:pt>
                <c:pt idx="1">
                  <c:v>3007</c:v>
                </c:pt>
                <c:pt idx="2">
                  <c:v>3094</c:v>
                </c:pt>
                <c:pt idx="3">
                  <c:v>3919.65</c:v>
                </c:pt>
                <c:pt idx="4">
                  <c:v>7102.17</c:v>
                </c:pt>
                <c:pt idx="5">
                  <c:v>13111.130000000001</c:v>
                </c:pt>
                <c:pt idx="6">
                  <c:v>69472.08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6-44FD-95CD-99A22E55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690575"/>
        <c:axId val="1094449423"/>
      </c:barChart>
      <c:catAx>
        <c:axId val="991690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49423"/>
        <c:crosses val="autoZero"/>
        <c:auto val="1"/>
        <c:lblAlgn val="ctr"/>
        <c:lblOffset val="100"/>
        <c:noMultiLvlLbl val="0"/>
      </c:catAx>
      <c:valAx>
        <c:axId val="1094449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90575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[Iron Condor or Credit Spread Plan.xlsx]2 - Profit vs Days!PivotTable2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'2 - Profit vs 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'2 - Profit vs Days'!$A$4:$A$7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'2 - Profit vs Days'!$B$4:$B$7</c:f>
              <c:numCache>
                <c:formatCode>General</c:formatCode>
                <c:ptCount val="3"/>
                <c:pt idx="0">
                  <c:v>919.65000000000009</c:v>
                </c:pt>
                <c:pt idx="1">
                  <c:v>9191.4800000000014</c:v>
                </c:pt>
                <c:pt idx="2">
                  <c:v>56360.950000000004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7-4978-B2A9-E0961B15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742575"/>
        <c:axId val="1287866431"/>
      </c:barChart>
      <c:catAx>
        <c:axId val="99174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66431"/>
        <c:crosses val="autoZero"/>
        <c:auto val="1"/>
        <c:lblAlgn val="ctr"/>
        <c:lblOffset val="100"/>
        <c:noMultiLvlLbl val="0"/>
      </c:catAx>
      <c:valAx>
        <c:axId val="12878664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42575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073117-0545-4F07-8B6C-6D2B26243264}">
  <sheetPr codeName="Chart5"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CC32FC-295E-416B-BFB5-83BFF42A5DC2}">
  <sheetPr codeName="Chart6"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B0DD6-5E6B-491E-A089-BD9831D7F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9019B-01EF-4B3E-9FA3-692064D482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ry Widyanto" refreshedDate="44050.42729039352" createdVersion="6" refreshedVersion="6" minRefreshableVersion="3" recordCount="6" xr:uid="{1A93B4D2-8BCD-4562-AC0D-1C2E4A49F879}">
  <cacheSource type="worksheet">
    <worksheetSource name="Table2"/>
  </cacheSource>
  <cacheFields count="3">
    <cacheField name="No.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te" numFmtId="171">
      <sharedItems containsSemiMixedTypes="0" containsNonDate="0" containsDate="1" containsString="0" minDate="2020-06-23T00:00:00" maxDate="2020-08-01T00:00:00"/>
    </cacheField>
    <cacheField name="Deposit/Withdraw" numFmtId="0">
      <sharedItems containsSemiMixedTypes="0" containsString="0" containsNumber="1" containsInteger="1" minValue="1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ry Widyanto" refreshedDate="44050.427290509258" createdVersion="6" refreshedVersion="6" minRefreshableVersion="3" recordCount="7" xr:uid="{164FB007-456A-4014-9C2D-C8C276014AB0}">
  <cacheSource type="worksheet">
    <worksheetSource name="Table1"/>
  </cacheSource>
  <cacheFields count="9">
    <cacheField name="Date" numFmtId="170">
      <sharedItems containsSemiMixedTypes="0" containsNonDate="0" containsDate="1" containsString="0" minDate="2020-06-23T00:00:00" maxDate="2020-08-22T00:00:00" count="7">
        <d v="2020-06-23T00:00:00"/>
        <d v="2020-06-26T00:00:00"/>
        <d v="2020-07-03T00:00:00"/>
        <d v="2020-07-17T00:00:00"/>
        <d v="2020-07-31T00:00:00"/>
        <d v="2020-08-07T00:00:00"/>
        <d v="2020-08-21T00:00:00"/>
      </sharedItems>
      <fieldGroup par="8" base="0">
        <rangePr groupBy="days" startDate="2020-06-23T00:00:00" endDate="2020-08-22T00:00:00"/>
        <groupItems count="368">
          <s v="&lt;6/23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2/2020"/>
        </groupItems>
      </fieldGroup>
    </cacheField>
    <cacheField name="Month" numFmtId="0">
      <sharedItems containsSemiMixedTypes="0" containsString="0" containsNumber="1" containsInteger="1" minValue="1" maxValue="3" count="3">
        <n v="1"/>
        <n v="2"/>
        <n v="3"/>
      </sharedItems>
    </cacheField>
    <cacheField name="Ind Week" numFmtId="0">
      <sharedItems containsSemiMixedTypes="0" containsString="0" containsNumber="1" containsInteger="1" minValue="0" maxValue="4"/>
    </cacheField>
    <cacheField name="Week" numFmtId="0">
      <sharedItems containsSemiMixedTypes="0" containsString="0" containsNumber="1" containsInteger="1" minValue="0" maxValue="9" count="8">
        <n v="0"/>
        <n v="1"/>
        <n v="2"/>
        <n v="4"/>
        <n v="6"/>
        <n v="7"/>
        <n v="9"/>
        <n v="8" u="1"/>
      </sharedItems>
    </cacheField>
    <cacheField name="Day" numFmtId="0">
      <sharedItems containsSemiMixedTypes="0" containsString="0" containsNumber="1" containsInteger="1" minValue="1" maxValue="59"/>
    </cacheField>
    <cacheField name="Balance" numFmtId="2">
      <sharedItems containsSemiMixedTypes="0" containsString="0" containsNumber="1" minValue="3000" maxValue="69472.08"/>
    </cacheField>
    <cacheField name="Profit" numFmtId="2">
      <sharedItems containsSemiMixedTypes="0" containsString="0" containsNumber="1" minValue="0" maxValue="56360.950000000004"/>
    </cacheField>
    <cacheField name="Percentage" numFmtId="169">
      <sharedItems containsSemiMixedTypes="0" containsString="0" containsNumber="1" minValue="0" maxValue="4.2987103323664702"/>
    </cacheField>
    <cacheField name="Months" numFmtId="0" databaseField="0">
      <fieldGroup base="0">
        <rangePr groupBy="months" startDate="2020-06-23T00:00:00" endDate="2020-08-22T00:00:00"/>
        <groupItems count="14">
          <s v="&lt;6/2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0-06-23T00:00:00"/>
    <n v="50"/>
  </r>
  <r>
    <x v="1"/>
    <d v="2020-06-24T00:00:00"/>
    <n v="500"/>
  </r>
  <r>
    <x v="2"/>
    <d v="2020-06-29T00:00:00"/>
    <n v="1"/>
  </r>
  <r>
    <x v="3"/>
    <d v="2020-07-09T00:00:00"/>
    <n v="999"/>
  </r>
  <r>
    <x v="4"/>
    <d v="2020-07-23T00:00:00"/>
    <n v="1000"/>
  </r>
  <r>
    <x v="5"/>
    <d v="2020-07-31T00:00:00"/>
    <n v="4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0"/>
    <x v="0"/>
    <n v="1"/>
    <n v="3000"/>
    <n v="0"/>
    <n v="0"/>
  </r>
  <r>
    <x v="1"/>
    <x v="0"/>
    <n v="1"/>
    <x v="1"/>
    <n v="3"/>
    <n v="3007"/>
    <n v="7"/>
    <n v="2.3333333333333335E-3"/>
  </r>
  <r>
    <x v="2"/>
    <x v="0"/>
    <n v="2"/>
    <x v="2"/>
    <n v="10"/>
    <n v="3094"/>
    <n v="87"/>
    <n v="2.8932490854672432E-2"/>
  </r>
  <r>
    <x v="3"/>
    <x v="0"/>
    <n v="4"/>
    <x v="3"/>
    <n v="24"/>
    <n v="3919.65"/>
    <n v="825.65000000000009"/>
    <n v="0.26685520361990955"/>
  </r>
  <r>
    <x v="4"/>
    <x v="1"/>
    <n v="2"/>
    <x v="4"/>
    <n v="38"/>
    <n v="7102.17"/>
    <n v="3182.52"/>
    <n v="0.81193984156748689"/>
  </r>
  <r>
    <x v="5"/>
    <x v="1"/>
    <n v="3"/>
    <x v="5"/>
    <n v="45"/>
    <n v="13111.130000000001"/>
    <n v="6008.9600000000009"/>
    <n v="0.84607380561152445"/>
  </r>
  <r>
    <x v="6"/>
    <x v="2"/>
    <n v="1"/>
    <x v="6"/>
    <n v="59"/>
    <n v="69472.08"/>
    <n v="56360.950000000004"/>
    <n v="4.2987103323664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77039-2A1D-463B-B0D3-9CB5D7E5BB1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7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eposit/Withdraw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AC55D-4F76-4ECF-930B-CDF0C2370F5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2" firstHeaderRow="1" firstDataRow="1" firstDataCol="1"/>
  <pivotFields count="9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dataField="1" numFmtId="2" showAll="0"/>
    <pivotField numFmtId="2" showAll="0"/>
    <pivotField numFmtId="16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7"/>
    </i>
    <i t="grand">
      <x/>
    </i>
  </rowItems>
  <colItems count="1">
    <i/>
  </colItems>
  <dataFields count="1">
    <dataField name="Max of Balance" fld="5" subtotal="max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217AD-9116-4220-BFD2-69FEB33DFD7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9">
    <pivotField numFmtId="170" showAll="0"/>
    <pivotField axis="axisRow" showAll="0">
      <items count="4">
        <item sd="0" x="0"/>
        <item sd="0" x="1"/>
        <item sd="0" x="2"/>
        <item t="default" sd="0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numFmtId="2" showAll="0"/>
    <pivotField dataField="1" numFmtId="2" showAll="0"/>
    <pivotField numFmtId="169" showAll="0"/>
    <pivotField showAll="0" defaultSubtotal="0"/>
  </pivotFields>
  <rowFields count="2">
    <field x="1"/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26FA5-3D21-44E4-BE20-CE8CC530BF99}" name="Table1" displayName="Table1" ref="B4:I11" totalsRowShown="0" dataDxfId="12">
  <autoFilter ref="B4:I11" xr:uid="{5C10BB61-227B-4369-9BC0-F4A2AFBCA4F8}"/>
  <tableColumns count="8">
    <tableColumn id="1" xr3:uid="{B9734566-BE12-485A-9DC3-5765926A5AB2}" name="Date" dataDxfId="11"/>
    <tableColumn id="6" xr3:uid="{980C6C86-0362-4D3E-AE81-3C8B99249299}" name="Month" dataDxfId="10">
      <calculatedColumnFormula>IF(Table1[[#This Row],[Date]]&lt;&gt;DATEVALUE("06/23/2020"),DATEDIF(DATEVALUE("06/19/2020"),B5,"M")+1,1)</calculatedColumnFormula>
    </tableColumn>
    <tableColumn id="8" xr3:uid="{EBA92B4B-3896-4C34-9B22-CB9432941E28}" name="Ind Week" dataDxfId="9">
      <calculatedColumnFormula>IF(Table1[[#This Row],[Month]]=1,Table1[[#This Row],[Week]],Table1[[#This Row],[Week]]-(Table1[[#This Row],[Month]]-1)*4)</calculatedColumnFormula>
    </tableColumn>
    <tableColumn id="5" xr3:uid="{6D9D0D80-E405-4030-AE0F-13C74202E5FF}" name="Week" dataDxfId="8">
      <calculatedColumnFormula>IF(Table1[[#This Row],[Day]]=1,0,(Table1[[#This Row],[Day]]-3+7)/7)</calculatedColumnFormula>
    </tableColumn>
    <tableColumn id="4" xr3:uid="{B2E0931B-039E-4FF7-9B17-2EFE9EBA02D2}" name="Day" dataDxfId="7">
      <calculatedColumnFormula>IF(Table1[[#This Row],[Date]]&lt;&gt;DATEVALUE("06/23/2020"),DATEDIF($B$5,B5,"D"),1)</calculatedColumnFormula>
    </tableColumn>
    <tableColumn id="2" xr3:uid="{38B2CF85-3077-4800-8521-8593AE46B997}" name="Balance" dataDxfId="6">
      <calculatedColumnFormula>IF(Table1[[#This Row],[Ind Week]]=0,D2+Table1[[#This Row],[Profit]],G4+Table1[[#This Row],[Profit]])</calculatedColumnFormula>
    </tableColumn>
    <tableColumn id="7" xr3:uid="{A733B9B6-9019-4227-9438-969C4D5E49A3}" name="Profit" dataDxfId="5"/>
    <tableColumn id="3" xr3:uid="{247A3C9A-552E-4F96-BE5B-B9DFE8F11822}" name="Percentage" dataDxfId="4">
      <calculatedColumnFormula>(G5-G4)/G4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6F320-1AAB-4D82-BFE0-11C6C8B60A56}" name="Table2" displayName="Table2" ref="K4:M10" totalsRowShown="0" headerRowDxfId="3">
  <autoFilter ref="K4:M10" xr:uid="{3FCC42A6-AADA-4630-8364-C471E1C94628}"/>
  <tableColumns count="3">
    <tableColumn id="1" xr3:uid="{3A59C4C4-4FAC-4210-A637-6B31A55AE2EE}" name="No." dataDxfId="2"/>
    <tableColumn id="2" xr3:uid="{4CB363EE-21C8-48EA-B970-4D20923ED8BA}" name="Date" dataDxfId="1"/>
    <tableColumn id="3" xr3:uid="{89EDE25F-3417-4B4B-9BCD-F80613AED59E}" name="Deposit/Withdraw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37B2-199F-47EA-8E90-CAD150033EB1}">
  <sheetPr codeName="Sheet1"/>
  <dimension ref="B2:Y37"/>
  <sheetViews>
    <sheetView showGridLines="0" showRowColHeaders="0" zoomScale="115" zoomScaleNormal="115" workbookViewId="0">
      <selection activeCell="N21" sqref="N21:O21"/>
    </sheetView>
  </sheetViews>
  <sheetFormatPr defaultRowHeight="14.5" x14ac:dyDescent="0.35"/>
  <cols>
    <col min="1" max="1" width="4.54296875" customWidth="1"/>
    <col min="2" max="6" width="15.6328125" style="1" customWidth="1"/>
    <col min="7" max="11" width="15.6328125" customWidth="1"/>
    <col min="12" max="12" width="9.36328125" customWidth="1"/>
    <col min="13" max="13" width="10.90625" customWidth="1"/>
    <col min="15" max="15" width="10.54296875" bestFit="1" customWidth="1"/>
    <col min="17" max="23" width="0" hidden="1" customWidth="1"/>
    <col min="25" max="25" width="11.08984375" bestFit="1" customWidth="1"/>
  </cols>
  <sheetData>
    <row r="2" spans="2:25" x14ac:dyDescent="0.35">
      <c r="B2" s="2">
        <v>1</v>
      </c>
      <c r="C2" s="3">
        <f>ROUNDDOWN((N2-$N$3)/(1-$N$4)/$N$6,0)*$N$4*$N$6+N2</f>
        <v>3408</v>
      </c>
      <c r="D2" s="4">
        <v>11</v>
      </c>
      <c r="E2" s="3">
        <f>IF(MOD(D2,4)=1,ROUNDDOWN((C11-$N$3)/(1-$N$4)/$N$6,0)*$N$4*$N$6+C11+$N$5,ROUNDDOWN((C11-$N$3)/(1-$N$4)/$N$6,0)*$N$4*$N$6+C11)</f>
        <v>12084</v>
      </c>
      <c r="F2" s="31">
        <v>21</v>
      </c>
      <c r="G2" s="3">
        <f t="shared" ref="G2:K2" si="0">IF(MOD(F2,4)=1,ROUNDDOWN((E11-$N$3)/(1-$N$4)/$N$6,0)*$N$4*$N$6+E11+$N$5,ROUNDDOWN((E11-$N$3)/(1-$N$4)/$N$6,0)*$N$4*$N$6+E11)</f>
        <v>43308</v>
      </c>
      <c r="H2" s="31">
        <v>31</v>
      </c>
      <c r="I2" s="3">
        <f t="shared" si="0"/>
        <v>155424</v>
      </c>
      <c r="J2" s="31">
        <v>41</v>
      </c>
      <c r="K2" s="5">
        <f t="shared" si="0"/>
        <v>557976</v>
      </c>
      <c r="M2" s="22" t="s">
        <v>0</v>
      </c>
      <c r="N2" s="49">
        <v>3000</v>
      </c>
      <c r="O2" s="49"/>
      <c r="P2" s="49"/>
      <c r="Q2" s="23">
        <f>IF(MOD(B2,4)=0,(C2-N2)/N2,(C2-N2)/N2)</f>
        <v>0.13600000000000001</v>
      </c>
      <c r="R2" s="23">
        <f>IF(MOD(D2,4)=1,(E2-C11-$N$5)/C11,(E2-C11)/C11)</f>
        <v>0.13528748590755355</v>
      </c>
      <c r="S2" s="23">
        <f>IF(MOD(F2,4)=1,(G2-E11-$N$5)/E11,(G2-E11)/E11)</f>
        <v>0.13633501259445843</v>
      </c>
      <c r="T2" s="23">
        <f>IF(MOD(H2,4)=1,(I2-G11-$N$5)/G11,(I2-G11)/G11)</f>
        <v>0.13633970872082821</v>
      </c>
      <c r="U2" s="23">
        <f>IF(MOD(J2,4)=1,(K2-I11-$N$5)/I11,(K2-I11)/I11)</f>
        <v>0.13634253036486718</v>
      </c>
    </row>
    <row r="3" spans="2:25" x14ac:dyDescent="0.35">
      <c r="B3" s="14">
        <v>2</v>
      </c>
      <c r="C3" s="15">
        <f>IF(MOD(B3,4)=1,ROUNDDOWN((C2-$N$3)/(1-$N$4)/$N$6,0)*$N$4*$N$6+C2+$N$5,ROUNDDOWN((C2-$N$3)/(1-$N$4)/$N$6,0)*$N$4*$N$6+C2)</f>
        <v>3864</v>
      </c>
      <c r="D3" s="30">
        <v>12</v>
      </c>
      <c r="E3" s="15">
        <f t="shared" ref="E3:K11" si="1">IF(MOD(D3,4)=1,ROUNDDOWN((E2-$N$3)/(1-$N$4)/$N$6,0)*$N$4*$N$6+E2+$N$5,ROUNDDOWN((E2-$N$3)/(1-$N$4)/$N$6,0)*$N$4*$N$6+E2)</f>
        <v>13728</v>
      </c>
      <c r="F3" s="30">
        <v>22</v>
      </c>
      <c r="G3" s="15">
        <f t="shared" si="1"/>
        <v>49212</v>
      </c>
      <c r="H3" s="30">
        <v>32</v>
      </c>
      <c r="I3" s="15">
        <f t="shared" si="1"/>
        <v>176616</v>
      </c>
      <c r="J3" s="30">
        <v>42</v>
      </c>
      <c r="K3" s="17">
        <f t="shared" si="1"/>
        <v>634056</v>
      </c>
      <c r="M3" s="35" t="s">
        <v>10</v>
      </c>
      <c r="N3" s="54">
        <v>0</v>
      </c>
      <c r="O3" s="54"/>
      <c r="P3" s="54"/>
      <c r="Q3" s="23">
        <f>IF(MOD(B3,4)=1,(C3-C2-$N$5)/C2,(C3-C2)/C2)</f>
        <v>0.13380281690140844</v>
      </c>
      <c r="R3" s="23">
        <f>IF(MOD(D3,4)=1,(E3-E2-$N$5)/E2,(E3-E2)/E2)</f>
        <v>0.13604766633565044</v>
      </c>
      <c r="S3" s="23">
        <f>IF(MOD(F3,4)=1,(G3-G2-$N$5)/G2,(G3-G2)/G2)</f>
        <v>0.13632585203657524</v>
      </c>
      <c r="T3" s="23">
        <f>IF(MOD(H3,4)=1,(I3-I2-$N$5)/I2,(I3-I2)/I2)</f>
        <v>0.13634959851760345</v>
      </c>
      <c r="U3" s="23">
        <f>IF(MOD(J3,4)=1,(K3-K2-$N$5)/K2,(K3-K2)/K2)</f>
        <v>0.13634995053550691</v>
      </c>
    </row>
    <row r="4" spans="2:25" x14ac:dyDescent="0.35">
      <c r="B4" s="6">
        <v>3</v>
      </c>
      <c r="C4" s="7">
        <f t="shared" ref="C4:C11" si="2">IF(MOD(B4,4)=1,ROUNDDOWN((C3-$N$3)/(1-$N$4)/$N$6,0)*$N$4*$N$6+C3+$N$5,ROUNDDOWN((C3-$N$3)/(1-$N$4)/$N$6,0)*$N$4*$N$6+C3)</f>
        <v>4380</v>
      </c>
      <c r="D4" s="8">
        <v>13</v>
      </c>
      <c r="E4" s="7">
        <f t="shared" si="1"/>
        <v>15600</v>
      </c>
      <c r="F4" s="8">
        <v>23</v>
      </c>
      <c r="G4" s="7">
        <f t="shared" si="1"/>
        <v>55920</v>
      </c>
      <c r="H4" s="8">
        <v>33</v>
      </c>
      <c r="I4" s="7">
        <f t="shared" si="1"/>
        <v>200700</v>
      </c>
      <c r="J4" s="8">
        <v>43</v>
      </c>
      <c r="K4" s="9">
        <f t="shared" si="1"/>
        <v>720516</v>
      </c>
      <c r="M4" s="22" t="s">
        <v>1</v>
      </c>
      <c r="N4" s="55">
        <v>0.12</v>
      </c>
      <c r="O4" s="55"/>
      <c r="P4" s="55"/>
      <c r="Q4" s="23">
        <f>IF(MOD(B4,4)=1,(C4-C3-$N$5)/C3,(C4-C3)/C3)</f>
        <v>0.13354037267080746</v>
      </c>
      <c r="R4" s="23">
        <f>IF(MOD(D4,4)=1,(E4-E3-$N$5)/E3,(E4-E3)/E3)</f>
        <v>0.13636363636363635</v>
      </c>
      <c r="S4" s="23">
        <f>IF(MOD(F4,4)=1,(G4-G3-$N$5)/G3,(G4-G3)/G3)</f>
        <v>0.13630821750792491</v>
      </c>
      <c r="T4" s="23">
        <f>IF(MOD(H4,4)=1,(I4-I3-$N$5)/I3,(I4-I3)/I3)</f>
        <v>0.13636363636363635</v>
      </c>
      <c r="U4" s="23">
        <f>IF(MOD(J4,4)=1,(K4-K3-$N$5)/K3,(K4-K3)/K3)</f>
        <v>0.13636019531397858</v>
      </c>
      <c r="Y4" s="34">
        <f>(C5-N2)/N2</f>
        <v>0.65600000000000003</v>
      </c>
    </row>
    <row r="5" spans="2:25" x14ac:dyDescent="0.35">
      <c r="B5" s="14">
        <v>4</v>
      </c>
      <c r="C5" s="15">
        <f t="shared" si="2"/>
        <v>4968</v>
      </c>
      <c r="D5" s="16">
        <v>14</v>
      </c>
      <c r="E5" s="15">
        <f t="shared" si="1"/>
        <v>17724</v>
      </c>
      <c r="F5" s="16">
        <v>24</v>
      </c>
      <c r="G5" s="15">
        <f t="shared" si="1"/>
        <v>63540</v>
      </c>
      <c r="H5" s="16">
        <v>34</v>
      </c>
      <c r="I5" s="15">
        <f t="shared" si="1"/>
        <v>228060</v>
      </c>
      <c r="J5" s="16">
        <v>44</v>
      </c>
      <c r="K5" s="17">
        <f t="shared" si="1"/>
        <v>818760</v>
      </c>
      <c r="M5" s="22" t="s">
        <v>2</v>
      </c>
      <c r="N5" s="49">
        <v>0</v>
      </c>
      <c r="O5" s="49"/>
      <c r="P5" s="49"/>
      <c r="Q5" s="23">
        <f>IF(MOD(B5,4)=1,(C5-C4-$N$5)/C4,(C5-C4)/C4)</f>
        <v>0.13424657534246576</v>
      </c>
      <c r="R5" s="23">
        <f>IF(MOD(D5,4)=1,(E5-E4-$N$5)/E4,(E5-E4)/E4)</f>
        <v>0.13615384615384615</v>
      </c>
      <c r="S5" s="23">
        <f>IF(MOD(F5,4)=1,(G5-G4-$N$5)/G4,(G5-G4)/G4)</f>
        <v>0.13626609442060086</v>
      </c>
      <c r="T5" s="23">
        <f>IF(MOD(H5,4)=1,(I5-I4-$N$5)/I4,(I5-I4)/I4)</f>
        <v>0.13632286995515694</v>
      </c>
      <c r="U5" s="23">
        <f>IF(MOD(J5,4)=1,(K5-K4-$N$5)/K4,(K5-K4)/K4)</f>
        <v>0.13635228086537982</v>
      </c>
      <c r="Y5" s="36">
        <f>C5-N2</f>
        <v>1968</v>
      </c>
    </row>
    <row r="6" spans="2:25" x14ac:dyDescent="0.35">
      <c r="B6" s="6">
        <v>5</v>
      </c>
      <c r="C6" s="7">
        <f t="shared" si="2"/>
        <v>5640</v>
      </c>
      <c r="D6" s="8">
        <v>15</v>
      </c>
      <c r="E6" s="7">
        <f t="shared" si="1"/>
        <v>20136</v>
      </c>
      <c r="F6" s="8">
        <v>25</v>
      </c>
      <c r="G6" s="7">
        <f t="shared" si="1"/>
        <v>72204</v>
      </c>
      <c r="H6" s="8">
        <v>35</v>
      </c>
      <c r="I6" s="7">
        <f t="shared" si="1"/>
        <v>259152</v>
      </c>
      <c r="J6" s="8">
        <v>45</v>
      </c>
      <c r="K6" s="9">
        <f t="shared" si="1"/>
        <v>930408</v>
      </c>
      <c r="M6" s="25" t="s">
        <v>13</v>
      </c>
      <c r="N6" s="49">
        <v>100</v>
      </c>
      <c r="O6" s="49"/>
      <c r="P6" s="49"/>
      <c r="Y6" s="36">
        <f>C5</f>
        <v>4968</v>
      </c>
    </row>
    <row r="7" spans="2:25" x14ac:dyDescent="0.35">
      <c r="B7" s="14">
        <v>6</v>
      </c>
      <c r="C7" s="15">
        <f t="shared" si="2"/>
        <v>6408</v>
      </c>
      <c r="D7" s="16">
        <v>16</v>
      </c>
      <c r="E7" s="15">
        <f t="shared" si="1"/>
        <v>22872</v>
      </c>
      <c r="F7" s="16">
        <v>26</v>
      </c>
      <c r="G7" s="15">
        <f t="shared" si="1"/>
        <v>82044</v>
      </c>
      <c r="H7" s="16">
        <v>36</v>
      </c>
      <c r="I7" s="15">
        <f t="shared" si="1"/>
        <v>294480</v>
      </c>
      <c r="J7" s="16">
        <v>46</v>
      </c>
      <c r="K7" s="17">
        <f t="shared" si="1"/>
        <v>1057272</v>
      </c>
    </row>
    <row r="8" spans="2:25" x14ac:dyDescent="0.35">
      <c r="B8" s="6">
        <v>7</v>
      </c>
      <c r="C8" s="7">
        <f t="shared" si="2"/>
        <v>7272</v>
      </c>
      <c r="D8" s="8">
        <v>17</v>
      </c>
      <c r="E8" s="7">
        <f t="shared" si="1"/>
        <v>25980</v>
      </c>
      <c r="F8" s="8">
        <v>27</v>
      </c>
      <c r="G8" s="7">
        <f t="shared" si="1"/>
        <v>93228</v>
      </c>
      <c r="H8" s="8">
        <v>37</v>
      </c>
      <c r="I8" s="7">
        <f t="shared" si="1"/>
        <v>334632</v>
      </c>
      <c r="J8" s="8">
        <v>47</v>
      </c>
      <c r="K8" s="9">
        <f t="shared" si="1"/>
        <v>1201440</v>
      </c>
      <c r="M8" s="25" t="s">
        <v>5</v>
      </c>
      <c r="N8" s="56">
        <f>AVERAGE(Q2:U6)</f>
        <v>0.13587291734359427</v>
      </c>
      <c r="O8" s="56"/>
      <c r="P8" s="56"/>
      <c r="Q8" s="23">
        <f>IF(MOD(B6,4)=1,(C6-C5-$N$5)/C5,(C6-C5)/C5)</f>
        <v>0.13526570048309178</v>
      </c>
      <c r="R8" s="23">
        <f>IF(MOD(D6,4)=1,(E6-E5-$N$5)/E5,(E6-E5)/E5)</f>
        <v>0.13608666215301288</v>
      </c>
      <c r="S8" s="23">
        <f>IF(MOD(F6,4)=1,(G6-G5-$N$5)/G5,(G6-G5)/G5)</f>
        <v>0.13635505193578848</v>
      </c>
      <c r="T8" s="23">
        <f>IF(MOD(H6,4)=1,(I6-I5-$N$5)/I5,(I6-I5)/I5)</f>
        <v>0.13633254406735071</v>
      </c>
      <c r="U8" s="23">
        <f>IF(MOD(J6,4)=1,(K6-K5-$N$5)/K5,(K6-K5)/K5)</f>
        <v>0.13636230397185989</v>
      </c>
      <c r="W8" s="24">
        <f>AVERAGE(Q2:U6)</f>
        <v>0.13587291734359427</v>
      </c>
    </row>
    <row r="9" spans="2:25" x14ac:dyDescent="0.35">
      <c r="B9" s="14">
        <v>8</v>
      </c>
      <c r="C9" s="15">
        <f t="shared" si="2"/>
        <v>8256</v>
      </c>
      <c r="D9" s="16">
        <v>18</v>
      </c>
      <c r="E9" s="15">
        <f t="shared" si="1"/>
        <v>29520</v>
      </c>
      <c r="F9" s="16">
        <v>28</v>
      </c>
      <c r="G9" s="15">
        <f t="shared" si="1"/>
        <v>105936</v>
      </c>
      <c r="H9" s="16">
        <v>38</v>
      </c>
      <c r="I9" s="15">
        <f t="shared" si="1"/>
        <v>380256</v>
      </c>
      <c r="J9" s="16">
        <v>48</v>
      </c>
      <c r="K9" s="17">
        <f t="shared" si="1"/>
        <v>1365264</v>
      </c>
      <c r="Q9" s="23">
        <f>IF(MOD(B7,4)=1,(C7-C6-$N$5)/C6,(C7-C6)/C6)</f>
        <v>0.13617021276595745</v>
      </c>
      <c r="R9" s="23">
        <f>IF(MOD(D7,4)=1,(E7-E6-$N$5)/E6,(E7-E6)/E6)</f>
        <v>0.13587604290822408</v>
      </c>
      <c r="S9" s="23">
        <f>IF(MOD(F7,4)=1,(G7-G6-$N$5)/G6,(G7-G6)/G6)</f>
        <v>0.13628053847432275</v>
      </c>
      <c r="T9" s="23">
        <f>IF(MOD(H7,4)=1,(I7-I6-$N$5)/I6,(I7-I6)/I6)</f>
        <v>0.13632154102611596</v>
      </c>
      <c r="U9" s="23">
        <f>IF(MOD(J7,4)=1,(K7-K6-$N$5)/K6,(K7-K6)/K6)</f>
        <v>0.13635308380839373</v>
      </c>
    </row>
    <row r="10" spans="2:25" x14ac:dyDescent="0.35">
      <c r="B10" s="18">
        <v>9</v>
      </c>
      <c r="C10" s="19">
        <f t="shared" si="2"/>
        <v>9372</v>
      </c>
      <c r="D10" s="20">
        <v>19</v>
      </c>
      <c r="E10" s="19">
        <f t="shared" si="1"/>
        <v>33540</v>
      </c>
      <c r="F10" s="20">
        <v>29</v>
      </c>
      <c r="G10" s="19">
        <f t="shared" si="1"/>
        <v>120372</v>
      </c>
      <c r="H10" s="20">
        <v>39</v>
      </c>
      <c r="I10" s="19">
        <f t="shared" si="1"/>
        <v>432108</v>
      </c>
      <c r="J10" s="20">
        <v>49</v>
      </c>
      <c r="K10" s="21">
        <f t="shared" si="1"/>
        <v>1551432</v>
      </c>
      <c r="M10" s="35" t="s">
        <v>3</v>
      </c>
      <c r="N10" s="49">
        <f>C14</f>
        <v>2276556</v>
      </c>
      <c r="O10" s="49"/>
      <c r="P10" s="49"/>
      <c r="Q10" s="23">
        <f>IF(MOD(B8,4)=1,(C8-C7-$N$5)/C7,(C8-C7)/C7)</f>
        <v>0.1348314606741573</v>
      </c>
      <c r="R10" s="23">
        <f>IF(MOD(D8,4)=1,(E8-E7-$N$5)/E7,(E8-E7)/E7)</f>
        <v>0.13588667366211962</v>
      </c>
      <c r="S10" s="23">
        <f>IF(MOD(F8,4)=1,(G8-G7-$N$5)/G7,(G8-G7)/G7)</f>
        <v>0.13631709814246015</v>
      </c>
      <c r="T10" s="23">
        <f>IF(MOD(H8,4)=1,(I8-I7-$N$5)/I7,(I8-I7)/I7)</f>
        <v>0.13634881825590872</v>
      </c>
      <c r="U10" s="23">
        <f>IF(MOD(J8,4)=1,(K8-K7-$N$5)/K7,(K8-K7)/K7)</f>
        <v>0.13635847728872041</v>
      </c>
      <c r="Y10" s="28"/>
    </row>
    <row r="11" spans="2:25" x14ac:dyDescent="0.35">
      <c r="B11" s="10">
        <v>10</v>
      </c>
      <c r="C11" s="11">
        <f t="shared" si="2"/>
        <v>10644</v>
      </c>
      <c r="D11" s="12">
        <v>20</v>
      </c>
      <c r="E11" s="11">
        <f>IF(MOD(D11,4)=1,ROUNDDOWN((E10-$N$3)/(1-$N$4)/$N$6,0)*$N$4*$N$6+E10+$N$5,ROUNDDOWN((E10-$N$3)/(1-$N$4)/$N$6,0)*$N$4*$N$6+E10)</f>
        <v>38112</v>
      </c>
      <c r="F11" s="12">
        <v>30</v>
      </c>
      <c r="G11" s="11">
        <f t="shared" si="1"/>
        <v>136776</v>
      </c>
      <c r="H11" s="12">
        <v>40</v>
      </c>
      <c r="I11" s="11">
        <f t="shared" si="1"/>
        <v>491028</v>
      </c>
      <c r="J11" s="12">
        <v>50</v>
      </c>
      <c r="K11" s="13">
        <f t="shared" si="1"/>
        <v>1762980</v>
      </c>
      <c r="M11" s="35" t="s">
        <v>4</v>
      </c>
      <c r="N11" s="49">
        <f>C27</f>
        <v>1754573544</v>
      </c>
      <c r="O11" s="49"/>
      <c r="P11" s="49"/>
      <c r="Q11" s="23">
        <f>IF(MOD(B9,4)=1,(C9-C8-$N$5)/C8,(C9-C8)/C8)</f>
        <v>0.13531353135313531</v>
      </c>
      <c r="R11" s="23">
        <f>IF(MOD(D9,4)=1,(E9-E8-$N$5)/E8,(E9-E8)/E8)</f>
        <v>0.13625866050808313</v>
      </c>
      <c r="S11" s="23">
        <f>IF(MOD(F9,4)=1,(G9-G8-$N$5)/G8,(G9-G8)/G8)</f>
        <v>0.13631097953404556</v>
      </c>
      <c r="T11" s="23">
        <f>IF(MOD(H9,4)=1,(I9-I8-$N$5)/I8,(I9-I8)/I8)</f>
        <v>0.13634081618016208</v>
      </c>
      <c r="U11" s="23">
        <f>IF(MOD(J9,4)=1,(K9-K8-$N$5)/K8,(K9-K8)/K8)</f>
        <v>0.13635637235317619</v>
      </c>
    </row>
    <row r="12" spans="2:25" x14ac:dyDescent="0.35">
      <c r="G12" s="11"/>
      <c r="K12" s="11"/>
      <c r="L12" s="32"/>
      <c r="Q12" s="23">
        <f>IF(MOD(B10,4)=1,(C10-C9-$N$5)/C9,(C10-C9)/C9)</f>
        <v>0.13517441860465115</v>
      </c>
      <c r="R12" s="23">
        <f>IF(MOD(D10,4)=1,(E10-E9-$N$5)/E9,(E10-E9)/E9)</f>
        <v>0.13617886178861788</v>
      </c>
      <c r="S12" s="23">
        <f>IF(MOD(F10,4)=1,(G10-G9-$N$5)/G9,(G10-G9)/G9)</f>
        <v>0.13627095604893522</v>
      </c>
      <c r="T12" s="23">
        <f>IF(MOD(H10,4)=1,(I10-I9-$N$5)/I9,(I10-I9)/I9)</f>
        <v>0.13636076748295886</v>
      </c>
      <c r="U12" s="23">
        <f>IF(MOD(J10,4)=1,(K10-K9-$N$5)/K9,(K10-K9)/K9)</f>
        <v>0.13636044017860283</v>
      </c>
    </row>
    <row r="13" spans="2:25" x14ac:dyDescent="0.35">
      <c r="B13" s="2">
        <v>51</v>
      </c>
      <c r="C13" s="3">
        <f>IF(MOD(B13,4)=1,ROUNDDOWN((K11-$N$3)/(1-$N$4)/$N$6,0)*$N$4*$N$6+K11+$N$5,ROUNDDOWN((K11-$N$3)/(1-$N$4)/$N$6,0)*$N$4*$N$6+K11)</f>
        <v>2003376</v>
      </c>
      <c r="D13" s="4">
        <v>61</v>
      </c>
      <c r="E13" s="3">
        <f>IF(MOD(D13,4)=1,ROUNDDOWN((C22-$N$3)/(1-$N$4)/$N$6,0)*$N$4*$N$6+C22+$N$5,ROUNDDOWN((C22-$N$3)/(1-$N$4)/$N$6,0)*$N$4*$N$6+C22)</f>
        <v>7193316</v>
      </c>
      <c r="F13" s="31">
        <v>71</v>
      </c>
      <c r="G13" s="3">
        <f t="shared" ref="G13" si="3">IF(MOD(F13,4)=1,ROUNDDOWN((E22-$N$3)/(1-$N$4)/$N$6,0)*$N$4*$N$6+E22+$N$5,ROUNDDOWN((E22-$N$3)/(1-$N$4)/$N$6,0)*$N$4*$N$6+E22)</f>
        <v>25828572</v>
      </c>
      <c r="H13" s="31">
        <v>81</v>
      </c>
      <c r="I13" s="3">
        <f t="shared" ref="I13" si="4">IF(MOD(H13,4)=1,ROUNDDOWN((G22-$N$3)/(1-$N$4)/$N$6,0)*$N$4*$N$6+G22+$N$5,ROUNDDOWN((G22-$N$3)/(1-$N$4)/$N$6,0)*$N$4*$N$6+G22)</f>
        <v>92741304</v>
      </c>
      <c r="J13" s="31">
        <v>91</v>
      </c>
      <c r="K13" s="5">
        <f t="shared" ref="K13" si="5">IF(MOD(J13,4)=1,ROUNDDOWN((I22-$N$3)/(1-$N$4)/$N$6,0)*$N$4*$N$6+I22+$N$5,ROUNDDOWN((I22-$N$3)/(1-$N$4)/$N$6,0)*$N$4*$N$6+I22)</f>
        <v>333001632</v>
      </c>
      <c r="M13" s="35" t="s">
        <v>6</v>
      </c>
      <c r="N13" s="52" t="s">
        <v>15</v>
      </c>
      <c r="O13" s="53"/>
      <c r="P13" s="57" t="s">
        <v>16</v>
      </c>
      <c r="Q13" s="57"/>
      <c r="R13" s="57"/>
      <c r="S13" s="57"/>
      <c r="T13" s="57"/>
      <c r="U13" s="57"/>
      <c r="V13" s="57"/>
      <c r="W13" s="57"/>
      <c r="X13" s="57"/>
      <c r="Y13" s="22" t="s">
        <v>7</v>
      </c>
    </row>
    <row r="14" spans="2:25" x14ac:dyDescent="0.35">
      <c r="B14" s="14">
        <v>52</v>
      </c>
      <c r="C14" s="15">
        <f>IF(MOD(B14,4)=1,ROUNDDOWN((C13-$N$3)/(1-$N$4)/$N$6,0)*$N$4*$N$6+C13+$N$5,ROUNDDOWN((C13-$N$3)/(1-$N$4)/$N$6,0)*$N$4*$N$6+C13)</f>
        <v>2276556</v>
      </c>
      <c r="D14" s="30">
        <v>62</v>
      </c>
      <c r="E14" s="15">
        <f>IF(MOD(D14,4)=1,ROUNDDOWN((E13-$N$3)/(1-$N$4)/$N$6,0)*$N$4*$N$6+E13+$N$5,ROUNDDOWN((E13-$N$3)/(1-$N$4)/$N$6,0)*$N$4*$N$6+E13)</f>
        <v>8174220</v>
      </c>
      <c r="F14" s="30">
        <v>72</v>
      </c>
      <c r="G14" s="15">
        <f t="shared" ref="G14:G22" si="6">IF(MOD(F14,4)=1,ROUNDDOWN((G13-$N$3)/(1-$N$4)/$N$6,0)*$N$4*$N$6+G13+$N$5,ROUNDDOWN((G13-$N$3)/(1-$N$4)/$N$6,0)*$N$4*$N$6+G13)</f>
        <v>29350644</v>
      </c>
      <c r="H14" s="30">
        <v>82</v>
      </c>
      <c r="I14" s="15">
        <f t="shared" ref="I14:I22" si="7">IF(MOD(H14,4)=1,ROUNDDOWN((I13-$N$3)/(1-$N$4)/$N$6,0)*$N$4*$N$6+I13+$N$5,ROUNDDOWN((I13-$N$3)/(1-$N$4)/$N$6,0)*$N$4*$N$6+I13)</f>
        <v>105387840</v>
      </c>
      <c r="J14" s="30">
        <v>92</v>
      </c>
      <c r="K14" s="17">
        <f t="shared" ref="K14:K22" si="8">IF(MOD(J14,4)=1,ROUNDDOWN((K13-$N$3)/(1-$N$4)/$N$6,0)*$N$4*$N$6+K13+$N$5,ROUNDDOWN((K13-$N$3)/(1-$N$4)/$N$6,0)*$N$4*$N$6+K13)</f>
        <v>378410940</v>
      </c>
      <c r="M14" s="35">
        <v>1</v>
      </c>
      <c r="N14" s="50">
        <f>C5</f>
        <v>4968</v>
      </c>
      <c r="O14" s="51"/>
      <c r="P14" s="49">
        <f>N14-N2</f>
        <v>1968</v>
      </c>
      <c r="Q14" s="49"/>
      <c r="R14" s="49"/>
      <c r="S14" s="49"/>
      <c r="T14" s="49"/>
      <c r="U14" s="49"/>
      <c r="V14" s="49"/>
      <c r="W14" s="49"/>
      <c r="X14" s="49"/>
      <c r="Y14" s="38">
        <f>(N14-N2)/N2</f>
        <v>0.65600000000000003</v>
      </c>
    </row>
    <row r="15" spans="2:25" x14ac:dyDescent="0.35">
      <c r="B15" s="2">
        <v>53</v>
      </c>
      <c r="C15" s="7">
        <f t="shared" ref="C15:C22" si="9">IF(MOD(B15,4)=1,ROUNDDOWN((C14-$N$3)/(1-$N$4)/$N$6,0)*$N$4*$N$6+C14+$N$5,ROUNDDOWN((C14-$N$3)/(1-$N$4)/$N$6,0)*$N$4*$N$6+C14)</f>
        <v>2586984</v>
      </c>
      <c r="D15" s="4">
        <v>63</v>
      </c>
      <c r="E15" s="7">
        <f t="shared" ref="E15:E21" si="10">IF(MOD(D15,4)=1,ROUNDDOWN((E14-$N$3)/(1-$N$4)/$N$6,0)*$N$4*$N$6+E14+$N$5,ROUNDDOWN((E14-$N$3)/(1-$N$4)/$N$6,0)*$N$4*$N$6+E14)</f>
        <v>9288876</v>
      </c>
      <c r="F15" s="31">
        <v>73</v>
      </c>
      <c r="G15" s="7">
        <f t="shared" si="6"/>
        <v>33353004</v>
      </c>
      <c r="H15" s="31">
        <v>83</v>
      </c>
      <c r="I15" s="7">
        <f t="shared" si="7"/>
        <v>119758908</v>
      </c>
      <c r="J15" s="31">
        <v>93</v>
      </c>
      <c r="K15" s="9">
        <f t="shared" si="8"/>
        <v>430012428</v>
      </c>
      <c r="M15" s="35">
        <v>2</v>
      </c>
      <c r="N15" s="50">
        <f>C9</f>
        <v>8256</v>
      </c>
      <c r="O15" s="51"/>
      <c r="P15" s="49">
        <f>N15-N14</f>
        <v>3288</v>
      </c>
      <c r="Q15" s="49"/>
      <c r="R15" s="49"/>
      <c r="S15" s="49"/>
      <c r="T15" s="49"/>
      <c r="U15" s="49"/>
      <c r="V15" s="49"/>
      <c r="W15" s="49"/>
      <c r="X15" s="49"/>
      <c r="Y15" s="38">
        <f t="shared" ref="Y15:Y26" si="11">(N15-N14)/N14</f>
        <v>0.66183574879227058</v>
      </c>
    </row>
    <row r="16" spans="2:25" x14ac:dyDescent="0.35">
      <c r="B16" s="14">
        <v>54</v>
      </c>
      <c r="C16" s="15">
        <f t="shared" si="9"/>
        <v>2939748</v>
      </c>
      <c r="D16" s="30">
        <v>64</v>
      </c>
      <c r="E16" s="15">
        <f t="shared" si="10"/>
        <v>10555536</v>
      </c>
      <c r="F16" s="30">
        <v>74</v>
      </c>
      <c r="G16" s="15">
        <f t="shared" si="6"/>
        <v>37901136</v>
      </c>
      <c r="H16" s="30">
        <v>84</v>
      </c>
      <c r="I16" s="15">
        <f t="shared" si="7"/>
        <v>136089660</v>
      </c>
      <c r="J16" s="30">
        <v>94</v>
      </c>
      <c r="K16" s="17">
        <f t="shared" si="8"/>
        <v>488650476</v>
      </c>
      <c r="M16" s="35">
        <v>3</v>
      </c>
      <c r="N16" s="50">
        <f>E3</f>
        <v>13728</v>
      </c>
      <c r="O16" s="51"/>
      <c r="P16" s="49">
        <f t="shared" ref="P16:P26" si="12">N16-N15</f>
        <v>5472</v>
      </c>
      <c r="Q16" s="49"/>
      <c r="R16" s="49"/>
      <c r="S16" s="49"/>
      <c r="T16" s="49"/>
      <c r="U16" s="49"/>
      <c r="V16" s="49"/>
      <c r="W16" s="49"/>
      <c r="X16" s="49"/>
      <c r="Y16" s="38">
        <f t="shared" si="11"/>
        <v>0.66279069767441856</v>
      </c>
    </row>
    <row r="17" spans="2:25" x14ac:dyDescent="0.35">
      <c r="B17" s="2">
        <v>55</v>
      </c>
      <c r="C17" s="7">
        <f>IF(MOD(B17,4)=1,ROUNDDOWN((C16-$N$3)/(1-$N$4)/$N$6,0)*$N$4*$N$6+C16+$N$5,ROUNDDOWN((C16-$N$3)/(1-$N$4)/$N$6,0)*$N$4*$N$6+C16)</f>
        <v>3340620</v>
      </c>
      <c r="D17" s="4">
        <v>65</v>
      </c>
      <c r="E17" s="7">
        <f t="shared" si="10"/>
        <v>11994924</v>
      </c>
      <c r="F17" s="31">
        <v>75</v>
      </c>
      <c r="G17" s="7">
        <f t="shared" si="6"/>
        <v>43069464</v>
      </c>
      <c r="H17" s="31">
        <v>85</v>
      </c>
      <c r="I17" s="7">
        <f t="shared" si="7"/>
        <v>154647336</v>
      </c>
      <c r="J17" s="31">
        <v>95</v>
      </c>
      <c r="K17" s="9">
        <f t="shared" si="8"/>
        <v>555284628</v>
      </c>
      <c r="M17" s="35">
        <v>4</v>
      </c>
      <c r="N17" s="50">
        <f>E7</f>
        <v>22872</v>
      </c>
      <c r="O17" s="51"/>
      <c r="P17" s="49">
        <f t="shared" si="12"/>
        <v>9144</v>
      </c>
      <c r="Q17" s="49"/>
      <c r="R17" s="49"/>
      <c r="S17" s="49"/>
      <c r="T17" s="49"/>
      <c r="U17" s="49"/>
      <c r="V17" s="49"/>
      <c r="W17" s="49"/>
      <c r="X17" s="49"/>
      <c r="Y17" s="38">
        <f t="shared" si="11"/>
        <v>0.66608391608391604</v>
      </c>
    </row>
    <row r="18" spans="2:25" x14ac:dyDescent="0.35">
      <c r="B18" s="14">
        <v>56</v>
      </c>
      <c r="C18" s="15">
        <f>IF(MOD(B18,4)=1,ROUNDDOWN((C17-$N$3)/(1-$N$4)/$N$6,0)*$N$4*$N$6+C17+$N$5,ROUNDDOWN((C17-$N$3)/(1-$N$4)/$N$6,0)*$N$4*$N$6+C17)</f>
        <v>3796152</v>
      </c>
      <c r="D18" s="30">
        <v>66</v>
      </c>
      <c r="E18" s="15">
        <f t="shared" si="10"/>
        <v>13630584</v>
      </c>
      <c r="F18" s="30">
        <v>76</v>
      </c>
      <c r="G18" s="15">
        <f t="shared" si="6"/>
        <v>48942564</v>
      </c>
      <c r="H18" s="30">
        <v>86</v>
      </c>
      <c r="I18" s="15">
        <f t="shared" si="7"/>
        <v>175735608</v>
      </c>
      <c r="J18" s="30">
        <v>96</v>
      </c>
      <c r="K18" s="17">
        <f t="shared" si="8"/>
        <v>631005252</v>
      </c>
      <c r="M18" s="35">
        <v>5</v>
      </c>
      <c r="N18" s="50">
        <f>E11</f>
        <v>38112</v>
      </c>
      <c r="O18" s="51"/>
      <c r="P18" s="49">
        <f t="shared" si="12"/>
        <v>15240</v>
      </c>
      <c r="Q18" s="49"/>
      <c r="R18" s="49"/>
      <c r="S18" s="49"/>
      <c r="T18" s="49"/>
      <c r="U18" s="49"/>
      <c r="V18" s="49"/>
      <c r="W18" s="49"/>
      <c r="X18" s="49"/>
      <c r="Y18" s="38">
        <f t="shared" si="11"/>
        <v>0.66631689401888772</v>
      </c>
    </row>
    <row r="19" spans="2:25" x14ac:dyDescent="0.35">
      <c r="B19" s="2">
        <v>57</v>
      </c>
      <c r="C19" s="7">
        <f t="shared" si="9"/>
        <v>4313808</v>
      </c>
      <c r="D19" s="4">
        <v>67</v>
      </c>
      <c r="E19" s="7">
        <f t="shared" si="10"/>
        <v>15489300</v>
      </c>
      <c r="F19" s="31">
        <v>77</v>
      </c>
      <c r="G19" s="7">
        <f t="shared" si="6"/>
        <v>55616544</v>
      </c>
      <c r="H19" s="31">
        <v>87</v>
      </c>
      <c r="I19" s="7">
        <f t="shared" si="7"/>
        <v>199699548</v>
      </c>
      <c r="J19" s="31">
        <v>97</v>
      </c>
      <c r="K19" s="9">
        <f t="shared" si="8"/>
        <v>717051420</v>
      </c>
      <c r="M19" s="35">
        <v>6</v>
      </c>
      <c r="N19" s="50">
        <f>G5</f>
        <v>63540</v>
      </c>
      <c r="O19" s="51"/>
      <c r="P19" s="49">
        <f t="shared" si="12"/>
        <v>25428</v>
      </c>
      <c r="Q19" s="49"/>
      <c r="R19" s="49"/>
      <c r="S19" s="49"/>
      <c r="T19" s="49"/>
      <c r="U19" s="49"/>
      <c r="V19" s="49"/>
      <c r="W19" s="49"/>
      <c r="X19" s="49"/>
      <c r="Y19" s="38">
        <f t="shared" si="11"/>
        <v>0.66719143576826201</v>
      </c>
    </row>
    <row r="20" spans="2:25" x14ac:dyDescent="0.35">
      <c r="B20" s="14">
        <v>58</v>
      </c>
      <c r="C20" s="15">
        <f t="shared" si="9"/>
        <v>4902048</v>
      </c>
      <c r="D20" s="30">
        <v>68</v>
      </c>
      <c r="E20" s="15">
        <f t="shared" si="10"/>
        <v>17601468</v>
      </c>
      <c r="F20" s="30">
        <v>78</v>
      </c>
      <c r="G20" s="15">
        <f t="shared" si="6"/>
        <v>63200616</v>
      </c>
      <c r="H20" s="30">
        <v>88</v>
      </c>
      <c r="I20" s="15">
        <f t="shared" si="7"/>
        <v>226931304</v>
      </c>
      <c r="J20" s="30">
        <v>98</v>
      </c>
      <c r="K20" s="17">
        <f t="shared" si="8"/>
        <v>814831152</v>
      </c>
      <c r="M20" s="35">
        <v>7</v>
      </c>
      <c r="N20" s="50">
        <f>G9</f>
        <v>105936</v>
      </c>
      <c r="O20" s="51"/>
      <c r="P20" s="49">
        <f t="shared" si="12"/>
        <v>42396</v>
      </c>
      <c r="Q20" s="49"/>
      <c r="R20" s="49"/>
      <c r="S20" s="49"/>
      <c r="T20" s="49"/>
      <c r="U20" s="49"/>
      <c r="V20" s="49"/>
      <c r="W20" s="49"/>
      <c r="X20" s="49"/>
      <c r="Y20" s="38">
        <f t="shared" si="11"/>
        <v>0.66723323890462705</v>
      </c>
    </row>
    <row r="21" spans="2:25" x14ac:dyDescent="0.35">
      <c r="B21" s="2">
        <v>59</v>
      </c>
      <c r="C21" s="19">
        <f t="shared" si="9"/>
        <v>5570508</v>
      </c>
      <c r="D21" s="4">
        <v>69</v>
      </c>
      <c r="E21" s="19">
        <f t="shared" si="10"/>
        <v>20001660</v>
      </c>
      <c r="F21" s="31">
        <v>79</v>
      </c>
      <c r="G21" s="19">
        <f t="shared" si="6"/>
        <v>71818872</v>
      </c>
      <c r="H21" s="31">
        <v>89</v>
      </c>
      <c r="I21" s="19">
        <f t="shared" si="7"/>
        <v>257876472</v>
      </c>
      <c r="J21" s="31">
        <v>99</v>
      </c>
      <c r="K21" s="21">
        <f t="shared" si="8"/>
        <v>925944480</v>
      </c>
      <c r="M21" s="35">
        <v>8</v>
      </c>
      <c r="N21" s="50">
        <f>I3</f>
        <v>176616</v>
      </c>
      <c r="O21" s="51"/>
      <c r="P21" s="49">
        <f t="shared" si="12"/>
        <v>70680</v>
      </c>
      <c r="Q21" s="49"/>
      <c r="R21" s="49"/>
      <c r="S21" s="49"/>
      <c r="T21" s="49"/>
      <c r="U21" s="49"/>
      <c r="V21" s="49"/>
      <c r="W21" s="49"/>
      <c r="X21" s="49"/>
      <c r="Y21" s="38">
        <f t="shared" si="11"/>
        <v>0.6671952877208881</v>
      </c>
    </row>
    <row r="22" spans="2:25" x14ac:dyDescent="0.35">
      <c r="B22" s="14">
        <v>60</v>
      </c>
      <c r="C22" s="11">
        <f t="shared" si="9"/>
        <v>6330120</v>
      </c>
      <c r="D22" s="30">
        <v>70</v>
      </c>
      <c r="E22" s="11">
        <f>IF(MOD(D22,4)=1,ROUNDDOWN((E21-$N$3)/(1-$N$4)/$N$6,0)*$N$4*$N$6+E21+$N$5,ROUNDDOWN((E21-$N$3)/(1-$N$4)/$N$6,0)*$N$4*$N$6+E21)</f>
        <v>22729152</v>
      </c>
      <c r="F22" s="30">
        <v>80</v>
      </c>
      <c r="G22" s="11">
        <f t="shared" si="6"/>
        <v>81612348</v>
      </c>
      <c r="H22" s="30">
        <v>90</v>
      </c>
      <c r="I22" s="11">
        <f t="shared" si="7"/>
        <v>293041440</v>
      </c>
      <c r="J22" s="30">
        <v>100</v>
      </c>
      <c r="K22" s="13">
        <f t="shared" si="8"/>
        <v>1052209632</v>
      </c>
      <c r="M22" s="35">
        <v>9</v>
      </c>
      <c r="N22" s="50">
        <f>I7</f>
        <v>294480</v>
      </c>
      <c r="O22" s="51"/>
      <c r="P22" s="49">
        <f t="shared" si="12"/>
        <v>117864</v>
      </c>
      <c r="Q22" s="49"/>
      <c r="R22" s="49"/>
      <c r="S22" s="49"/>
      <c r="T22" s="49"/>
      <c r="U22" s="49"/>
      <c r="V22" s="49"/>
      <c r="W22" s="49"/>
      <c r="X22" s="49"/>
      <c r="Y22" s="38">
        <f t="shared" si="11"/>
        <v>0.66734610680799022</v>
      </c>
    </row>
    <row r="23" spans="2:25" x14ac:dyDescent="0.35">
      <c r="K23" s="11"/>
      <c r="L23" s="32"/>
      <c r="M23" s="35">
        <v>10</v>
      </c>
      <c r="N23" s="50">
        <f>I11</f>
        <v>491028</v>
      </c>
      <c r="O23" s="51"/>
      <c r="P23" s="49">
        <f t="shared" si="12"/>
        <v>196548</v>
      </c>
      <c r="Q23" s="49"/>
      <c r="R23" s="49"/>
      <c r="S23" s="49"/>
      <c r="T23" s="49"/>
      <c r="U23" s="49"/>
      <c r="V23" s="49"/>
      <c r="W23" s="49"/>
      <c r="X23" s="49"/>
      <c r="Y23" s="38">
        <f t="shared" si="11"/>
        <v>0.66744091279543605</v>
      </c>
    </row>
    <row r="24" spans="2:25" x14ac:dyDescent="0.35">
      <c r="B24" s="2">
        <v>101</v>
      </c>
      <c r="C24" s="3">
        <f>IF(MOD(B24,4)=1,ROUNDDOWN((K22-$N$3)/(1-$N$4)/$N$6,0)*$N$4*$N$6+K22+$N$5,ROUNDDOWN((K22-$N$3)/(1-$N$4)/$N$6,0)*$N$4*$N$6+K22)</f>
        <v>1195692756</v>
      </c>
      <c r="D24" s="4">
        <v>111</v>
      </c>
      <c r="E24" s="3">
        <f>IF(MOD(D24,4)=1,ROUNDDOWN((C33-$N$3)/(1-$N$4)/$N$6,0)*$N$4*$N$6+C33+$N$5,ROUNDDOWN((C33-$N$3)/(1-$N$4)/$N$6,0)*$N$4*$N$6+C33)</f>
        <v>4293316104</v>
      </c>
      <c r="F24" s="31">
        <v>121</v>
      </c>
      <c r="G24" s="3">
        <f t="shared" ref="G24" si="13">IF(MOD(F24,4)=1,ROUNDDOWN((E33-$N$3)/(1-$N$4)/$N$6,0)*$N$4*$N$6+E33+$N$5,ROUNDDOWN((E33-$N$3)/(1-$N$4)/$N$6,0)*$N$4*$N$6+E33)</f>
        <v>15415802616</v>
      </c>
      <c r="H24" s="31">
        <v>131</v>
      </c>
      <c r="I24" s="3">
        <f t="shared" ref="I24" si="14">IF(MOD(H24,4)=1,ROUNDDOWN((G33-$N$3)/(1-$N$4)/$N$6,0)*$N$4*$N$6+G33+$N$5,ROUNDDOWN((G33-$N$3)/(1-$N$4)/$N$6,0)*$N$4*$N$6+G33)</f>
        <v>55352777628</v>
      </c>
      <c r="J24" s="31">
        <v>141</v>
      </c>
      <c r="K24" s="5">
        <f t="shared" ref="K24" si="15">IF(MOD(J24,4)=1,ROUNDDOWN((I33-$N$3)/(1-$N$4)/$N$6,0)*$N$4*$N$6+I33+$N$5,ROUNDDOWN((I33-$N$3)/(1-$N$4)/$N$6,0)*$N$4*$N$6+I33)</f>
        <v>198752544360</v>
      </c>
      <c r="M24" s="35">
        <v>11</v>
      </c>
      <c r="N24" s="50">
        <f>K5</f>
        <v>818760</v>
      </c>
      <c r="O24" s="51"/>
      <c r="P24" s="49">
        <f t="shared" si="12"/>
        <v>327732</v>
      </c>
      <c r="Q24" s="49"/>
      <c r="R24" s="49"/>
      <c r="S24" s="49"/>
      <c r="T24" s="49"/>
      <c r="U24" s="49"/>
      <c r="V24" s="49"/>
      <c r="W24" s="49"/>
      <c r="X24" s="49"/>
      <c r="Y24" s="38">
        <f t="shared" si="11"/>
        <v>0.66744055328820351</v>
      </c>
    </row>
    <row r="25" spans="2:25" x14ac:dyDescent="0.35">
      <c r="B25" s="14">
        <v>102</v>
      </c>
      <c r="C25" s="15">
        <f>IF(MOD(B25,4)=1,ROUNDDOWN((C24-$N$3)/(1-$N$4)/$N$6,0)*$N$4*$N$6+C24+$N$5,ROUNDDOWN((C24-$N$3)/(1-$N$4)/$N$6,0)*$N$4*$N$6+C24)</f>
        <v>1358741760</v>
      </c>
      <c r="D25" s="30">
        <v>112</v>
      </c>
      <c r="E25" s="15">
        <f>IF(MOD(D25,4)=1,ROUNDDOWN((E24-$N$3)/(1-$N$4)/$N$6,0)*$N$4*$N$6+E24+$N$5,ROUNDDOWN((E24-$N$3)/(1-$N$4)/$N$6,0)*$N$4*$N$6+E24)</f>
        <v>4878768300</v>
      </c>
      <c r="F25" s="30">
        <v>122</v>
      </c>
      <c r="G25" s="15">
        <f t="shared" ref="G25:G33" si="16">IF(MOD(F25,4)=1,ROUNDDOWN((G24-$N$3)/(1-$N$4)/$N$6,0)*$N$4*$N$6+G24+$N$5,ROUNDDOWN((G24-$N$3)/(1-$N$4)/$N$6,0)*$N$4*$N$6+G24)</f>
        <v>17517957516</v>
      </c>
      <c r="H25" s="30">
        <v>132</v>
      </c>
      <c r="I25" s="15">
        <f t="shared" ref="I25:I33" si="17">IF(MOD(H25,4)=1,ROUNDDOWN((I24-$N$3)/(1-$N$4)/$N$6,0)*$N$4*$N$6+I24+$N$5,ROUNDDOWN((I24-$N$3)/(1-$N$4)/$N$6,0)*$N$4*$N$6+I24)</f>
        <v>62900883660</v>
      </c>
      <c r="J25" s="30">
        <v>142</v>
      </c>
      <c r="K25" s="17">
        <f t="shared" ref="K25:K33" si="18">IF(MOD(J25,4)=1,ROUNDDOWN((K24-$N$3)/(1-$N$4)/$N$6,0)*$N$4*$N$6+K24+$N$5,ROUNDDOWN((K24-$N$3)/(1-$N$4)/$N$6,0)*$N$4*$N$6+K24)</f>
        <v>225855164040</v>
      </c>
      <c r="M25" s="35">
        <v>12</v>
      </c>
      <c r="N25" s="50">
        <f>K9</f>
        <v>1365264</v>
      </c>
      <c r="O25" s="51"/>
      <c r="P25" s="49">
        <f t="shared" si="12"/>
        <v>546504</v>
      </c>
      <c r="Q25" s="49"/>
      <c r="R25" s="49"/>
      <c r="S25" s="49"/>
      <c r="T25" s="49"/>
      <c r="U25" s="49"/>
      <c r="V25" s="49"/>
      <c r="W25" s="49"/>
      <c r="X25" s="49"/>
      <c r="Y25" s="38">
        <f t="shared" si="11"/>
        <v>0.6674776491279496</v>
      </c>
    </row>
    <row r="26" spans="2:25" x14ac:dyDescent="0.35">
      <c r="B26" s="2">
        <v>103</v>
      </c>
      <c r="C26" s="7">
        <f t="shared" ref="C26:C27" si="19">IF(MOD(B26,4)=1,ROUNDDOWN((C25-$N$3)/(1-$N$4)/$N$6,0)*$N$4*$N$6+C25+$N$5,ROUNDDOWN((C25-$N$3)/(1-$N$4)/$N$6,0)*$N$4*$N$6+C25)</f>
        <v>1544024724</v>
      </c>
      <c r="D26" s="4">
        <v>113</v>
      </c>
      <c r="E26" s="7">
        <f t="shared" ref="E26:E32" si="20">IF(MOD(D26,4)=1,ROUNDDOWN((E25-$N$3)/(1-$N$4)/$N$6,0)*$N$4*$N$6+E25+$N$5,ROUNDDOWN((E25-$N$3)/(1-$N$4)/$N$6,0)*$N$4*$N$6+E25)</f>
        <v>5544054876</v>
      </c>
      <c r="F26" s="31">
        <v>123</v>
      </c>
      <c r="G26" s="7">
        <f t="shared" si="16"/>
        <v>19906769904</v>
      </c>
      <c r="H26" s="31">
        <v>133</v>
      </c>
      <c r="I26" s="7">
        <f t="shared" si="17"/>
        <v>71478276876</v>
      </c>
      <c r="J26" s="31">
        <v>143</v>
      </c>
      <c r="K26" s="9">
        <f t="shared" si="18"/>
        <v>256653595500</v>
      </c>
      <c r="M26" s="35">
        <v>13</v>
      </c>
      <c r="N26" s="50">
        <f>C14</f>
        <v>2276556</v>
      </c>
      <c r="O26" s="51"/>
      <c r="P26" s="49">
        <f t="shared" si="12"/>
        <v>911292</v>
      </c>
      <c r="Q26" s="49"/>
      <c r="R26" s="49"/>
      <c r="S26" s="49"/>
      <c r="T26" s="49"/>
      <c r="U26" s="49"/>
      <c r="V26" s="49"/>
      <c r="W26" s="49"/>
      <c r="X26" s="49"/>
      <c r="Y26" s="38">
        <f t="shared" si="11"/>
        <v>0.66748409098899553</v>
      </c>
    </row>
    <row r="27" spans="2:25" x14ac:dyDescent="0.35">
      <c r="B27" s="14">
        <v>104</v>
      </c>
      <c r="C27" s="15">
        <f t="shared" si="19"/>
        <v>1754573544</v>
      </c>
      <c r="D27" s="30">
        <v>114</v>
      </c>
      <c r="E27" s="15">
        <f t="shared" si="20"/>
        <v>6300062352</v>
      </c>
      <c r="F27" s="30">
        <v>124</v>
      </c>
      <c r="G27" s="15">
        <f t="shared" si="16"/>
        <v>22621329432</v>
      </c>
      <c r="H27" s="30">
        <v>134</v>
      </c>
      <c r="I27" s="15">
        <f t="shared" si="17"/>
        <v>81225314628</v>
      </c>
      <c r="J27" s="30">
        <v>144</v>
      </c>
      <c r="K27" s="17">
        <f t="shared" si="18"/>
        <v>291651813060</v>
      </c>
      <c r="Q27" s="24"/>
      <c r="R27" s="24"/>
      <c r="S27" s="24"/>
      <c r="T27" s="24"/>
      <c r="U27" s="24"/>
    </row>
    <row r="28" spans="2:25" x14ac:dyDescent="0.35">
      <c r="B28" s="2">
        <v>105</v>
      </c>
      <c r="C28" s="7">
        <f>IF(MOD(B28,4)=1,ROUNDDOWN((C27-$N$3)/(1-$N$4)/$N$6,0)*$N$4*$N$6+C27+$N$5,ROUNDDOWN((C27-$N$3)/(1-$N$4)/$N$6,0)*$N$4*$N$6+C27)</f>
        <v>1993833564</v>
      </c>
      <c r="D28" s="4">
        <v>115</v>
      </c>
      <c r="E28" s="7">
        <f t="shared" si="20"/>
        <v>7159161756</v>
      </c>
      <c r="F28" s="31">
        <v>125</v>
      </c>
      <c r="G28" s="7">
        <f t="shared" si="16"/>
        <v>25706056164</v>
      </c>
      <c r="H28" s="31">
        <v>135</v>
      </c>
      <c r="I28" s="7">
        <f t="shared" si="17"/>
        <v>92301493884</v>
      </c>
      <c r="J28" s="31">
        <v>145</v>
      </c>
      <c r="K28" s="9">
        <f t="shared" si="18"/>
        <v>331422514836</v>
      </c>
      <c r="Q28" s="24"/>
      <c r="R28" s="24"/>
      <c r="S28" s="24"/>
      <c r="T28" s="24"/>
      <c r="U28" s="24"/>
    </row>
    <row r="29" spans="2:25" x14ac:dyDescent="0.35">
      <c r="B29" s="14">
        <v>106</v>
      </c>
      <c r="C29" s="15">
        <f>IF(MOD(B29,4)=1,ROUNDDOWN((C28-$N$3)/(1-$N$4)/$N$6,0)*$N$4*$N$6+C28+$N$5,ROUNDDOWN((C28-$N$3)/(1-$N$4)/$N$6,0)*$N$4*$N$6+C28)</f>
        <v>2265719952</v>
      </c>
      <c r="D29" s="30">
        <v>116</v>
      </c>
      <c r="E29" s="15">
        <f t="shared" si="20"/>
        <v>8135411076</v>
      </c>
      <c r="F29" s="30">
        <v>126</v>
      </c>
      <c r="G29" s="15">
        <f t="shared" si="16"/>
        <v>29211427452</v>
      </c>
      <c r="H29" s="30">
        <v>136</v>
      </c>
      <c r="I29" s="15">
        <f t="shared" si="17"/>
        <v>104888061228</v>
      </c>
      <c r="J29" s="30">
        <v>146</v>
      </c>
      <c r="K29" s="17">
        <f t="shared" si="18"/>
        <v>376616494128</v>
      </c>
      <c r="M29" s="57" t="s">
        <v>8</v>
      </c>
      <c r="N29" s="57"/>
      <c r="O29" s="57" t="s">
        <v>1</v>
      </c>
      <c r="P29" s="57"/>
      <c r="Q29" s="26"/>
      <c r="R29" s="26"/>
      <c r="S29" s="26"/>
      <c r="T29" s="26"/>
      <c r="U29" s="26"/>
      <c r="V29" s="27"/>
      <c r="W29" s="27"/>
      <c r="X29" s="57" t="s">
        <v>9</v>
      </c>
      <c r="Y29" s="57"/>
    </row>
    <row r="30" spans="2:25" x14ac:dyDescent="0.35">
      <c r="B30" s="2">
        <v>107</v>
      </c>
      <c r="C30" s="7">
        <f t="shared" ref="C30:C33" si="21">IF(MOD(B30,4)=1,ROUNDDOWN((C29-$N$3)/(1-$N$4)/$N$6,0)*$N$4*$N$6+C29+$N$5,ROUNDDOWN((C29-$N$3)/(1-$N$4)/$N$6,0)*$N$4*$N$6+C29)</f>
        <v>2574681756</v>
      </c>
      <c r="D30" s="4">
        <v>117</v>
      </c>
      <c r="E30" s="7">
        <f t="shared" si="20"/>
        <v>9244785312</v>
      </c>
      <c r="F30" s="31">
        <v>127</v>
      </c>
      <c r="G30" s="7">
        <f t="shared" si="16"/>
        <v>33194803920</v>
      </c>
      <c r="H30" s="31">
        <v>137</v>
      </c>
      <c r="I30" s="7">
        <f t="shared" si="17"/>
        <v>119190978660</v>
      </c>
      <c r="J30" s="31">
        <v>147</v>
      </c>
      <c r="K30" s="9">
        <f t="shared" si="18"/>
        <v>427973288772</v>
      </c>
      <c r="M30" s="54">
        <v>1642.17</v>
      </c>
      <c r="N30" s="54"/>
      <c r="O30" s="61">
        <v>0.6</v>
      </c>
      <c r="P30" s="61"/>
      <c r="Q30" s="26"/>
      <c r="R30" s="26"/>
      <c r="S30" s="26"/>
      <c r="T30" s="26"/>
      <c r="U30" s="26"/>
      <c r="V30" s="27"/>
      <c r="W30" s="27"/>
      <c r="X30" s="54">
        <f>ROUNDDOWN(M30/(1-O30)/$N$6,0)*$N$6*O30+M30</f>
        <v>4102.17</v>
      </c>
      <c r="Y30" s="54"/>
    </row>
    <row r="31" spans="2:25" x14ac:dyDescent="0.35">
      <c r="B31" s="14">
        <v>108</v>
      </c>
      <c r="C31" s="15">
        <f t="shared" si="21"/>
        <v>2925774720</v>
      </c>
      <c r="D31" s="30">
        <v>118</v>
      </c>
      <c r="E31" s="15">
        <f t="shared" si="20"/>
        <v>10505437848</v>
      </c>
      <c r="F31" s="30">
        <v>128</v>
      </c>
      <c r="G31" s="15">
        <f t="shared" si="16"/>
        <v>37721368080</v>
      </c>
      <c r="H31" s="30">
        <v>138</v>
      </c>
      <c r="I31" s="15">
        <f t="shared" si="17"/>
        <v>135444293928</v>
      </c>
      <c r="J31" s="30">
        <v>148</v>
      </c>
      <c r="K31" s="17">
        <f t="shared" si="18"/>
        <v>486333282684</v>
      </c>
      <c r="M31" s="57" t="s">
        <v>11</v>
      </c>
      <c r="N31" s="57"/>
      <c r="O31" s="54">
        <f>X30-M30</f>
        <v>2460</v>
      </c>
      <c r="P31" s="54"/>
      <c r="Q31" s="24"/>
      <c r="R31" s="24"/>
      <c r="S31" s="24"/>
      <c r="T31" s="24"/>
      <c r="U31" s="24"/>
      <c r="X31" s="55">
        <f>O31/M30</f>
        <v>1.4980178666033357</v>
      </c>
      <c r="Y31" s="55"/>
    </row>
    <row r="32" spans="2:25" x14ac:dyDescent="0.35">
      <c r="B32" s="2">
        <v>109</v>
      </c>
      <c r="C32" s="19">
        <f t="shared" si="21"/>
        <v>3324744000</v>
      </c>
      <c r="D32" s="4">
        <v>119</v>
      </c>
      <c r="E32" s="19">
        <f t="shared" si="20"/>
        <v>11937997548</v>
      </c>
      <c r="F32" s="31">
        <v>129</v>
      </c>
      <c r="G32" s="19">
        <f t="shared" si="16"/>
        <v>42865191000</v>
      </c>
      <c r="H32" s="31">
        <v>139</v>
      </c>
      <c r="I32" s="19">
        <f t="shared" si="17"/>
        <v>153913970364</v>
      </c>
      <c r="J32" s="31">
        <v>149</v>
      </c>
      <c r="K32" s="21">
        <f t="shared" si="18"/>
        <v>552651457584</v>
      </c>
    </row>
    <row r="33" spans="2:25" x14ac:dyDescent="0.35">
      <c r="B33" s="14">
        <v>110</v>
      </c>
      <c r="C33" s="11">
        <f t="shared" si="21"/>
        <v>3778118172</v>
      </c>
      <c r="D33" s="30">
        <v>120</v>
      </c>
      <c r="E33" s="11">
        <f>IF(MOD(D33,4)=1,ROUNDDOWN((E32-$N$3)/(1-$N$4)/$N$6,0)*$N$4*$N$6+E32+$N$5,ROUNDDOWN((E32-$N$3)/(1-$N$4)/$N$6,0)*$N$4*$N$6+E32)</f>
        <v>13565906304</v>
      </c>
      <c r="F33" s="30">
        <v>130</v>
      </c>
      <c r="G33" s="11">
        <f t="shared" si="16"/>
        <v>48710444316</v>
      </c>
      <c r="H33" s="30">
        <v>140</v>
      </c>
      <c r="I33" s="11">
        <f t="shared" si="17"/>
        <v>174902239044</v>
      </c>
      <c r="J33" s="30">
        <v>150</v>
      </c>
      <c r="K33" s="13">
        <f t="shared" si="18"/>
        <v>628013019972</v>
      </c>
      <c r="M33" s="57" t="s">
        <v>8</v>
      </c>
      <c r="N33" s="57"/>
      <c r="O33" s="57" t="s">
        <v>1</v>
      </c>
      <c r="P33" s="57"/>
      <c r="Q33" s="26"/>
      <c r="R33" s="26"/>
      <c r="S33" s="26"/>
      <c r="T33" s="26"/>
      <c r="U33" s="26"/>
      <c r="V33" s="27"/>
      <c r="W33" s="27"/>
      <c r="X33" s="57" t="s">
        <v>9</v>
      </c>
      <c r="Y33" s="57"/>
    </row>
    <row r="34" spans="2:25" x14ac:dyDescent="0.35">
      <c r="M34" s="58">
        <f>X30</f>
        <v>4102.17</v>
      </c>
      <c r="N34" s="58"/>
      <c r="O34" s="61">
        <f>O30</f>
        <v>0.6</v>
      </c>
      <c r="P34" s="61"/>
      <c r="Q34" s="26"/>
      <c r="R34" s="26"/>
      <c r="S34" s="26"/>
      <c r="T34" s="26"/>
      <c r="U34" s="26"/>
      <c r="V34" s="27"/>
      <c r="W34" s="27"/>
      <c r="X34" s="58">
        <f>ROUNDDOWN(M34/(1-O34)/$N$6,0)*$N$6*O34+M34</f>
        <v>10222.17</v>
      </c>
      <c r="Y34" s="58"/>
    </row>
    <row r="35" spans="2:25" x14ac:dyDescent="0.35">
      <c r="K35" s="39"/>
      <c r="M35" s="57" t="s">
        <v>11</v>
      </c>
      <c r="N35" s="57"/>
      <c r="O35" s="58">
        <f>X34-M34</f>
        <v>6120</v>
      </c>
      <c r="P35" s="57"/>
      <c r="Q35" s="24"/>
      <c r="R35" s="24"/>
      <c r="S35" s="24"/>
      <c r="T35" s="24"/>
      <c r="U35" s="24"/>
      <c r="X35" s="55">
        <f>O35/M34</f>
        <v>1.4918933150015723</v>
      </c>
      <c r="Y35" s="55"/>
    </row>
    <row r="37" spans="2:25" x14ac:dyDescent="0.35">
      <c r="M37" s="57" t="s">
        <v>12</v>
      </c>
      <c r="N37" s="57"/>
      <c r="O37" s="58">
        <f>O31+O35</f>
        <v>8580</v>
      </c>
      <c r="P37" s="58"/>
      <c r="X37" s="59">
        <f>O37/M30</f>
        <v>5.2247940225433416</v>
      </c>
      <c r="Y37" s="60"/>
    </row>
  </sheetData>
  <mergeCells count="57">
    <mergeCell ref="P21:X21"/>
    <mergeCell ref="P22:X22"/>
    <mergeCell ref="P23:X23"/>
    <mergeCell ref="P24:X24"/>
    <mergeCell ref="M35:N35"/>
    <mergeCell ref="O35:P35"/>
    <mergeCell ref="X35:Y35"/>
    <mergeCell ref="M30:N30"/>
    <mergeCell ref="O30:P30"/>
    <mergeCell ref="X30:Y30"/>
    <mergeCell ref="M31:N31"/>
    <mergeCell ref="O31:P31"/>
    <mergeCell ref="X31:Y31"/>
    <mergeCell ref="M29:N29"/>
    <mergeCell ref="O29:P29"/>
    <mergeCell ref="X29:Y29"/>
    <mergeCell ref="M37:N37"/>
    <mergeCell ref="O37:P37"/>
    <mergeCell ref="X37:Y37"/>
    <mergeCell ref="M33:N33"/>
    <mergeCell ref="O33:P33"/>
    <mergeCell ref="X33:Y33"/>
    <mergeCell ref="M34:N34"/>
    <mergeCell ref="O34:P34"/>
    <mergeCell ref="X34:Y34"/>
    <mergeCell ref="N26:O26"/>
    <mergeCell ref="N25:O25"/>
    <mergeCell ref="P25:X25"/>
    <mergeCell ref="P26:X26"/>
    <mergeCell ref="N24:O24"/>
    <mergeCell ref="N23:O23"/>
    <mergeCell ref="N22:O22"/>
    <mergeCell ref="N21:O21"/>
    <mergeCell ref="N20:O20"/>
    <mergeCell ref="N19:O19"/>
    <mergeCell ref="P20:X20"/>
    <mergeCell ref="N18:O18"/>
    <mergeCell ref="N17:O17"/>
    <mergeCell ref="N16:O16"/>
    <mergeCell ref="P16:X16"/>
    <mergeCell ref="P17:X17"/>
    <mergeCell ref="P18:X18"/>
    <mergeCell ref="P19:X19"/>
    <mergeCell ref="N11:P11"/>
    <mergeCell ref="N14:O14"/>
    <mergeCell ref="N15:O15"/>
    <mergeCell ref="N13:O13"/>
    <mergeCell ref="N2:P2"/>
    <mergeCell ref="N3:P3"/>
    <mergeCell ref="N4:P4"/>
    <mergeCell ref="N5:P5"/>
    <mergeCell ref="N8:P8"/>
    <mergeCell ref="N10:P10"/>
    <mergeCell ref="N6:P6"/>
    <mergeCell ref="P14:X14"/>
    <mergeCell ref="P15:X15"/>
    <mergeCell ref="P13:X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273E-7C86-47A9-9E80-F36DBC1E2439}">
  <dimension ref="A3:B10"/>
  <sheetViews>
    <sheetView workbookViewId="0">
      <selection activeCell="B38" sqref="B38"/>
    </sheetView>
  </sheetViews>
  <sheetFormatPr defaultRowHeight="14.5" x14ac:dyDescent="0.35"/>
  <cols>
    <col min="1" max="1" width="13.08984375" bestFit="1" customWidth="1"/>
    <col min="2" max="2" width="24.54296875" bestFit="1" customWidth="1"/>
  </cols>
  <sheetData>
    <row r="3" spans="1:2" x14ac:dyDescent="0.35">
      <c r="A3" s="40" t="s">
        <v>17</v>
      </c>
      <c r="B3" t="s">
        <v>28</v>
      </c>
    </row>
    <row r="4" spans="1:2" x14ac:dyDescent="0.35">
      <c r="A4" s="41">
        <v>1</v>
      </c>
      <c r="B4" s="42">
        <v>50</v>
      </c>
    </row>
    <row r="5" spans="1:2" x14ac:dyDescent="0.35">
      <c r="A5" s="41">
        <v>2</v>
      </c>
      <c r="B5" s="42">
        <v>500</v>
      </c>
    </row>
    <row r="6" spans="1:2" x14ac:dyDescent="0.35">
      <c r="A6" s="41">
        <v>3</v>
      </c>
      <c r="B6" s="42">
        <v>1</v>
      </c>
    </row>
    <row r="7" spans="1:2" x14ac:dyDescent="0.35">
      <c r="A7" s="41">
        <v>4</v>
      </c>
      <c r="B7" s="42">
        <v>999</v>
      </c>
    </row>
    <row r="8" spans="1:2" x14ac:dyDescent="0.35">
      <c r="A8" s="41">
        <v>5</v>
      </c>
      <c r="B8" s="42">
        <v>1000</v>
      </c>
    </row>
    <row r="9" spans="1:2" x14ac:dyDescent="0.35">
      <c r="A9" s="41">
        <v>6</v>
      </c>
      <c r="B9" s="42">
        <v>450</v>
      </c>
    </row>
    <row r="10" spans="1:2" x14ac:dyDescent="0.35">
      <c r="A10" s="41" t="s">
        <v>18</v>
      </c>
      <c r="B10" s="42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11E0-4F45-426F-9E07-00A1B928B65B}">
  <sheetPr codeName="Sheet2"/>
  <dimension ref="B2:T159"/>
  <sheetViews>
    <sheetView showGridLines="0" showRowColHeaders="0" tabSelected="1" topLeftCell="N13" zoomScale="130" zoomScaleNormal="130" workbookViewId="0">
      <selection activeCell="Q24" sqref="Q24:R24"/>
    </sheetView>
  </sheetViews>
  <sheetFormatPr defaultRowHeight="14.5" x14ac:dyDescent="0.35"/>
  <cols>
    <col min="1" max="1" width="3.36328125" customWidth="1"/>
    <col min="2" max="2" width="15.6328125" style="1" customWidth="1"/>
    <col min="3" max="4" width="10.6328125" style="1" customWidth="1"/>
    <col min="5" max="6" width="15.6328125" style="1" hidden="1" customWidth="1"/>
    <col min="7" max="9" width="15.6328125" style="1" customWidth="1"/>
    <col min="10" max="10" width="3.54296875" style="1" customWidth="1"/>
    <col min="11" max="11" width="5.90625" style="1" customWidth="1"/>
    <col min="12" max="12" width="13" style="1" customWidth="1"/>
    <col min="13" max="13" width="18.90625" style="1" customWidth="1"/>
    <col min="14" max="14" width="3.90625" customWidth="1"/>
    <col min="19" max="19" width="11" customWidth="1"/>
  </cols>
  <sheetData>
    <row r="2" spans="2:20" x14ac:dyDescent="0.35">
      <c r="B2" s="57" t="s">
        <v>23</v>
      </c>
      <c r="C2" s="57"/>
      <c r="D2" s="63">
        <f>GETPIVOTDATA("Deposit/Withdraw",'Starting Money'!$A$3)</f>
        <v>3000</v>
      </c>
      <c r="E2" s="57"/>
      <c r="F2" s="57"/>
      <c r="G2" s="57"/>
      <c r="O2" s="48" t="s">
        <v>29</v>
      </c>
      <c r="P2" s="22">
        <v>67</v>
      </c>
      <c r="Q2" s="48" t="s">
        <v>30</v>
      </c>
      <c r="R2" s="22">
        <v>76</v>
      </c>
    </row>
    <row r="4" spans="2:20" x14ac:dyDescent="0.35">
      <c r="B4" s="33" t="s">
        <v>14</v>
      </c>
      <c r="C4" s="33" t="s">
        <v>6</v>
      </c>
      <c r="D4" s="33" t="s">
        <v>22</v>
      </c>
      <c r="E4" s="33" t="s">
        <v>20</v>
      </c>
      <c r="F4" s="33" t="s">
        <v>19</v>
      </c>
      <c r="G4" s="29" t="s">
        <v>15</v>
      </c>
      <c r="H4" s="29" t="s">
        <v>16</v>
      </c>
      <c r="I4" s="1" t="s">
        <v>7</v>
      </c>
      <c r="K4" s="1" t="s">
        <v>26</v>
      </c>
      <c r="L4" s="1" t="s">
        <v>14</v>
      </c>
      <c r="M4" s="1" t="s">
        <v>27</v>
      </c>
      <c r="O4" s="57" t="s">
        <v>13</v>
      </c>
      <c r="P4" s="57"/>
      <c r="Q4" s="57"/>
      <c r="R4" s="49">
        <v>100</v>
      </c>
      <c r="S4" s="49"/>
      <c r="T4" s="49"/>
    </row>
    <row r="5" spans="2:20" x14ac:dyDescent="0.35">
      <c r="B5" s="43">
        <v>44005</v>
      </c>
      <c r="C5" s="44">
        <f>IF(Table1[[#This Row],[Date]]&lt;&gt;DATEVALUE("06/23/2020"),DATEDIF(DATEVALUE("06/19/2020"),B5,"M")+1,1)</f>
        <v>1</v>
      </c>
      <c r="D5" s="44">
        <f>IF(Table1[[#This Row],[Month]]=1,Table1[[#This Row],[Week]],Table1[[#This Row],[Week]]-(Table1[[#This Row],[Month]]-1)*4)</f>
        <v>0</v>
      </c>
      <c r="E5" s="44">
        <f>IF(Table1[[#This Row],[Day]]=1,0,(Table1[[#This Row],[Day]]-3+7)/7)</f>
        <v>0</v>
      </c>
      <c r="F5" s="45">
        <f>IF(Table1[[#This Row],[Date]]&lt;&gt;DATEVALUE("06/23/2020"),DATEDIF($B$5,B5,"D"),1)</f>
        <v>1</v>
      </c>
      <c r="G5" s="29">
        <f>IF(Table1[[#This Row],[Ind Week]]=0,D2+Table1[[#This Row],[Profit]],G4+Table1[[#This Row],[Profit]])</f>
        <v>3000</v>
      </c>
      <c r="H5" s="29">
        <v>0</v>
      </c>
      <c r="I5" s="37">
        <v>0</v>
      </c>
      <c r="K5" s="1">
        <v>1</v>
      </c>
      <c r="L5" s="47">
        <v>44005</v>
      </c>
      <c r="M5" s="1">
        <v>50</v>
      </c>
      <c r="O5" s="57" t="s">
        <v>8</v>
      </c>
      <c r="P5" s="57"/>
      <c r="Q5" s="57" t="s">
        <v>1</v>
      </c>
      <c r="R5" s="57"/>
      <c r="S5" s="57" t="s">
        <v>9</v>
      </c>
      <c r="T5" s="57"/>
    </row>
    <row r="6" spans="2:20" x14ac:dyDescent="0.35">
      <c r="B6" s="43">
        <v>44008</v>
      </c>
      <c r="C6" s="44">
        <f>IF(Table1[[#This Row],[Date]]&lt;&gt;DATEVALUE("06/23/2020"),DATEDIF(DATEVALUE("06/19/2020"),B6,"M")+1,1)</f>
        <v>1</v>
      </c>
      <c r="D6" s="44">
        <f>IF(Table1[[#This Row],[Month]]=1,Table1[[#This Row],[Week]],Table1[[#This Row],[Week]]-(Table1[[#This Row],[Month]]-1)*4)</f>
        <v>1</v>
      </c>
      <c r="E6" s="44">
        <f>IF(Table1[[#This Row],[Day]]=1,0,(Table1[[#This Row],[Day]]-3+7)/7)</f>
        <v>1</v>
      </c>
      <c r="F6" s="44">
        <f>IF(Table1[[#This Row],[Date]]&lt;&gt;DATEVALUE("06/23/2020"),DATEDIF($B$5,B6,"D"),1)</f>
        <v>3</v>
      </c>
      <c r="G6" s="29">
        <f>IF(Table1[[#This Row],[Ind Week]]=0,D3+Table1[[#This Row],[Profit]],G5+Table1[[#This Row],[Profit]])</f>
        <v>3007</v>
      </c>
      <c r="H6" s="29">
        <v>7</v>
      </c>
      <c r="I6" s="37">
        <f t="shared" ref="I6:I11" si="0">(G6-G5)/G5</f>
        <v>2.3333333333333335E-3</v>
      </c>
      <c r="K6" s="1">
        <v>2</v>
      </c>
      <c r="L6" s="47">
        <v>44006</v>
      </c>
      <c r="M6" s="1">
        <v>500</v>
      </c>
      <c r="O6" s="54">
        <f>G9</f>
        <v>7102.17</v>
      </c>
      <c r="P6" s="54"/>
      <c r="Q6" s="56">
        <v>0.68</v>
      </c>
      <c r="R6" s="56"/>
      <c r="S6" s="54">
        <f>ROUNDDOWN(O6/(1-Q6)/R4,0)*R4*Q6+O6</f>
        <v>22130.170000000002</v>
      </c>
      <c r="T6" s="54"/>
    </row>
    <row r="7" spans="2:20" x14ac:dyDescent="0.35">
      <c r="B7" s="43">
        <v>44015</v>
      </c>
      <c r="C7" s="44">
        <f>IF(Table1[[#This Row],[Date]]&lt;&gt;DATEVALUE("06/23/2020"),DATEDIF(DATEVALUE("06/19/2020"),B7,"M")+1,1)</f>
        <v>1</v>
      </c>
      <c r="D7" s="44">
        <f>IF(Table1[[#This Row],[Month]]=1,Table1[[#This Row],[Week]],Table1[[#This Row],[Week]]-(Table1[[#This Row],[Month]]-1)*4)</f>
        <v>2</v>
      </c>
      <c r="E7" s="44">
        <f>IF(Table1[[#This Row],[Day]]=1,0,(Table1[[#This Row],[Day]]-3+7)/7)</f>
        <v>2</v>
      </c>
      <c r="F7" s="44">
        <f>IF(Table1[[#This Row],[Date]]&lt;&gt;DATEVALUE("06/23/2020"),DATEDIF($B$5,B7,"D"),1)</f>
        <v>10</v>
      </c>
      <c r="G7" s="29">
        <f>IF(Table1[[#This Row],[Ind Week]]=0,D4+Table1[[#This Row],[Profit]],G6+Table1[[#This Row],[Profit]])</f>
        <v>3094</v>
      </c>
      <c r="H7" s="29">
        <v>87</v>
      </c>
      <c r="I7" s="37">
        <f t="shared" si="0"/>
        <v>2.8932490854672432E-2</v>
      </c>
      <c r="K7" s="1">
        <v>3</v>
      </c>
      <c r="L7" s="47">
        <v>44011</v>
      </c>
      <c r="M7" s="1">
        <v>1</v>
      </c>
      <c r="O7" s="57" t="s">
        <v>11</v>
      </c>
      <c r="P7" s="57"/>
      <c r="Q7" s="54">
        <f>S6-O6</f>
        <v>15028.000000000002</v>
      </c>
      <c r="R7" s="54"/>
      <c r="S7" s="55">
        <f>Q7/O6</f>
        <v>2.1159730054335508</v>
      </c>
      <c r="T7" s="55"/>
    </row>
    <row r="8" spans="2:20" x14ac:dyDescent="0.35">
      <c r="B8" s="43">
        <v>44029</v>
      </c>
      <c r="C8" s="44">
        <f>IF(Table1[[#This Row],[Date]]&lt;&gt;DATEVALUE("06/23/2020"),DATEDIF(DATEVALUE("06/19/2020"),B8,"M")+1,1)</f>
        <v>1</v>
      </c>
      <c r="D8" s="44">
        <f>IF(Table1[[#This Row],[Month]]=1,Table1[[#This Row],[Week]],Table1[[#This Row],[Week]]-(Table1[[#This Row],[Month]]-1)*4)</f>
        <v>4</v>
      </c>
      <c r="E8" s="44">
        <f>IF(Table1[[#This Row],[Day]]=1,0,(Table1[[#This Row],[Day]]-3+7)/7)</f>
        <v>4</v>
      </c>
      <c r="F8" s="44">
        <f>IF(Table1[[#This Row],[Date]]&lt;&gt;DATEVALUE("06/23/2020"),DATEDIF($B$5,B8,"D"),1)</f>
        <v>24</v>
      </c>
      <c r="G8" s="29">
        <f>IF(Table1[[#This Row],[Ind Week]]=0,D5+Table1[[#This Row],[Profit]],G7+Table1[[#This Row],[Profit]])</f>
        <v>3919.65</v>
      </c>
      <c r="H8" s="29">
        <v>825.65000000000009</v>
      </c>
      <c r="I8" s="37">
        <f t="shared" si="0"/>
        <v>0.26685520361990955</v>
      </c>
      <c r="K8" s="1">
        <v>4</v>
      </c>
      <c r="L8" s="47">
        <v>44021</v>
      </c>
      <c r="M8" s="1">
        <v>999</v>
      </c>
      <c r="O8" s="57" t="s">
        <v>25</v>
      </c>
      <c r="P8" s="57"/>
      <c r="Q8" s="57"/>
      <c r="R8" s="62">
        <f>S6/R4</f>
        <v>221.30170000000001</v>
      </c>
      <c r="S8" s="62"/>
      <c r="T8" s="62"/>
    </row>
    <row r="9" spans="2:20" x14ac:dyDescent="0.35">
      <c r="B9" s="43">
        <v>44043</v>
      </c>
      <c r="C9" s="44">
        <f>IF(Table1[[#This Row],[Date]]&lt;&gt;DATEVALUE("06/23/2020"),DATEDIF(DATEVALUE("06/19/2020"),B9,"M")+1,1)</f>
        <v>2</v>
      </c>
      <c r="D9" s="44">
        <f>IF(Table1[[#This Row],[Month]]=1,Table1[[#This Row],[Week]],Table1[[#This Row],[Week]]-(Table1[[#This Row],[Month]]-1)*4)</f>
        <v>2</v>
      </c>
      <c r="E9" s="44">
        <f>IF(Table1[[#This Row],[Day]]=1,0,(Table1[[#This Row],[Day]]-3+7)/7)</f>
        <v>6</v>
      </c>
      <c r="F9" s="44">
        <f>IF(Table1[[#This Row],[Date]]&lt;&gt;DATEVALUE("06/23/2020"),DATEDIF($B$5,B9,"D"),1)</f>
        <v>38</v>
      </c>
      <c r="G9" s="29">
        <f>IF(Table1[[#This Row],[Ind Week]]=0,D6+Table1[[#This Row],[Profit]],G8+Table1[[#This Row],[Profit]])</f>
        <v>7102.17</v>
      </c>
      <c r="H9" s="29">
        <v>3182.52</v>
      </c>
      <c r="I9" s="37">
        <f t="shared" si="0"/>
        <v>0.81193984156748689</v>
      </c>
      <c r="K9" s="1">
        <v>5</v>
      </c>
      <c r="L9" s="47">
        <v>44035</v>
      </c>
      <c r="M9" s="1">
        <v>1000</v>
      </c>
    </row>
    <row r="10" spans="2:20" x14ac:dyDescent="0.35">
      <c r="B10" s="43">
        <v>44050</v>
      </c>
      <c r="C10" s="44">
        <f>IF(Table1[[#This Row],[Date]]&lt;&gt;DATEVALUE("06/23/2020"),DATEDIF(DATEVALUE("06/19/2020"),B10,"M")+1,1)</f>
        <v>2</v>
      </c>
      <c r="D10" s="44">
        <f>IF(Table1[[#This Row],[Month]]=1,Table1[[#This Row],[Week]],Table1[[#This Row],[Week]]-(Table1[[#This Row],[Month]]-1)*4)</f>
        <v>3</v>
      </c>
      <c r="E10" s="44">
        <f>IF(Table1[[#This Row],[Day]]=1,0,(Table1[[#This Row],[Day]]-3+7)/7)</f>
        <v>7</v>
      </c>
      <c r="F10" s="44">
        <f>IF(Table1[[#This Row],[Date]]&lt;&gt;DATEVALUE("06/23/2020"),DATEDIF($B$5,B10,"D"),1)</f>
        <v>45</v>
      </c>
      <c r="G10" s="29">
        <f>IF(Table1[[#This Row],[Ind Week]]=0,D7+Table1[[#This Row],[Profit]],G9+Table1[[#This Row],[Profit]])</f>
        <v>13111.130000000001</v>
      </c>
      <c r="H10" s="29">
        <f>22111.13-7102.17-9000</f>
        <v>6008.9600000000009</v>
      </c>
      <c r="I10" s="37">
        <f t="shared" si="0"/>
        <v>0.84607380561152445</v>
      </c>
      <c r="K10" s="1">
        <v>6</v>
      </c>
      <c r="L10" s="47">
        <v>44043</v>
      </c>
      <c r="M10" s="1">
        <v>450</v>
      </c>
      <c r="O10" s="57" t="s">
        <v>13</v>
      </c>
      <c r="P10" s="57"/>
      <c r="Q10" s="57"/>
      <c r="R10" s="49">
        <v>150</v>
      </c>
      <c r="S10" s="49"/>
      <c r="T10" s="49"/>
    </row>
    <row r="11" spans="2:20" x14ac:dyDescent="0.35">
      <c r="B11" s="43">
        <v>44064</v>
      </c>
      <c r="C11" s="44">
        <f>IF(Table1[[#This Row],[Date]]&lt;&gt;DATEVALUE("06/23/2020"),DATEDIF(DATEVALUE("06/19/2020"),B11,"M")+1,1)</f>
        <v>3</v>
      </c>
      <c r="D11" s="44">
        <f>IF(Table1[[#This Row],[Month]]=1,Table1[[#This Row],[Week]],Table1[[#This Row],[Week]]-(Table1[[#This Row],[Month]]-1)*4)</f>
        <v>1</v>
      </c>
      <c r="E11" s="44">
        <f>IF(Table1[[#This Row],[Day]]=1,0,(Table1[[#This Row],[Day]]-3+7)/7)</f>
        <v>9</v>
      </c>
      <c r="F11" s="44">
        <f>IF(Table1[[#This Row],[Date]]&lt;&gt;DATEVALUE("06/23/2020"),DATEDIF($B$5,B11,"D"),1)</f>
        <v>59</v>
      </c>
      <c r="G11" s="29">
        <f>IF(Table1[[#This Row],[Ind Week]]=0,D8+Table1[[#This Row],[Profit]],G10+Table1[[#This Row],[Profit]])</f>
        <v>69472.08</v>
      </c>
      <c r="H11" s="29">
        <f>78472.08-13111.13-9000</f>
        <v>56360.950000000004</v>
      </c>
      <c r="I11" s="37">
        <f t="shared" si="0"/>
        <v>4.2987103323664702</v>
      </c>
      <c r="O11" s="57" t="s">
        <v>8</v>
      </c>
      <c r="P11" s="57"/>
      <c r="Q11" s="57" t="s">
        <v>1</v>
      </c>
      <c r="R11" s="57"/>
      <c r="S11" s="57">
        <v>750</v>
      </c>
      <c r="T11" s="57"/>
    </row>
    <row r="12" spans="2:20" x14ac:dyDescent="0.35">
      <c r="G12" s="29"/>
      <c r="H12" s="29"/>
      <c r="O12" s="54">
        <v>22111.13</v>
      </c>
      <c r="P12" s="54"/>
      <c r="Q12" s="56">
        <v>0.71799999999999997</v>
      </c>
      <c r="R12" s="56"/>
      <c r="S12" s="54">
        <f>ROUNDDOWN(O12/(1-Q12)/R10,0)*R10*Q12+O12</f>
        <v>78330.53</v>
      </c>
      <c r="T12" s="54"/>
    </row>
    <row r="13" spans="2:20" x14ac:dyDescent="0.35">
      <c r="G13" s="29"/>
      <c r="H13" s="29"/>
      <c r="O13" s="57" t="s">
        <v>11</v>
      </c>
      <c r="P13" s="57"/>
      <c r="Q13" s="54">
        <f>S12-O12</f>
        <v>56219.399999999994</v>
      </c>
      <c r="R13" s="54"/>
      <c r="S13" s="55">
        <f>Q13/O12</f>
        <v>2.5425837575917645</v>
      </c>
      <c r="T13" s="55"/>
    </row>
    <row r="14" spans="2:20" x14ac:dyDescent="0.35">
      <c r="G14" s="29"/>
      <c r="H14" s="29"/>
      <c r="O14" s="57" t="s">
        <v>25</v>
      </c>
      <c r="P14" s="57"/>
      <c r="Q14" s="57"/>
      <c r="R14" s="62">
        <f>S12/R10</f>
        <v>522.20353333333333</v>
      </c>
      <c r="S14" s="62"/>
      <c r="T14" s="62"/>
    </row>
    <row r="15" spans="2:20" x14ac:dyDescent="0.35">
      <c r="J15"/>
    </row>
    <row r="16" spans="2:20" x14ac:dyDescent="0.35">
      <c r="O16" s="57" t="s">
        <v>13</v>
      </c>
      <c r="P16" s="57"/>
      <c r="Q16" s="57"/>
      <c r="R16" s="49">
        <v>50</v>
      </c>
      <c r="S16" s="49"/>
      <c r="T16" s="49"/>
    </row>
    <row r="17" spans="7:20" x14ac:dyDescent="0.35">
      <c r="O17" s="57" t="s">
        <v>8</v>
      </c>
      <c r="P17" s="57"/>
      <c r="Q17" s="57" t="s">
        <v>1</v>
      </c>
      <c r="R17" s="57"/>
      <c r="S17" s="57" t="s">
        <v>9</v>
      </c>
      <c r="T17" s="57"/>
    </row>
    <row r="18" spans="7:20" x14ac:dyDescent="0.35">
      <c r="O18" s="54">
        <v>10000</v>
      </c>
      <c r="P18" s="54"/>
      <c r="Q18" s="56">
        <v>0.75</v>
      </c>
      <c r="R18" s="56"/>
      <c r="S18" s="54">
        <f>ROUNDDOWN(O18/(1-Q18)/R16,0)*R16*Q18+O18</f>
        <v>40000</v>
      </c>
      <c r="T18" s="54"/>
    </row>
    <row r="19" spans="7:20" x14ac:dyDescent="0.35">
      <c r="O19" s="57" t="s">
        <v>11</v>
      </c>
      <c r="P19" s="57"/>
      <c r="Q19" s="54">
        <f>S18-O18</f>
        <v>30000</v>
      </c>
      <c r="R19" s="54"/>
      <c r="S19" s="55">
        <f>Q19/O18</f>
        <v>3</v>
      </c>
      <c r="T19" s="55"/>
    </row>
    <row r="20" spans="7:20" x14ac:dyDescent="0.35">
      <c r="O20" s="57" t="s">
        <v>25</v>
      </c>
      <c r="P20" s="57"/>
      <c r="Q20" s="57"/>
      <c r="R20" s="62">
        <f>S18/R16</f>
        <v>800</v>
      </c>
      <c r="S20" s="62"/>
      <c r="T20" s="62"/>
    </row>
    <row r="21" spans="7:20" x14ac:dyDescent="0.35">
      <c r="G21" s="29"/>
      <c r="H21" s="29"/>
    </row>
    <row r="22" spans="7:20" x14ac:dyDescent="0.35">
      <c r="G22" s="29"/>
      <c r="H22" s="29"/>
      <c r="O22" s="57" t="s">
        <v>13</v>
      </c>
      <c r="P22" s="57"/>
      <c r="Q22" s="57"/>
      <c r="R22" s="49">
        <v>5000</v>
      </c>
      <c r="S22" s="49"/>
      <c r="T22" s="49"/>
    </row>
    <row r="23" spans="7:20" x14ac:dyDescent="0.35">
      <c r="G23" s="29"/>
      <c r="H23" s="29"/>
      <c r="O23" s="57" t="s">
        <v>8</v>
      </c>
      <c r="P23" s="57"/>
      <c r="Q23" s="57" t="s">
        <v>1</v>
      </c>
      <c r="R23" s="57"/>
      <c r="S23" s="57" t="s">
        <v>9</v>
      </c>
      <c r="T23" s="57"/>
    </row>
    <row r="24" spans="7:20" x14ac:dyDescent="0.35">
      <c r="G24" s="29"/>
      <c r="H24" s="29"/>
      <c r="O24" s="54">
        <v>10000</v>
      </c>
      <c r="P24" s="54"/>
      <c r="Q24" s="56">
        <v>0.75</v>
      </c>
      <c r="R24" s="56"/>
      <c r="S24" s="54">
        <f>ROUNDDOWN(O24/(1-Q24)/R22,0)*R22*Q24+O24</f>
        <v>40000</v>
      </c>
      <c r="T24" s="54"/>
    </row>
    <row r="25" spans="7:20" x14ac:dyDescent="0.35">
      <c r="O25" s="57" t="s">
        <v>11</v>
      </c>
      <c r="P25" s="57"/>
      <c r="Q25" s="54">
        <f>S24-O24</f>
        <v>30000</v>
      </c>
      <c r="R25" s="54"/>
      <c r="S25" s="55">
        <f>Q25/O24</f>
        <v>3</v>
      </c>
      <c r="T25" s="55"/>
    </row>
    <row r="26" spans="7:20" x14ac:dyDescent="0.35">
      <c r="O26" s="57" t="s">
        <v>25</v>
      </c>
      <c r="P26" s="57"/>
      <c r="Q26" s="57"/>
      <c r="R26" s="62">
        <f>S24/R22</f>
        <v>8</v>
      </c>
      <c r="S26" s="62"/>
      <c r="T26" s="62"/>
    </row>
    <row r="28" spans="7:20" x14ac:dyDescent="0.35">
      <c r="R28" s="28">
        <f>ROUNDDOWN(R26,0)</f>
        <v>8</v>
      </c>
      <c r="S28" s="39">
        <f>O24-(R22*(1-Q24))*2</f>
        <v>7500</v>
      </c>
    </row>
    <row r="29" spans="7:20" x14ac:dyDescent="0.35">
      <c r="S29" s="39">
        <f>668.77-S28</f>
        <v>-6831.23</v>
      </c>
    </row>
    <row r="42" spans="7:8" x14ac:dyDescent="0.35">
      <c r="G42" s="29"/>
      <c r="H42" s="29"/>
    </row>
    <row r="43" spans="7:8" x14ac:dyDescent="0.35">
      <c r="G43" s="29"/>
      <c r="H43" s="29"/>
    </row>
    <row r="44" spans="7:8" x14ac:dyDescent="0.35">
      <c r="G44" s="29"/>
      <c r="H44" s="29"/>
    </row>
    <row r="45" spans="7:8" x14ac:dyDescent="0.35">
      <c r="G45" s="29"/>
      <c r="H45" s="29"/>
    </row>
    <row r="46" spans="7:8" x14ac:dyDescent="0.35">
      <c r="G46" s="29"/>
      <c r="H46" s="29"/>
    </row>
    <row r="47" spans="7:8" x14ac:dyDescent="0.35">
      <c r="G47" s="29"/>
      <c r="H47" s="29"/>
    </row>
    <row r="48" spans="7:8" x14ac:dyDescent="0.35">
      <c r="G48" s="29"/>
      <c r="H48" s="29"/>
    </row>
    <row r="49" spans="7:8" x14ac:dyDescent="0.35">
      <c r="G49" s="29"/>
      <c r="H49" s="29"/>
    </row>
    <row r="50" spans="7:8" x14ac:dyDescent="0.35">
      <c r="G50" s="29"/>
      <c r="H50" s="29"/>
    </row>
    <row r="51" spans="7:8" x14ac:dyDescent="0.35">
      <c r="G51" s="29"/>
      <c r="H51" s="29"/>
    </row>
    <row r="52" spans="7:8" x14ac:dyDescent="0.35">
      <c r="G52" s="29"/>
      <c r="H52" s="29"/>
    </row>
    <row r="53" spans="7:8" x14ac:dyDescent="0.35">
      <c r="G53" s="29"/>
      <c r="H53" s="29"/>
    </row>
    <row r="54" spans="7:8" x14ac:dyDescent="0.35">
      <c r="G54" s="29"/>
      <c r="H54" s="29"/>
    </row>
    <row r="55" spans="7:8" x14ac:dyDescent="0.35">
      <c r="G55" s="29"/>
      <c r="H55" s="29"/>
    </row>
    <row r="56" spans="7:8" x14ac:dyDescent="0.35">
      <c r="G56" s="29"/>
      <c r="H56" s="29"/>
    </row>
    <row r="57" spans="7:8" x14ac:dyDescent="0.35">
      <c r="G57" s="29"/>
      <c r="H57" s="29"/>
    </row>
    <row r="58" spans="7:8" x14ac:dyDescent="0.35">
      <c r="G58" s="29"/>
      <c r="H58" s="29"/>
    </row>
    <row r="59" spans="7:8" x14ac:dyDescent="0.35">
      <c r="G59" s="29"/>
      <c r="H59" s="29"/>
    </row>
    <row r="60" spans="7:8" x14ac:dyDescent="0.35">
      <c r="G60" s="29"/>
      <c r="H60" s="29"/>
    </row>
    <row r="61" spans="7:8" x14ac:dyDescent="0.35">
      <c r="G61" s="29"/>
      <c r="H61" s="29"/>
    </row>
    <row r="62" spans="7:8" x14ac:dyDescent="0.35">
      <c r="G62" s="29"/>
      <c r="H62" s="29"/>
    </row>
    <row r="63" spans="7:8" x14ac:dyDescent="0.35">
      <c r="G63" s="29"/>
      <c r="H63" s="29"/>
    </row>
    <row r="64" spans="7:8" x14ac:dyDescent="0.35">
      <c r="G64" s="29"/>
      <c r="H64" s="29"/>
    </row>
    <row r="65" spans="7:8" x14ac:dyDescent="0.35">
      <c r="G65" s="29"/>
      <c r="H65" s="29"/>
    </row>
    <row r="66" spans="7:8" x14ac:dyDescent="0.35">
      <c r="G66" s="29"/>
      <c r="H66" s="29"/>
    </row>
    <row r="67" spans="7:8" x14ac:dyDescent="0.35">
      <c r="G67" s="29"/>
      <c r="H67" s="29"/>
    </row>
    <row r="68" spans="7:8" x14ac:dyDescent="0.35">
      <c r="G68" s="29"/>
      <c r="H68" s="29"/>
    </row>
    <row r="69" spans="7:8" x14ac:dyDescent="0.35">
      <c r="G69" s="29"/>
      <c r="H69" s="29"/>
    </row>
    <row r="70" spans="7:8" x14ac:dyDescent="0.35">
      <c r="G70" s="29"/>
      <c r="H70" s="29"/>
    </row>
    <row r="71" spans="7:8" x14ac:dyDescent="0.35">
      <c r="G71" s="29"/>
      <c r="H71" s="29"/>
    </row>
    <row r="72" spans="7:8" x14ac:dyDescent="0.35">
      <c r="G72" s="29"/>
      <c r="H72" s="29"/>
    </row>
    <row r="73" spans="7:8" x14ac:dyDescent="0.35">
      <c r="G73" s="29"/>
      <c r="H73" s="29"/>
    </row>
    <row r="74" spans="7:8" x14ac:dyDescent="0.35">
      <c r="G74" s="29"/>
      <c r="H74" s="29"/>
    </row>
    <row r="75" spans="7:8" x14ac:dyDescent="0.35">
      <c r="G75" s="29"/>
      <c r="H75" s="29"/>
    </row>
    <row r="76" spans="7:8" x14ac:dyDescent="0.35">
      <c r="G76" s="29"/>
      <c r="H76" s="29"/>
    </row>
    <row r="77" spans="7:8" x14ac:dyDescent="0.35">
      <c r="G77" s="29"/>
      <c r="H77" s="29"/>
    </row>
    <row r="78" spans="7:8" x14ac:dyDescent="0.35">
      <c r="G78" s="29"/>
      <c r="H78" s="29"/>
    </row>
    <row r="79" spans="7:8" x14ac:dyDescent="0.35">
      <c r="G79" s="29"/>
      <c r="H79" s="29"/>
    </row>
    <row r="80" spans="7:8" x14ac:dyDescent="0.35">
      <c r="G80" s="29"/>
      <c r="H80" s="29"/>
    </row>
    <row r="81" spans="7:8" x14ac:dyDescent="0.35">
      <c r="G81" s="29"/>
      <c r="H81" s="29"/>
    </row>
    <row r="82" spans="7:8" x14ac:dyDescent="0.35">
      <c r="G82" s="29"/>
      <c r="H82" s="29"/>
    </row>
    <row r="83" spans="7:8" x14ac:dyDescent="0.35">
      <c r="G83" s="29"/>
      <c r="H83" s="29"/>
    </row>
    <row r="84" spans="7:8" x14ac:dyDescent="0.35">
      <c r="G84" s="29"/>
      <c r="H84" s="29"/>
    </row>
    <row r="85" spans="7:8" x14ac:dyDescent="0.35">
      <c r="G85" s="29"/>
      <c r="H85" s="29"/>
    </row>
    <row r="86" spans="7:8" x14ac:dyDescent="0.35">
      <c r="G86" s="29"/>
      <c r="H86" s="29"/>
    </row>
    <row r="87" spans="7:8" x14ac:dyDescent="0.35">
      <c r="G87" s="29"/>
      <c r="H87" s="29"/>
    </row>
    <row r="88" spans="7:8" x14ac:dyDescent="0.35">
      <c r="G88" s="29"/>
      <c r="H88" s="29"/>
    </row>
    <row r="89" spans="7:8" x14ac:dyDescent="0.35">
      <c r="G89" s="29"/>
      <c r="H89" s="29"/>
    </row>
    <row r="90" spans="7:8" x14ac:dyDescent="0.35">
      <c r="G90" s="29"/>
      <c r="H90" s="29"/>
    </row>
    <row r="91" spans="7:8" x14ac:dyDescent="0.35">
      <c r="G91" s="29"/>
      <c r="H91" s="29"/>
    </row>
    <row r="92" spans="7:8" x14ac:dyDescent="0.35">
      <c r="G92" s="29"/>
      <c r="H92" s="29"/>
    </row>
    <row r="93" spans="7:8" x14ac:dyDescent="0.35">
      <c r="G93" s="29"/>
      <c r="H93" s="29"/>
    </row>
    <row r="94" spans="7:8" x14ac:dyDescent="0.35">
      <c r="G94" s="29"/>
      <c r="H94" s="29"/>
    </row>
    <row r="95" spans="7:8" x14ac:dyDescent="0.35">
      <c r="G95" s="29"/>
      <c r="H95" s="29"/>
    </row>
    <row r="96" spans="7:8" x14ac:dyDescent="0.35">
      <c r="G96" s="29"/>
      <c r="H96" s="29"/>
    </row>
    <row r="97" spans="7:8" x14ac:dyDescent="0.35">
      <c r="G97" s="29"/>
      <c r="H97" s="29"/>
    </row>
    <row r="98" spans="7:8" x14ac:dyDescent="0.35">
      <c r="G98" s="29"/>
      <c r="H98" s="29"/>
    </row>
    <row r="99" spans="7:8" x14ac:dyDescent="0.35">
      <c r="G99" s="29"/>
      <c r="H99" s="29"/>
    </row>
    <row r="100" spans="7:8" x14ac:dyDescent="0.35">
      <c r="G100" s="29"/>
      <c r="H100" s="29"/>
    </row>
    <row r="101" spans="7:8" x14ac:dyDescent="0.35">
      <c r="G101" s="29"/>
      <c r="H101" s="29"/>
    </row>
    <row r="102" spans="7:8" x14ac:dyDescent="0.35">
      <c r="G102" s="29"/>
      <c r="H102" s="29"/>
    </row>
    <row r="103" spans="7:8" x14ac:dyDescent="0.35">
      <c r="G103" s="29"/>
      <c r="H103" s="29"/>
    </row>
    <row r="104" spans="7:8" x14ac:dyDescent="0.35">
      <c r="G104" s="29"/>
      <c r="H104" s="29"/>
    </row>
    <row r="105" spans="7:8" x14ac:dyDescent="0.35">
      <c r="G105" s="29"/>
      <c r="H105" s="29"/>
    </row>
    <row r="106" spans="7:8" x14ac:dyDescent="0.35">
      <c r="G106" s="29"/>
      <c r="H106" s="29"/>
    </row>
    <row r="107" spans="7:8" x14ac:dyDescent="0.35">
      <c r="G107" s="29"/>
      <c r="H107" s="29"/>
    </row>
    <row r="108" spans="7:8" x14ac:dyDescent="0.35">
      <c r="G108" s="29"/>
      <c r="H108" s="29"/>
    </row>
    <row r="109" spans="7:8" x14ac:dyDescent="0.35">
      <c r="G109" s="29"/>
      <c r="H109" s="29"/>
    </row>
    <row r="110" spans="7:8" x14ac:dyDescent="0.35">
      <c r="G110" s="29"/>
      <c r="H110" s="29"/>
    </row>
    <row r="111" spans="7:8" x14ac:dyDescent="0.35">
      <c r="G111" s="29"/>
      <c r="H111" s="29"/>
    </row>
    <row r="112" spans="7:8" x14ac:dyDescent="0.35">
      <c r="G112" s="29"/>
      <c r="H112" s="29"/>
    </row>
    <row r="113" spans="7:8" x14ac:dyDescent="0.35">
      <c r="G113" s="29"/>
      <c r="H113" s="29"/>
    </row>
    <row r="114" spans="7:8" x14ac:dyDescent="0.35">
      <c r="G114" s="29"/>
      <c r="H114" s="29"/>
    </row>
    <row r="115" spans="7:8" x14ac:dyDescent="0.35">
      <c r="G115" s="29"/>
      <c r="H115" s="29"/>
    </row>
    <row r="116" spans="7:8" x14ac:dyDescent="0.35">
      <c r="G116" s="29"/>
      <c r="H116" s="29"/>
    </row>
    <row r="117" spans="7:8" x14ac:dyDescent="0.35">
      <c r="G117" s="29"/>
      <c r="H117" s="29"/>
    </row>
    <row r="118" spans="7:8" x14ac:dyDescent="0.35">
      <c r="G118" s="29"/>
      <c r="H118" s="29"/>
    </row>
    <row r="119" spans="7:8" x14ac:dyDescent="0.35">
      <c r="G119" s="29"/>
      <c r="H119" s="29"/>
    </row>
    <row r="120" spans="7:8" x14ac:dyDescent="0.35">
      <c r="G120" s="29"/>
      <c r="H120" s="29"/>
    </row>
    <row r="121" spans="7:8" x14ac:dyDescent="0.35">
      <c r="G121" s="29"/>
      <c r="H121" s="29"/>
    </row>
    <row r="122" spans="7:8" x14ac:dyDescent="0.35">
      <c r="G122" s="29"/>
      <c r="H122" s="29"/>
    </row>
    <row r="123" spans="7:8" x14ac:dyDescent="0.35">
      <c r="G123" s="29"/>
      <c r="H123" s="29"/>
    </row>
    <row r="124" spans="7:8" x14ac:dyDescent="0.35">
      <c r="G124" s="29"/>
      <c r="H124" s="29"/>
    </row>
    <row r="125" spans="7:8" x14ac:dyDescent="0.35">
      <c r="G125" s="29"/>
      <c r="H125" s="29"/>
    </row>
    <row r="126" spans="7:8" x14ac:dyDescent="0.35">
      <c r="G126" s="29"/>
      <c r="H126" s="29"/>
    </row>
    <row r="127" spans="7:8" x14ac:dyDescent="0.35">
      <c r="G127" s="29"/>
      <c r="H127" s="29"/>
    </row>
    <row r="128" spans="7:8" x14ac:dyDescent="0.35">
      <c r="G128" s="29"/>
      <c r="H128" s="29"/>
    </row>
    <row r="129" spans="7:8" x14ac:dyDescent="0.35">
      <c r="G129" s="29"/>
      <c r="H129" s="29"/>
    </row>
    <row r="130" spans="7:8" x14ac:dyDescent="0.35">
      <c r="G130" s="29"/>
      <c r="H130" s="29"/>
    </row>
    <row r="131" spans="7:8" x14ac:dyDescent="0.35">
      <c r="G131" s="29"/>
      <c r="H131" s="29"/>
    </row>
    <row r="132" spans="7:8" x14ac:dyDescent="0.35">
      <c r="G132" s="29"/>
      <c r="H132" s="29"/>
    </row>
    <row r="133" spans="7:8" x14ac:dyDescent="0.35">
      <c r="G133" s="29"/>
      <c r="H133" s="29"/>
    </row>
    <row r="134" spans="7:8" x14ac:dyDescent="0.35">
      <c r="G134" s="29"/>
      <c r="H134" s="29"/>
    </row>
    <row r="135" spans="7:8" x14ac:dyDescent="0.35">
      <c r="G135" s="29"/>
      <c r="H135" s="29"/>
    </row>
    <row r="136" spans="7:8" x14ac:dyDescent="0.35">
      <c r="G136" s="29"/>
      <c r="H136" s="29"/>
    </row>
    <row r="137" spans="7:8" x14ac:dyDescent="0.35">
      <c r="G137" s="29"/>
      <c r="H137" s="29"/>
    </row>
    <row r="138" spans="7:8" x14ac:dyDescent="0.35">
      <c r="G138" s="29"/>
      <c r="H138" s="29"/>
    </row>
    <row r="139" spans="7:8" x14ac:dyDescent="0.35">
      <c r="G139" s="29"/>
      <c r="H139" s="29"/>
    </row>
    <row r="140" spans="7:8" x14ac:dyDescent="0.35">
      <c r="G140" s="29"/>
      <c r="H140" s="29"/>
    </row>
    <row r="141" spans="7:8" x14ac:dyDescent="0.35">
      <c r="G141" s="29"/>
      <c r="H141" s="29"/>
    </row>
    <row r="142" spans="7:8" x14ac:dyDescent="0.35">
      <c r="G142" s="29"/>
      <c r="H142" s="29"/>
    </row>
    <row r="143" spans="7:8" x14ac:dyDescent="0.35">
      <c r="G143" s="29"/>
      <c r="H143" s="29"/>
    </row>
    <row r="144" spans="7:8" x14ac:dyDescent="0.35">
      <c r="G144" s="29"/>
      <c r="H144" s="29"/>
    </row>
    <row r="145" spans="7:8" x14ac:dyDescent="0.35">
      <c r="G145" s="29"/>
      <c r="H145" s="29"/>
    </row>
    <row r="146" spans="7:8" x14ac:dyDescent="0.35">
      <c r="G146" s="29"/>
      <c r="H146" s="29"/>
    </row>
    <row r="147" spans="7:8" x14ac:dyDescent="0.35">
      <c r="G147" s="29"/>
      <c r="H147" s="29"/>
    </row>
    <row r="148" spans="7:8" x14ac:dyDescent="0.35">
      <c r="G148" s="29"/>
      <c r="H148" s="29"/>
    </row>
    <row r="149" spans="7:8" x14ac:dyDescent="0.35">
      <c r="G149" s="29"/>
      <c r="H149" s="29"/>
    </row>
    <row r="150" spans="7:8" x14ac:dyDescent="0.35">
      <c r="G150" s="29"/>
      <c r="H150" s="29"/>
    </row>
    <row r="151" spans="7:8" x14ac:dyDescent="0.35">
      <c r="G151" s="29"/>
      <c r="H151" s="29"/>
    </row>
    <row r="152" spans="7:8" x14ac:dyDescent="0.35">
      <c r="G152" s="29"/>
      <c r="H152" s="29"/>
    </row>
    <row r="153" spans="7:8" x14ac:dyDescent="0.35">
      <c r="G153" s="29"/>
      <c r="H153" s="29"/>
    </row>
    <row r="154" spans="7:8" x14ac:dyDescent="0.35">
      <c r="G154" s="29"/>
      <c r="H154" s="29"/>
    </row>
    <row r="155" spans="7:8" x14ac:dyDescent="0.35">
      <c r="G155" s="29"/>
      <c r="H155" s="29"/>
    </row>
    <row r="156" spans="7:8" x14ac:dyDescent="0.35">
      <c r="G156" s="29"/>
      <c r="H156" s="29"/>
    </row>
    <row r="157" spans="7:8" x14ac:dyDescent="0.35">
      <c r="G157" s="29"/>
      <c r="H157" s="29"/>
    </row>
    <row r="158" spans="7:8" x14ac:dyDescent="0.35">
      <c r="G158" s="29"/>
      <c r="H158" s="29"/>
    </row>
    <row r="159" spans="7:8" x14ac:dyDescent="0.35">
      <c r="G159" s="29"/>
      <c r="H159" s="29"/>
    </row>
  </sheetData>
  <mergeCells count="54">
    <mergeCell ref="O18:P18"/>
    <mergeCell ref="Q18:R18"/>
    <mergeCell ref="S18:T18"/>
    <mergeCell ref="O8:Q8"/>
    <mergeCell ref="R8:T8"/>
    <mergeCell ref="O14:Q14"/>
    <mergeCell ref="R14:T14"/>
    <mergeCell ref="O16:Q16"/>
    <mergeCell ref="R16:T16"/>
    <mergeCell ref="O17:P17"/>
    <mergeCell ref="Q17:R17"/>
    <mergeCell ref="S17:T17"/>
    <mergeCell ref="O10:Q10"/>
    <mergeCell ref="R10:T10"/>
    <mergeCell ref="O11:P11"/>
    <mergeCell ref="Q11:R11"/>
    <mergeCell ref="S11:T11"/>
    <mergeCell ref="O12:P12"/>
    <mergeCell ref="Q12:R12"/>
    <mergeCell ref="S12:T12"/>
    <mergeCell ref="O13:P13"/>
    <mergeCell ref="Q13:R13"/>
    <mergeCell ref="S13:T13"/>
    <mergeCell ref="O19:P19"/>
    <mergeCell ref="Q19:R19"/>
    <mergeCell ref="S19:T19"/>
    <mergeCell ref="O20:Q20"/>
    <mergeCell ref="R20:T20"/>
    <mergeCell ref="B2:C2"/>
    <mergeCell ref="D2:G2"/>
    <mergeCell ref="O7:P7"/>
    <mergeCell ref="Q7:R7"/>
    <mergeCell ref="S7:T7"/>
    <mergeCell ref="O5:P5"/>
    <mergeCell ref="Q5:R5"/>
    <mergeCell ref="S5:T5"/>
    <mergeCell ref="O6:P6"/>
    <mergeCell ref="Q6:R6"/>
    <mergeCell ref="S6:T6"/>
    <mergeCell ref="O4:Q4"/>
    <mergeCell ref="R4:T4"/>
    <mergeCell ref="O22:Q22"/>
    <mergeCell ref="R22:T22"/>
    <mergeCell ref="O23:P23"/>
    <mergeCell ref="Q23:R23"/>
    <mergeCell ref="S23:T23"/>
    <mergeCell ref="O26:Q26"/>
    <mergeCell ref="R26:T26"/>
    <mergeCell ref="O24:P24"/>
    <mergeCell ref="Q24:R24"/>
    <mergeCell ref="S24:T24"/>
    <mergeCell ref="O25:P25"/>
    <mergeCell ref="Q25:R25"/>
    <mergeCell ref="S25:T2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D592-791B-41D9-B8FB-282FC5BF6C64}">
  <sheetPr codeName="Sheet3"/>
  <dimension ref="A1:B12"/>
  <sheetViews>
    <sheetView workbookViewId="0">
      <selection activeCell="N24" sqref="N24"/>
    </sheetView>
  </sheetViews>
  <sheetFormatPr defaultRowHeight="14.5" x14ac:dyDescent="0.35"/>
  <cols>
    <col min="1" max="1" width="13.08984375" bestFit="1" customWidth="1"/>
    <col min="2" max="2" width="14.54296875" bestFit="1" customWidth="1"/>
  </cols>
  <sheetData>
    <row r="1" spans="1:2" x14ac:dyDescent="0.35">
      <c r="A1" s="40" t="s">
        <v>17</v>
      </c>
      <c r="B1" t="s">
        <v>24</v>
      </c>
    </row>
    <row r="2" spans="1:2" x14ac:dyDescent="0.35">
      <c r="A2" s="41">
        <v>1</v>
      </c>
      <c r="B2" s="42">
        <v>3919.65</v>
      </c>
    </row>
    <row r="3" spans="1:2" x14ac:dyDescent="0.35">
      <c r="A3" s="46">
        <v>0</v>
      </c>
      <c r="B3" s="42">
        <v>3000</v>
      </c>
    </row>
    <row r="4" spans="1:2" x14ac:dyDescent="0.35">
      <c r="A4" s="46">
        <v>1</v>
      </c>
      <c r="B4" s="42">
        <v>3007</v>
      </c>
    </row>
    <row r="5" spans="1:2" x14ac:dyDescent="0.35">
      <c r="A5" s="46">
        <v>2</v>
      </c>
      <c r="B5" s="42">
        <v>3094</v>
      </c>
    </row>
    <row r="6" spans="1:2" x14ac:dyDescent="0.35">
      <c r="A6" s="46">
        <v>4</v>
      </c>
      <c r="B6" s="42">
        <v>3919.65</v>
      </c>
    </row>
    <row r="7" spans="1:2" x14ac:dyDescent="0.35">
      <c r="A7" s="41">
        <v>2</v>
      </c>
      <c r="B7" s="42">
        <v>13111.130000000001</v>
      </c>
    </row>
    <row r="8" spans="1:2" x14ac:dyDescent="0.35">
      <c r="A8" s="46">
        <v>6</v>
      </c>
      <c r="B8" s="42">
        <v>7102.17</v>
      </c>
    </row>
    <row r="9" spans="1:2" x14ac:dyDescent="0.35">
      <c r="A9" s="46">
        <v>7</v>
      </c>
      <c r="B9" s="42">
        <v>13111.130000000001</v>
      </c>
    </row>
    <row r="10" spans="1:2" x14ac:dyDescent="0.35">
      <c r="A10" s="41">
        <v>3</v>
      </c>
      <c r="B10" s="42">
        <v>69472.08</v>
      </c>
    </row>
    <row r="11" spans="1:2" x14ac:dyDescent="0.35">
      <c r="A11" s="46">
        <v>9</v>
      </c>
      <c r="B11" s="42">
        <v>69472.08</v>
      </c>
    </row>
    <row r="12" spans="1:2" x14ac:dyDescent="0.35">
      <c r="A12" s="41" t="s">
        <v>18</v>
      </c>
      <c r="B12" s="42">
        <v>69472.08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35C5-0603-4914-82B4-3A571EAFFE6B}">
  <sheetPr codeName="Sheet4"/>
  <dimension ref="A3:B7"/>
  <sheetViews>
    <sheetView workbookViewId="0">
      <selection activeCell="B11" sqref="B11"/>
    </sheetView>
  </sheetViews>
  <sheetFormatPr defaultRowHeight="14.5" x14ac:dyDescent="0.35"/>
  <cols>
    <col min="1" max="1" width="13.08984375" bestFit="1" customWidth="1"/>
    <col min="2" max="2" width="12.54296875" bestFit="1" customWidth="1"/>
  </cols>
  <sheetData>
    <row r="3" spans="1:2" x14ac:dyDescent="0.35">
      <c r="A3" s="40" t="s">
        <v>17</v>
      </c>
      <c r="B3" t="s">
        <v>21</v>
      </c>
    </row>
    <row r="4" spans="1:2" x14ac:dyDescent="0.35">
      <c r="A4" s="41">
        <v>1</v>
      </c>
      <c r="B4" s="42">
        <v>919.65000000000009</v>
      </c>
    </row>
    <row r="5" spans="1:2" x14ac:dyDescent="0.35">
      <c r="A5" s="41">
        <v>2</v>
      </c>
      <c r="B5" s="42">
        <v>9191.4800000000014</v>
      </c>
    </row>
    <row r="6" spans="1:2" x14ac:dyDescent="0.35">
      <c r="A6" s="41">
        <v>3</v>
      </c>
      <c r="B6" s="42">
        <v>56360.950000000004</v>
      </c>
    </row>
    <row r="7" spans="1:2" x14ac:dyDescent="0.35">
      <c r="A7" s="41" t="s">
        <v>18</v>
      </c>
      <c r="B7" s="42">
        <v>66472.08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9B04EC7D548B449DB831AA98F707E7" ma:contentTypeVersion="10" ma:contentTypeDescription="Create a new document." ma:contentTypeScope="" ma:versionID="9a847857633259c72fab6d24ca779bef">
  <xsd:schema xmlns:xsd="http://www.w3.org/2001/XMLSchema" xmlns:xs="http://www.w3.org/2001/XMLSchema" xmlns:p="http://schemas.microsoft.com/office/2006/metadata/properties" xmlns:ns3="156f1f46-174d-49d8-bcab-8fc37334795c" targetNamespace="http://schemas.microsoft.com/office/2006/metadata/properties" ma:root="true" ma:fieldsID="be1a0327ca7e694bd9f7d55e9a359304" ns3:_="">
    <xsd:import namespace="156f1f46-174d-49d8-bcab-8fc3733479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6f1f46-174d-49d8-bcab-8fc3733479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06A09B-119C-444D-970F-B205B3821DE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56f1f46-174d-49d8-bcab-8fc37334795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BC694D-B68F-4C00-9887-2683EDC277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2C9B2E-DE0C-42CE-911F-8E93FD086852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Calculator</vt:lpstr>
      <vt:lpstr>Starting Money</vt:lpstr>
      <vt:lpstr>Actual</vt:lpstr>
      <vt:lpstr>1 - Balance vs Days</vt:lpstr>
      <vt:lpstr>2 - Profit vs Days</vt:lpstr>
      <vt:lpstr>Chart - Balance</vt:lpstr>
      <vt:lpstr>Chart -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 Widyanto</dc:creator>
  <cp:lastModifiedBy>Widyanto, Hendry</cp:lastModifiedBy>
  <dcterms:created xsi:type="dcterms:W3CDTF">2020-06-17T18:52:39Z</dcterms:created>
  <dcterms:modified xsi:type="dcterms:W3CDTF">2022-08-18T18:56:42Z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0x010100649B04EC7D548B449DB831AA98F707E7</vt:lpwstr>
  </property>
</Properties>
</file>