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hendry_widyanto_abbott_com/Documents/1 - Personal/Document/"/>
    </mc:Choice>
  </mc:AlternateContent>
  <xr:revisionPtr revIDLastSave="2401" documentId="13_ncr:1_{2FF580B8-754B-4EAE-BD7B-5CAFC62E0403}" xr6:coauthVersionLast="47" xr6:coauthVersionMax="47" xr10:uidLastSave="{2CEF66AD-3F2B-43A1-82F7-C79DD7D373CC}"/>
  <bookViews>
    <workbookView xWindow="-108" yWindow="-108" windowWidth="23256" windowHeight="12576" activeTab="5" xr2:uid="{CBC7CB5F-3FBD-4F12-8A70-C85F1C1BBDAB}"/>
  </bookViews>
  <sheets>
    <sheet name="Option Log" sheetId="1" r:id="rId1"/>
    <sheet name="Profit &amp; Loss" sheetId="5" r:id="rId2"/>
    <sheet name="Debit Spread Plan" sheetId="6" r:id="rId3"/>
    <sheet name="Coding" sheetId="4" state="hidden" r:id="rId4"/>
    <sheet name="Balance" sheetId="2" state="hidden" r:id="rId5"/>
    <sheet name="Total Investme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/>
  <c r="C13" i="5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E94" i="1"/>
  <c r="E95" i="1"/>
  <c r="L94" i="1"/>
  <c r="L95" i="1"/>
  <c r="M94" i="1"/>
  <c r="M95" i="1"/>
  <c r="N94" i="1"/>
  <c r="N95" i="1"/>
  <c r="O94" i="1"/>
  <c r="O95" i="1"/>
  <c r="E92" i="1"/>
  <c r="E93" i="1"/>
  <c r="L92" i="1"/>
  <c r="L93" i="1"/>
  <c r="M92" i="1"/>
  <c r="M93" i="1"/>
  <c r="N92" i="1"/>
  <c r="N93" i="1"/>
  <c r="O92" i="1"/>
  <c r="O93" i="1"/>
  <c r="I91" i="1"/>
  <c r="I90" i="1"/>
  <c r="E91" i="1"/>
  <c r="L91" i="1"/>
  <c r="M91" i="1"/>
  <c r="N91" i="1"/>
  <c r="O91" i="1"/>
  <c r="E90" i="1"/>
  <c r="L90" i="1"/>
  <c r="M90" i="1"/>
  <c r="N90" i="1"/>
  <c r="O90" i="1"/>
  <c r="E88" i="1"/>
  <c r="E89" i="1"/>
  <c r="L88" i="1"/>
  <c r="L89" i="1"/>
  <c r="M88" i="1"/>
  <c r="M89" i="1"/>
  <c r="N88" i="1"/>
  <c r="N89" i="1"/>
  <c r="O88" i="1"/>
  <c r="O89" i="1"/>
  <c r="I87" i="1"/>
  <c r="I86" i="1"/>
  <c r="H87" i="1"/>
  <c r="H86" i="1"/>
  <c r="N86" i="1" s="1"/>
  <c r="E86" i="1"/>
  <c r="E87" i="1"/>
  <c r="L86" i="1"/>
  <c r="L87" i="1"/>
  <c r="M86" i="1"/>
  <c r="M87" i="1"/>
  <c r="N87" i="1"/>
  <c r="O86" i="1"/>
  <c r="O87" i="1"/>
  <c r="L84" i="1"/>
  <c r="L85" i="1"/>
  <c r="M84" i="1"/>
  <c r="M85" i="1"/>
  <c r="N84" i="1"/>
  <c r="N85" i="1"/>
  <c r="O84" i="1"/>
  <c r="O85" i="1"/>
  <c r="E85" i="1"/>
  <c r="E84" i="1"/>
  <c r="I83" i="1"/>
  <c r="I82" i="1"/>
  <c r="E82" i="1"/>
  <c r="E83" i="1"/>
  <c r="L82" i="1"/>
  <c r="L83" i="1"/>
  <c r="M82" i="1"/>
  <c r="M83" i="1"/>
  <c r="N82" i="1"/>
  <c r="N83" i="1"/>
  <c r="O82" i="1"/>
  <c r="O83" i="1"/>
  <c r="I81" i="1"/>
  <c r="E81" i="1"/>
  <c r="L81" i="1"/>
  <c r="M81" i="1"/>
  <c r="N81" i="1"/>
  <c r="O81" i="1"/>
  <c r="E80" i="1"/>
  <c r="L80" i="1"/>
  <c r="M80" i="1"/>
  <c r="N80" i="1"/>
  <c r="O80" i="1"/>
  <c r="E79" i="1"/>
  <c r="L79" i="1"/>
  <c r="M79" i="1"/>
  <c r="N79" i="1"/>
  <c r="O79" i="1"/>
  <c r="I78" i="1"/>
  <c r="H78" i="1"/>
  <c r="E78" i="1"/>
  <c r="L78" i="1"/>
  <c r="M78" i="1"/>
  <c r="N78" i="1"/>
  <c r="O78" i="1"/>
  <c r="I77" i="1"/>
  <c r="I76" i="1"/>
  <c r="E76" i="1"/>
  <c r="E77" i="1"/>
  <c r="L76" i="1"/>
  <c r="L77" i="1"/>
  <c r="M76" i="1"/>
  <c r="M77" i="1"/>
  <c r="N76" i="1"/>
  <c r="N77" i="1"/>
  <c r="O76" i="1"/>
  <c r="O77" i="1"/>
  <c r="E74" i="1"/>
  <c r="E75" i="1"/>
  <c r="L74" i="1"/>
  <c r="L75" i="1"/>
  <c r="M74" i="1"/>
  <c r="M75" i="1"/>
  <c r="N74" i="1"/>
  <c r="N75" i="1"/>
  <c r="O74" i="1"/>
  <c r="O75" i="1"/>
  <c r="I69" i="1"/>
  <c r="I68" i="1"/>
  <c r="E68" i="1"/>
  <c r="L68" i="1"/>
  <c r="M68" i="1"/>
  <c r="N68" i="1"/>
  <c r="O68" i="1"/>
  <c r="E69" i="1"/>
  <c r="L69" i="1"/>
  <c r="M69" i="1"/>
  <c r="N69" i="1"/>
  <c r="O69" i="1"/>
  <c r="E67" i="1"/>
  <c r="L67" i="1"/>
  <c r="M67" i="1"/>
  <c r="N67" i="1"/>
  <c r="O67" i="1"/>
  <c r="E73" i="1"/>
  <c r="L73" i="1"/>
  <c r="M73" i="1"/>
  <c r="N73" i="1"/>
  <c r="O73" i="1"/>
  <c r="E72" i="1"/>
  <c r="L72" i="1"/>
  <c r="M72" i="1"/>
  <c r="N72" i="1"/>
  <c r="O72" i="1"/>
  <c r="E71" i="1"/>
  <c r="L71" i="1"/>
  <c r="M71" i="1"/>
  <c r="N71" i="1"/>
  <c r="O71" i="1"/>
  <c r="E70" i="1"/>
  <c r="L70" i="1"/>
  <c r="M70" i="1"/>
  <c r="N70" i="1"/>
  <c r="O70" i="1"/>
  <c r="H31" i="2"/>
  <c r="H37" i="2" s="1"/>
  <c r="C6" i="6"/>
  <c r="C7" i="6" s="1"/>
  <c r="I66" i="1"/>
  <c r="I65" i="1"/>
  <c r="L65" i="1"/>
  <c r="L66" i="1"/>
  <c r="M65" i="1"/>
  <c r="M66" i="1"/>
  <c r="N65" i="1"/>
  <c r="N66" i="1"/>
  <c r="O65" i="1"/>
  <c r="O66" i="1"/>
  <c r="E66" i="1"/>
  <c r="E65" i="1"/>
  <c r="I64" i="1"/>
  <c r="E64" i="1"/>
  <c r="L64" i="1"/>
  <c r="M64" i="1"/>
  <c r="N64" i="1"/>
  <c r="O64" i="1"/>
  <c r="E63" i="1"/>
  <c r="L63" i="1"/>
  <c r="M63" i="1"/>
  <c r="N63" i="1"/>
  <c r="O63" i="1"/>
  <c r="F4" i="5" a="1"/>
  <c r="F4" i="5" s="1"/>
  <c r="E61" i="1"/>
  <c r="E62" i="1"/>
  <c r="L61" i="1"/>
  <c r="L62" i="1"/>
  <c r="M61" i="1"/>
  <c r="M62" i="1"/>
  <c r="N61" i="1"/>
  <c r="N62" i="1"/>
  <c r="O61" i="1"/>
  <c r="O62" i="1"/>
  <c r="I60" i="1"/>
  <c r="I59" i="1"/>
  <c r="E59" i="1"/>
  <c r="E60" i="1"/>
  <c r="L59" i="1"/>
  <c r="L60" i="1"/>
  <c r="M59" i="1"/>
  <c r="M60" i="1"/>
  <c r="N59" i="1"/>
  <c r="N60" i="1"/>
  <c r="O59" i="1"/>
  <c r="O60" i="1"/>
  <c r="I58" i="1"/>
  <c r="I57" i="1"/>
  <c r="E57" i="1"/>
  <c r="E58" i="1"/>
  <c r="L57" i="1"/>
  <c r="L58" i="1"/>
  <c r="M57" i="1"/>
  <c r="M58" i="1"/>
  <c r="N57" i="1"/>
  <c r="N58" i="1"/>
  <c r="O57" i="1"/>
  <c r="O58" i="1"/>
  <c r="E56" i="1"/>
  <c r="L56" i="1"/>
  <c r="M56" i="1"/>
  <c r="N56" i="1"/>
  <c r="O56" i="1"/>
  <c r="E55" i="1"/>
  <c r="L55" i="1"/>
  <c r="M55" i="1"/>
  <c r="N55" i="1"/>
  <c r="O55" i="1"/>
  <c r="I54" i="1"/>
  <c r="I53" i="1"/>
  <c r="H54" i="1"/>
  <c r="H53" i="1"/>
  <c r="N53" i="1" s="1"/>
  <c r="E53" i="1"/>
  <c r="E54" i="1"/>
  <c r="L53" i="1"/>
  <c r="L54" i="1"/>
  <c r="M53" i="1"/>
  <c r="M54" i="1"/>
  <c r="N54" i="1"/>
  <c r="O53" i="1"/>
  <c r="O54" i="1"/>
  <c r="I52" i="1"/>
  <c r="I51" i="1"/>
  <c r="H52" i="1"/>
  <c r="N52" i="1" s="1"/>
  <c r="H51" i="1"/>
  <c r="N51" i="1" s="1"/>
  <c r="E51" i="1"/>
  <c r="E52" i="1"/>
  <c r="L51" i="1"/>
  <c r="L52" i="1"/>
  <c r="M51" i="1"/>
  <c r="M52" i="1"/>
  <c r="O51" i="1"/>
  <c r="O52" i="1"/>
  <c r="I48" i="1"/>
  <c r="I47" i="1"/>
  <c r="H48" i="1"/>
  <c r="N48" i="1" s="1"/>
  <c r="H47" i="1"/>
  <c r="N47" i="1" s="1"/>
  <c r="E50" i="1"/>
  <c r="L50" i="1"/>
  <c r="M50" i="1"/>
  <c r="N50" i="1"/>
  <c r="O50" i="1"/>
  <c r="E49" i="1"/>
  <c r="L49" i="1"/>
  <c r="M49" i="1"/>
  <c r="N49" i="1"/>
  <c r="O49" i="1"/>
  <c r="F5" i="5" a="1"/>
  <c r="F5" i="5" s="1"/>
  <c r="E47" i="1"/>
  <c r="E48" i="1"/>
  <c r="L47" i="1"/>
  <c r="L48" i="1"/>
  <c r="M47" i="1"/>
  <c r="M48" i="1"/>
  <c r="O47" i="1"/>
  <c r="O48" i="1"/>
  <c r="E46" i="1"/>
  <c r="L46" i="1"/>
  <c r="M46" i="1"/>
  <c r="N46" i="1"/>
  <c r="O46" i="1"/>
  <c r="E44" i="1"/>
  <c r="E45" i="1"/>
  <c r="L44" i="1"/>
  <c r="L45" i="1"/>
  <c r="M44" i="1"/>
  <c r="M45" i="1"/>
  <c r="N44" i="1"/>
  <c r="N45" i="1"/>
  <c r="O44" i="1"/>
  <c r="O45" i="1"/>
  <c r="I43" i="1"/>
  <c r="I42" i="1"/>
  <c r="E43" i="1"/>
  <c r="L43" i="1"/>
  <c r="M43" i="1"/>
  <c r="N43" i="1"/>
  <c r="O43" i="1"/>
  <c r="E42" i="1"/>
  <c r="L42" i="1"/>
  <c r="M42" i="1"/>
  <c r="N42" i="1"/>
  <c r="O42" i="1"/>
  <c r="I41" i="1"/>
  <c r="I40" i="1"/>
  <c r="L40" i="1"/>
  <c r="L41" i="1"/>
  <c r="M40" i="1"/>
  <c r="M41" i="1"/>
  <c r="O40" i="1"/>
  <c r="O41" i="1"/>
  <c r="N41" i="1"/>
  <c r="E41" i="1"/>
  <c r="N40" i="1"/>
  <c r="E40" i="1"/>
  <c r="L39" i="1"/>
  <c r="M39" i="1"/>
  <c r="N39" i="1"/>
  <c r="O39" i="1"/>
  <c r="E39" i="1"/>
  <c r="H37" i="1"/>
  <c r="I38" i="1"/>
  <c r="I37" i="1"/>
  <c r="H38" i="1"/>
  <c r="N38" i="1" s="1"/>
  <c r="L37" i="1"/>
  <c r="L38" i="1"/>
  <c r="M37" i="1"/>
  <c r="M38" i="1"/>
  <c r="N37" i="1"/>
  <c r="O37" i="1"/>
  <c r="O38" i="1"/>
  <c r="E38" i="1"/>
  <c r="E37" i="1"/>
  <c r="I35" i="1"/>
  <c r="I36" i="1"/>
  <c r="E36" i="1"/>
  <c r="L36" i="1"/>
  <c r="M36" i="1"/>
  <c r="N36" i="1"/>
  <c r="O36" i="1"/>
  <c r="E35" i="1"/>
  <c r="L35" i="1"/>
  <c r="M35" i="1"/>
  <c r="N35" i="1"/>
  <c r="O35" i="1"/>
  <c r="K31" i="2"/>
  <c r="I31" i="2"/>
  <c r="B4" i="5" l="1"/>
  <c r="C4" i="5" s="1"/>
  <c r="H32" i="2"/>
  <c r="E4" i="5" l="1" a="1"/>
  <c r="E4" i="5" s="1"/>
  <c r="G4" i="5" s="1"/>
  <c r="D4" i="5"/>
  <c r="H30" i="2"/>
  <c r="H28" i="2"/>
  <c r="H29" i="2"/>
  <c r="E3" i="1"/>
  <c r="L3" i="1"/>
  <c r="M3" i="1"/>
  <c r="N3" i="1"/>
  <c r="O3" i="1"/>
  <c r="E2" i="1"/>
  <c r="L2" i="1"/>
  <c r="M2" i="1"/>
  <c r="N2" i="1"/>
  <c r="O2" i="1"/>
  <c r="K12" i="1"/>
  <c r="K13" i="1"/>
  <c r="K28" i="1"/>
  <c r="O5" i="1"/>
  <c r="O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J4" i="5"/>
  <c r="E28" i="1"/>
  <c r="L28" i="1"/>
  <c r="M28" i="1"/>
  <c r="N28" i="1"/>
  <c r="E12" i="1"/>
  <c r="L12" i="1"/>
  <c r="M12" i="1"/>
  <c r="N12" i="1"/>
  <c r="E13" i="1"/>
  <c r="L13" i="1"/>
  <c r="M13" i="1"/>
  <c r="N13" i="1"/>
  <c r="E34" i="1"/>
  <c r="L34" i="1"/>
  <c r="M34" i="1"/>
  <c r="N34" i="1"/>
  <c r="E33" i="1"/>
  <c r="L33" i="1"/>
  <c r="M33" i="1"/>
  <c r="N33" i="1"/>
  <c r="N32" i="1"/>
  <c r="M32" i="1"/>
  <c r="L32" i="1"/>
  <c r="E32" i="1"/>
  <c r="N31" i="1"/>
  <c r="M31" i="1"/>
  <c r="L31" i="1"/>
  <c r="E31" i="1"/>
  <c r="N30" i="1"/>
  <c r="M30" i="1"/>
  <c r="L30" i="1"/>
  <c r="E30" i="1"/>
  <c r="N29" i="1"/>
  <c r="M29" i="1"/>
  <c r="L29" i="1"/>
  <c r="E29" i="1"/>
  <c r="E27" i="1"/>
  <c r="L27" i="1"/>
  <c r="M27" i="1"/>
  <c r="N27" i="1"/>
  <c r="J14" i="5"/>
  <c r="J15" i="5" s="1"/>
  <c r="J8" i="5"/>
  <c r="J9" i="5" s="1"/>
  <c r="J10" i="5" s="1"/>
  <c r="F8" i="5" a="1"/>
  <c r="F8" i="5" s="1"/>
  <c r="L26" i="1"/>
  <c r="M26" i="1"/>
  <c r="N26" i="1"/>
  <c r="E26" i="1"/>
  <c r="L25" i="1"/>
  <c r="M25" i="1"/>
  <c r="N25" i="1"/>
  <c r="E25" i="1"/>
  <c r="E24" i="1"/>
  <c r="L24" i="1"/>
  <c r="M24" i="1"/>
  <c r="N24" i="1"/>
  <c r="E23" i="1"/>
  <c r="L23" i="1"/>
  <c r="M23" i="1"/>
  <c r="N23" i="1"/>
  <c r="E22" i="1"/>
  <c r="L22" i="1"/>
  <c r="M22" i="1"/>
  <c r="N22" i="1"/>
  <c r="F2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H6" i="6"/>
  <c r="H7" i="6" s="1"/>
  <c r="H8" i="6" s="1"/>
  <c r="H9" i="6" s="1"/>
  <c r="H10" i="6" s="1"/>
  <c r="H11" i="6" s="1"/>
  <c r="H12" i="6" s="1"/>
  <c r="H13" i="6" s="1"/>
  <c r="H14" i="6" s="1"/>
  <c r="H15" i="6" s="1"/>
  <c r="I5" i="6"/>
  <c r="J5" i="6" s="1"/>
  <c r="L5" i="6" s="1"/>
  <c r="E9" i="1"/>
  <c r="F2" i="5" a="1"/>
  <c r="F2" i="5" s="1"/>
  <c r="F6" i="5" a="1"/>
  <c r="F6" i="5" s="1"/>
  <c r="F7" i="5" a="1"/>
  <c r="F7" i="5" s="1"/>
  <c r="M4" i="1"/>
  <c r="M5" i="1"/>
  <c r="M6" i="1"/>
  <c r="M7" i="1"/>
  <c r="M8" i="1"/>
  <c r="M9" i="1"/>
  <c r="M10" i="1"/>
  <c r="M11" i="1"/>
  <c r="M14" i="1"/>
  <c r="M15" i="1"/>
  <c r="M16" i="1"/>
  <c r="M17" i="1"/>
  <c r="M18" i="1"/>
  <c r="M19" i="1"/>
  <c r="M20" i="1"/>
  <c r="M21" i="1"/>
  <c r="E4" i="1"/>
  <c r="E5" i="1"/>
  <c r="E6" i="1"/>
  <c r="E7" i="1"/>
  <c r="E8" i="1"/>
  <c r="E10" i="1"/>
  <c r="E11" i="1"/>
  <c r="E14" i="1"/>
  <c r="E15" i="1"/>
  <c r="E16" i="1"/>
  <c r="E17" i="1"/>
  <c r="E18" i="1"/>
  <c r="E19" i="1"/>
  <c r="E20" i="1"/>
  <c r="E21" i="1"/>
  <c r="N4" i="1"/>
  <c r="N5" i="1"/>
  <c r="N6" i="1"/>
  <c r="N7" i="1"/>
  <c r="N8" i="1"/>
  <c r="N9" i="1"/>
  <c r="N10" i="1"/>
  <c r="N11" i="1"/>
  <c r="N14" i="1"/>
  <c r="N15" i="1"/>
  <c r="N16" i="1"/>
  <c r="N17" i="1"/>
  <c r="N18" i="1"/>
  <c r="N19" i="1"/>
  <c r="N20" i="1"/>
  <c r="N21" i="1"/>
  <c r="L4" i="1"/>
  <c r="L5" i="1"/>
  <c r="L6" i="1"/>
  <c r="L7" i="1"/>
  <c r="L8" i="1"/>
  <c r="L9" i="1"/>
  <c r="L10" i="1"/>
  <c r="L11" i="1"/>
  <c r="L14" i="1"/>
  <c r="L15" i="1"/>
  <c r="L16" i="1"/>
  <c r="L17" i="1"/>
  <c r="L18" i="1"/>
  <c r="L19" i="1"/>
  <c r="L20" i="1"/>
  <c r="L21" i="1"/>
  <c r="I21" i="1"/>
  <c r="F3" i="5" s="1" a="1"/>
  <c r="F3" i="5" s="1"/>
  <c r="I1" i="2"/>
  <c r="I6" i="2" s="1"/>
  <c r="I8" i="2" s="1"/>
  <c r="I2" i="2"/>
  <c r="K68" i="1" l="1"/>
  <c r="K69" i="1"/>
  <c r="K67" i="1"/>
  <c r="K73" i="1"/>
  <c r="K72" i="1"/>
  <c r="K71" i="1"/>
  <c r="K70" i="1"/>
  <c r="K65" i="1"/>
  <c r="K66" i="1"/>
  <c r="K64" i="1"/>
  <c r="K63" i="1"/>
  <c r="K62" i="1"/>
  <c r="K61" i="1"/>
  <c r="K60" i="1"/>
  <c r="K59" i="1"/>
  <c r="K58" i="1"/>
  <c r="K57" i="1"/>
  <c r="K56" i="1"/>
  <c r="K55" i="1"/>
  <c r="K53" i="1"/>
  <c r="K54" i="1"/>
  <c r="K51" i="1"/>
  <c r="K52" i="1"/>
  <c r="K50" i="1"/>
  <c r="K49" i="1"/>
  <c r="B5" i="5"/>
  <c r="C5" i="5" s="1"/>
  <c r="K47" i="1"/>
  <c r="K48" i="1"/>
  <c r="K46" i="1"/>
  <c r="K44" i="1"/>
  <c r="K45" i="1"/>
  <c r="K43" i="1"/>
  <c r="K42" i="1"/>
  <c r="K40" i="1"/>
  <c r="K41" i="1"/>
  <c r="K39" i="1"/>
  <c r="K37" i="1"/>
  <c r="K38" i="1"/>
  <c r="K36" i="1"/>
  <c r="K35" i="1"/>
  <c r="K2" i="1"/>
  <c r="K3" i="1"/>
  <c r="K33" i="1"/>
  <c r="K4" i="1"/>
  <c r="K5" i="1"/>
  <c r="K31" i="1"/>
  <c r="K27" i="1"/>
  <c r="K23" i="1"/>
  <c r="K19" i="1"/>
  <c r="K15" i="1"/>
  <c r="K11" i="1"/>
  <c r="K7" i="1"/>
  <c r="K34" i="1"/>
  <c r="K30" i="1"/>
  <c r="K26" i="1"/>
  <c r="K22" i="1"/>
  <c r="K18" i="1"/>
  <c r="K14" i="1"/>
  <c r="K10" i="1"/>
  <c r="K6" i="1"/>
  <c r="K29" i="1"/>
  <c r="K25" i="1"/>
  <c r="K21" i="1"/>
  <c r="K17" i="1"/>
  <c r="K9" i="1"/>
  <c r="K32" i="1"/>
  <c r="K24" i="1"/>
  <c r="K20" i="1"/>
  <c r="K16" i="1"/>
  <c r="K8" i="1"/>
  <c r="J3" i="5"/>
  <c r="B8" i="5"/>
  <c r="C8" i="5" s="1"/>
  <c r="B2" i="5"/>
  <c r="K5" i="6"/>
  <c r="I6" i="6"/>
  <c r="B6" i="5"/>
  <c r="I3" i="2"/>
  <c r="E5" i="5" l="1" a="1"/>
  <c r="E5" i="5" s="1"/>
  <c r="G5" i="5" s="1"/>
  <c r="D5" i="5"/>
  <c r="E8" i="5" a="1"/>
  <c r="E8" i="5" s="1"/>
  <c r="G8" i="5" s="1"/>
  <c r="D8" i="5"/>
  <c r="J6" i="6"/>
  <c r="L6" i="6" s="1"/>
  <c r="K6" i="6"/>
  <c r="I7" i="6"/>
  <c r="J7" i="6" s="1"/>
  <c r="L7" i="6" s="1"/>
  <c r="C8" i="6"/>
  <c r="D6" i="5"/>
  <c r="C6" i="5"/>
  <c r="E6" i="5" a="1"/>
  <c r="E6" i="5" s="1"/>
  <c r="G6" i="5" s="1"/>
  <c r="B7" i="5"/>
  <c r="B3" i="5"/>
  <c r="I8" i="6" l="1"/>
  <c r="J8" i="6" s="1"/>
  <c r="L8" i="6" s="1"/>
  <c r="C9" i="6"/>
  <c r="K7" i="6"/>
  <c r="D7" i="5"/>
  <c r="C7" i="5"/>
  <c r="E3" i="5" a="1"/>
  <c r="E3" i="5" s="1"/>
  <c r="D3" i="5" s="1"/>
  <c r="E7" i="5" a="1"/>
  <c r="E7" i="5" s="1"/>
  <c r="G7" i="5" s="1"/>
  <c r="E2" i="5" a="1"/>
  <c r="E2" i="5" s="1"/>
  <c r="C2" i="5" s="1"/>
  <c r="D2" i="5" l="1"/>
  <c r="C10" i="6"/>
  <c r="I9" i="6"/>
  <c r="J9" i="6" s="1"/>
  <c r="L9" i="6" s="1"/>
  <c r="K8" i="6"/>
  <c r="C3" i="5"/>
  <c r="G3" i="5"/>
  <c r="J2" i="5"/>
  <c r="G2" i="5"/>
  <c r="J5" i="5" l="1"/>
  <c r="K9" i="6"/>
  <c r="I10" i="6"/>
  <c r="J10" i="6" s="1"/>
  <c r="L10" i="6" s="1"/>
  <c r="C11" i="6"/>
  <c r="K10" i="6" l="1"/>
  <c r="C12" i="6"/>
  <c r="I11" i="6"/>
  <c r="J11" i="6" s="1"/>
  <c r="L11" i="6" s="1"/>
  <c r="K11" i="6" l="1"/>
  <c r="I12" i="6"/>
  <c r="J12" i="6" s="1"/>
  <c r="L12" i="6" s="1"/>
  <c r="C13" i="6"/>
  <c r="I13" i="6" l="1"/>
  <c r="J13" i="6" s="1"/>
  <c r="L13" i="6" s="1"/>
  <c r="C14" i="6"/>
  <c r="K12" i="6"/>
  <c r="I14" i="6" l="1"/>
  <c r="J14" i="6" s="1"/>
  <c r="L14" i="6" s="1"/>
  <c r="C15" i="6"/>
  <c r="I15" i="6" s="1"/>
  <c r="J15" i="6" s="1"/>
  <c r="L15" i="6" s="1"/>
  <c r="K13" i="6"/>
  <c r="K15" i="6" l="1"/>
  <c r="K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<sst xmlns="http://schemas.openxmlformats.org/spreadsheetml/2006/main" count="558" uniqueCount="110">
  <si>
    <t>Stock</t>
  </si>
  <si>
    <t>Date</t>
  </si>
  <si>
    <t>Quantity</t>
  </si>
  <si>
    <t>Price</t>
  </si>
  <si>
    <t>AMD</t>
  </si>
  <si>
    <t>INTC</t>
  </si>
  <si>
    <t>Type</t>
  </si>
  <si>
    <t>Sell Open Put</t>
  </si>
  <si>
    <t>Buy Close Put</t>
  </si>
  <si>
    <t>Profit</t>
  </si>
  <si>
    <t>Revenue</t>
  </si>
  <si>
    <t>Net Account Value</t>
  </si>
  <si>
    <t>Total</t>
  </si>
  <si>
    <t>Total Deposit</t>
  </si>
  <si>
    <t>Profit / Loss</t>
  </si>
  <si>
    <t>Remaining</t>
  </si>
  <si>
    <t>Total Spent</t>
  </si>
  <si>
    <t>Expiration</t>
  </si>
  <si>
    <t>Strike</t>
  </si>
  <si>
    <t>10 AAPL</t>
  </si>
  <si>
    <t>P</t>
  </si>
  <si>
    <t>200 AMD</t>
  </si>
  <si>
    <t>Profit / Loss 2</t>
  </si>
  <si>
    <t>-</t>
  </si>
  <si>
    <t>Buy Stock</t>
  </si>
  <si>
    <t>AAPL</t>
  </si>
  <si>
    <t>23-01-20</t>
  </si>
  <si>
    <t>22-12-30</t>
  </si>
  <si>
    <t>Sell Open Call</t>
  </si>
  <si>
    <t>23-01-27</t>
  </si>
  <si>
    <t>23-01-13</t>
  </si>
  <si>
    <t>23-01-18</t>
  </si>
  <si>
    <t>23-02-10</t>
  </si>
  <si>
    <t>TSLA</t>
  </si>
  <si>
    <t>23-01-23</t>
  </si>
  <si>
    <t>23-01-24</t>
  </si>
  <si>
    <t>Buy Close Call</t>
  </si>
  <si>
    <t>23-02-03</t>
  </si>
  <si>
    <t>Sell Stock</t>
  </si>
  <si>
    <t>Code</t>
  </si>
  <si>
    <t>BS</t>
  </si>
  <si>
    <t>SS</t>
  </si>
  <si>
    <t>Cost Basis</t>
  </si>
  <si>
    <t>Stock Value</t>
  </si>
  <si>
    <t>Stock Quantity</t>
  </si>
  <si>
    <t>Total Revenue</t>
  </si>
  <si>
    <t>Fee</t>
  </si>
  <si>
    <t>Total Profit</t>
  </si>
  <si>
    <t>Total Fee</t>
  </si>
  <si>
    <t>SP</t>
  </si>
  <si>
    <t>BP</t>
  </si>
  <si>
    <t>SC</t>
  </si>
  <si>
    <t>BC</t>
  </si>
  <si>
    <t>Eff Cost Basis</t>
  </si>
  <si>
    <t>T   Sell Open Put</t>
  </si>
  <si>
    <t>T   Buy Close Put</t>
  </si>
  <si>
    <t>T   Sell Open Call</t>
  </si>
  <si>
    <t>T   Buy Close Call</t>
  </si>
  <si>
    <t>T   Buy Stock</t>
  </si>
  <si>
    <t>T   Sell Stock</t>
  </si>
  <si>
    <t>Asset 1</t>
  </si>
  <si>
    <t>Asset 2</t>
  </si>
  <si>
    <t>Multiplication</t>
  </si>
  <si>
    <t>Tax</t>
  </si>
  <si>
    <t>Age</t>
  </si>
  <si>
    <t>2% of Assett</t>
  </si>
  <si>
    <t>Assett</t>
  </si>
  <si>
    <t>23-01-26</t>
  </si>
  <si>
    <t>23-02-24</t>
  </si>
  <si>
    <t>WMT</t>
  </si>
  <si>
    <t>23-02-17</t>
  </si>
  <si>
    <t>Start Date</t>
  </si>
  <si>
    <t>22-11-25</t>
  </si>
  <si>
    <t>22-12-01</t>
  </si>
  <si>
    <t>22-12-02</t>
  </si>
  <si>
    <t>22-12-17</t>
  </si>
  <si>
    <t>22-12-21</t>
  </si>
  <si>
    <t>22-12-16</t>
  </si>
  <si>
    <t>Today</t>
  </si>
  <si>
    <t>Total Day</t>
  </si>
  <si>
    <t>SPT</t>
  </si>
  <si>
    <t>BPT</t>
  </si>
  <si>
    <t>SCT</t>
  </si>
  <si>
    <t>BCT</t>
  </si>
  <si>
    <t>BST</t>
  </si>
  <si>
    <t>SST</t>
  </si>
  <si>
    <t>Expected Day</t>
  </si>
  <si>
    <t>Total Month</t>
  </si>
  <si>
    <t>22-12-20</t>
  </si>
  <si>
    <t>22-12-27</t>
  </si>
  <si>
    <t>INT</t>
  </si>
  <si>
    <t>Interest</t>
  </si>
  <si>
    <t>Total Interest</t>
  </si>
  <si>
    <t>Status</t>
  </si>
  <si>
    <t>Summary</t>
  </si>
  <si>
    <t>22-11-04</t>
  </si>
  <si>
    <t>22-11-03</t>
  </si>
  <si>
    <t>23-02-01</t>
  </si>
  <si>
    <t>23-02-02</t>
  </si>
  <si>
    <t>META</t>
  </si>
  <si>
    <t>Bc</t>
  </si>
  <si>
    <t>GOOG</t>
  </si>
  <si>
    <t>23-03-24</t>
  </si>
  <si>
    <t>23-02-07</t>
  </si>
  <si>
    <t>23-03-10</t>
  </si>
  <si>
    <t>23-02-09</t>
  </si>
  <si>
    <t>23-02-08</t>
  </si>
  <si>
    <t>Amount</t>
  </si>
  <si>
    <t>Total Loss</t>
  </si>
  <si>
    <t>23-02-15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</si>
</sst>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yy\-mm\-dd"/>
    <numFmt numFmtId="166" formatCode="_(&quot;$&quot;* #,##0_);_(&quot;$&quot;* \(#,##0\);_(&quot;$&quot;* &quot;-&quot;??_);_(@_)"/>
    <numFmt numFmtId="167" formatCode="_([$IDR]\ * #,##0.00_);_([$IDR]\ * \(#,##0.00\);_([$IDR]\ * &quot;-&quot;??_);_(@_)"/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NumberFormat="1" applyFont="1"/>
    <xf numFmtId="164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3" fillId="3" borderId="0" xfId="3" applyNumberFormat="1" applyAlignment="1">
      <alignment horizontal="center"/>
    </xf>
    <xf numFmtId="44" fontId="3" fillId="3" borderId="0" xfId="3" applyNumberFormat="1" applyAlignment="1">
      <alignment horizontal="center"/>
    </xf>
    <xf numFmtId="0" fontId="3" fillId="3" borderId="0" xfId="3" applyAlignment="1">
      <alignment horizontal="center"/>
    </xf>
    <xf numFmtId="44" fontId="3" fillId="3" borderId="0" xfId="3" applyNumberFormat="1"/>
    <xf numFmtId="14" fontId="3" fillId="3" borderId="0" xfId="3" applyNumberFormat="1"/>
    <xf numFmtId="44" fontId="2" fillId="2" borderId="0" xfId="2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1" applyNumberFormat="1" applyFont="1"/>
    <xf numFmtId="164" fontId="0" fillId="0" borderId="0" xfId="0" applyNumberFormat="1" applyAlignment="1">
      <alignment horizontal="center"/>
    </xf>
    <xf numFmtId="0" fontId="0" fillId="0" borderId="4" xfId="0" applyBorder="1" applyAlignment="1">
      <alignment horizontal="left"/>
    </xf>
    <xf numFmtId="4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4" xfId="0" applyBorder="1"/>
    <xf numFmtId="44" fontId="0" fillId="0" borderId="4" xfId="0" applyNumberFormat="1" applyBorder="1"/>
    <xf numFmtId="2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2" fontId="0" fillId="0" borderId="7" xfId="0" applyNumberFormat="1" applyBorder="1" applyAlignment="1">
      <alignment horizontal="center"/>
    </xf>
    <xf numFmtId="44" fontId="0" fillId="0" borderId="8" xfId="0" applyNumberFormat="1" applyBorder="1"/>
    <xf numFmtId="1" fontId="0" fillId="0" borderId="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167" fontId="0" fillId="0" borderId="4" xfId="0" applyNumberFormat="1" applyBorder="1"/>
    <xf numFmtId="0" fontId="0" fillId="0" borderId="0" xfId="0" applyNumberFormat="1" applyAlignment="1">
      <alignment horizontal="left"/>
    </xf>
    <xf numFmtId="0" fontId="0" fillId="0" borderId="4" xfId="0" applyFill="1" applyBorder="1" applyAlignment="1">
      <alignment horizontal="left"/>
    </xf>
    <xf numFmtId="2" fontId="0" fillId="0" borderId="4" xfId="0" applyNumberFormat="1" applyBorder="1"/>
    <xf numFmtId="0" fontId="0" fillId="0" borderId="4" xfId="0" applyNumberFormat="1" applyBorder="1"/>
    <xf numFmtId="14" fontId="0" fillId="0" borderId="4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0" xfId="1" applyNumberFormat="1" applyFont="1" applyAlignment="1">
      <alignment horizontal="left"/>
    </xf>
    <xf numFmtId="44" fontId="0" fillId="0" borderId="0" xfId="1" applyNumberFormat="1" applyFont="1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168" fontId="0" fillId="0" borderId="4" xfId="0" applyNumberFormat="1" applyBorder="1"/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45"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64" formatCode="_(&quot;$&quot;* #,##0.0000_);_(&quot;$&quot;* \(#,##0.0000\);_(&quot;$&quot;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00_);_(&quot;$&quot;* \(#,##0.0000\);_(&quot;$&quot;* &quot;-&quot;??_);_(@_)"/>
      <alignment horizontal="left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00_);_(&quot;$&quot;* \(#,##0.00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00_);_(&quot;$&quot;* \(#,##0.00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00_);_(&quot;$&quot;* \(#,##0.00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00_);_(&quot;$&quot;* \(#,##0.00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yy\-mm\-dd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C3940-284D-4D97-9D9D-ADD83880BD54}" name="Table_Option_Log" displayName="Table_Option_Log" ref="A1:O95" totalsRowShown="0" headerRowDxfId="42">
  <autoFilter ref="A1:O95" xr:uid="{113C3940-284D-4D97-9D9D-ADD83880BD54}"/>
  <tableColumns count="15">
    <tableColumn id="1" xr3:uid="{232EE109-7F7D-435A-A41D-84435E66625C}" name="Date" dataDxfId="41"/>
    <tableColumn id="2" xr3:uid="{EAC043B8-52A9-40FC-992A-F1D1C3DCA44E}" name="Stock" dataDxfId="40"/>
    <tableColumn id="8" xr3:uid="{33E0AEBD-E554-4A7C-910C-172466F7D751}" name="Strike" dataDxfId="39"/>
    <tableColumn id="14" xr3:uid="{A3E4636A-7231-4EDB-99FC-05346E6BDAC8}" name="Code" dataDxfId="38"/>
    <tableColumn id="3" xr3:uid="{AAC6E60D-F8E1-44D2-86F7-F0812690B52A}" name="Type" dataDxfId="37">
      <calculatedColumnFormula>VLOOKUP(Table_Option_Log[[#This Row],[Code]], Table_Coding_1[#All], 2, FALSE)</calculatedColumnFormula>
    </tableColumn>
    <tableColumn id="4" xr3:uid="{8D0BF46E-42E8-48F0-8CC7-6102C1C5AFAA}" name="Expiration" dataDxfId="36"/>
    <tableColumn id="5" xr3:uid="{2641C32C-385B-4463-9788-A150DD39EE66}" name="Quantity" dataDxfId="35"/>
    <tableColumn id="6" xr3:uid="{1B2F4D18-6060-4D63-9794-96D3D4C096E1}" name="Price" dataDxfId="34" dataCellStyle="Currency"/>
    <tableColumn id="7" xr3:uid="{2659A812-D9CB-4EA2-9EAF-EF3A208BA70A}" name="Fee" dataDxfId="33" dataCellStyle="Currency"/>
    <tableColumn id="9" xr3:uid="{8AA0BF7D-FED5-4BAE-B8BC-D46C4706FC56}" name="Interest" dataDxfId="32" dataCellStyle="Currency"/>
    <tableColumn id="16" xr3:uid="{C888AC46-EDB6-4888-9F63-B6007ABF3D61}" name="Status" dataDxfId="31" dataCellStyle="Currency">
      <calculatedColumnFormula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calculatedColumnFormula>
    </tableColumn>
    <tableColumn id="13" xr3:uid="{83D772FC-D2D4-4F15-BA0F-8607AC58ED51}" name="Stock Quantity" dataDxfId="30" dataCellStyle="Currency">
      <calculatedColumnFormula>IF(Table_Option_Log[[#This Row],[Code]]="BS",Table_Option_Log[[#This Row],[Quantity]], IF(Table_Option_Log[[#This Row],[Code]]="SS",-Table_Option_Log[[#This Row],[Quantity]], 0))</calculatedColumnFormula>
    </tableColumn>
    <tableColumn id="12" xr3:uid="{0E7714A9-4B2C-4AE2-AD60-F7977D5644C3}" name="Stock Value" dataDxfId="29" dataCellStyle="Currency">
      <calculatedColumnFormula>IF(Table_Option_Log[[#This Row],[Code]]="BS",-Table_Option_Log[[#This Row],[Quantity]]*Table_Option_Log[[#This Row],[Price]], IF(Table_Option_Log[[#This Row],[Code]]="SS",Table_Option_Log[[#This Row],[Quantity]]*Table_Option_Log[[#This Row],[Price]], 0))</calculatedColumnFormula>
    </tableColumn>
    <tableColumn id="11" xr3:uid="{CCC7B266-6921-4F35-98C9-B31D295493A2}" name="Revenue" dataDxfId="28">
      <calculatedColumnFormula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calculatedColumnFormula>
    </tableColumn>
    <tableColumn id="15" xr3:uid="{41F74291-0B38-4A15-8FE5-3A80CBB74A0F}" name="Summary" dataDxfId="27" dataCellStyle="Currency">
      <calculatedColumnFormula>Table_Option_Log[[#This Row],[Stock]] &amp; " " &amp; Table_Option_Log[[#This Row],[Strike]] &amp; " " &amp; Table_Option_Log[[#This Row],[Code]] &amp; " " &amp; Table_Option_Log[[#This Row],[Expiration]]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80495D-F2BA-4689-A4DE-82C860DB159F}" name="Table_Summary" displayName="Table_Summary" ref="A1:G8" totalsRowShown="0" headerRowDxfId="26" dataDxfId="25">
  <autoFilter ref="A1:G8" xr:uid="{5D80495D-F2BA-4689-A4DE-82C860DB159F}"/>
  <tableColumns count="7">
    <tableColumn id="1" xr3:uid="{3784A06C-386A-4097-8E26-8429665167D6}" name="Stock" dataDxfId="24"/>
    <tableColumn id="2" xr3:uid="{96C2F851-28C4-4B0B-9E8C-1A36F03D6BC5}" name="Stock Quantity" dataDxfId="23">
      <calculatedColumnFormula>SUMIF(Table_Option_Log[Stock], Table_Summary[[#This Row],[Stock]], Table_Option_Log[Stock Quantity])</calculatedColumnFormula>
    </tableColumn>
    <tableColumn id="3" xr3:uid="{00642482-C393-4E21-BA3F-D9008297EC1C}" name="Cost Basis" dataDxfId="22">
      <calculatedColumnFormula>IF(Table_Summary[[#This Row],[Stock Quantity]]=0, 0, (-SUMIF(Table_Option_Log[Stock], Table_Summary[[#This Row],[Stock]], Table_Option_Log[Stock Value])-Table_Summary[[#This Row],[Revenue]])/Table_Summary[[#This Row],[Stock Quantity]])</calculatedColumnFormula>
    </tableColumn>
    <tableColumn id="7" xr3:uid="{9F297AC3-DF2A-4062-80D6-A480585619EB}" name="Eff Cost Basis" dataDxfId="21">
      <calculatedColumnFormula>IF(Table_Summary[[#This Row],[Stock Quantity]]=0, 0, (-SUMIF(Table_Option_Log[Stock], Table_Summary[[#This Row],[Stock]], Table_Option_Log[Stock Value])-Table_Summary[[#This Row],[Revenue]]-Table_Summary[[#This Row],[Fee]])/Table_Summary[[#This Row],[Stock Quantity]])</calculatedColumnFormula>
    </tableColumn>
    <tableColumn id="4" xr3:uid="{27BFAB5E-7F45-463C-846C-F7A14496F73D}" name="Revenue" dataDxfId="20">
      <calculatedColumnFormula array="1">SUM(SUMIFS(Table_Option_Log[Revenue], Table_Option_Log[Stock], Table_Summary[[#This Row],[Stock]], Table_Option_Log[Code], {"SP","BP","SC","BC"})) + IF(Table_Summary[[#This Row],[Stock Quantity]] = 0, SUMIF(Table_Option_Log[Stock], Table_Summary[[#This Row],[Stock]], Table_Option_Log[Stock Value]), 0)</calculatedColumnFormula>
    </tableColumn>
    <tableColumn id="5" xr3:uid="{E3A8FD70-E13C-4233-A9C8-E1BB92AB517B}" name="Fee" dataDxfId="19">
      <calculatedColumnFormula array="1">SUM(SUMIFS(Table_Option_Log[Fee], Table_Option_Log[Stock], Table_Summary[[#This Row],[Stock]], Table_Option_Log[Code], {"SP","BP","SC","BC"}))</calculatedColumnFormula>
    </tableColumn>
    <tableColumn id="6" xr3:uid="{6D93CC23-6F4D-412E-B018-E8FCD9D393AA}" name="Profit" dataDxfId="18">
      <calculatedColumnFormula>Table_Summary[[#This Row],[Revenue]]-Table_Summary[[#This Row],[Fee]]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98C46-11DA-4CB6-9AE1-24CEDC5788C1}" name="Table_Coding_1" displayName="Table_Coding_1" ref="A1:B14" totalsRowShown="0" headerRowDxfId="17" dataDxfId="16">
  <autoFilter ref="A1:B14" xr:uid="{FBE98C46-11DA-4CB6-9AE1-24CEDC5788C1}"/>
  <tableColumns count="2">
    <tableColumn id="2" xr3:uid="{78C43E82-786F-45AB-81F7-DCEA09B1BFF7}" name="Code" dataDxfId="15"/>
    <tableColumn id="3" xr3:uid="{78101563-9881-498C-9352-0C4B017F0150}" name="Type" dataDxfId="1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63CAF-9869-49E1-9160-7B7B6B8E1EDE}" name="Table2" displayName="Table2" ref="A1:B47" totalsRowShown="0" headerRowDxfId="13" dataDxfId="12">
  <autoFilter ref="A1:B47" xr:uid="{E7063CAF-9869-49E1-9160-7B7B6B8E1EDE}"/>
  <tableColumns count="2">
    <tableColumn id="1" xr3:uid="{1B17DE34-9F74-426F-9431-88CC3BC70F9F}" name="Date" dataDxfId="11"/>
    <tableColumn id="2" xr3:uid="{5315A36A-27EF-4F45-B24E-2CABA91D26F3}" name="Total" dataDxfId="1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EA7C3-4BA1-4827-AF19-0A215D25D72E}" name="Table3" displayName="Table3" ref="D1:F65" totalsRowShown="0" headerRowDxfId="9" dataDxfId="7" headerRowBorderDxfId="8">
  <autoFilter ref="D1:F65" xr:uid="{D3CEA7C3-4BA1-4827-AF19-0A215D25D72E}"/>
  <tableColumns count="3">
    <tableColumn id="1" xr3:uid="{6720E0AD-702A-455D-B825-CBEC29708ED9}" name="Date" dataDxfId="6"/>
    <tableColumn id="2" xr3:uid="{0CFD392D-7EB8-457F-966B-1A5D2E4B056C}" name="Total" dataDxfId="5"/>
    <tableColumn id="3" xr3:uid="{83F78361-0761-47B9-AE1E-D6DD6C85F8E1}" name="Stock" dataDxfId="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176DE9-F2D7-4383-806F-C4AA75662DB3}" name="Table5" displayName="Table5" ref="A1:B43" totalsRowShown="0" headerRowDxfId="3" dataDxfId="2">
  <autoFilter ref="A1:B43" xr:uid="{5B176DE9-F2D7-4383-806F-C4AA75662DB3}"/>
  <tableColumns count="2">
    <tableColumn id="1" xr3:uid="{AC26829C-2EFF-4DE7-83C6-0F4103401E9B}" name="Date" dataDxfId="1"/>
    <tableColumn id="2" xr3:uid="{EDB59652-3FE2-48EC-A357-4C9C525F4BBA}" name="Amou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7ED8-C3AA-4E73-905F-B2BDCF461C53}">
  <dimension ref="A1:P95"/>
  <sheetViews>
    <sheetView showGridLines="0" zoomScale="85" zoomScaleNormal="85" workbookViewId="0">
      <selection activeCell="F23" sqref="F23"/>
    </sheetView>
  </sheetViews>
  <sheetFormatPr defaultRowHeight="14.4" x14ac:dyDescent="0.3"/>
  <cols>
    <col min="1" max="1" width="10.33203125" style="21" bestFit="1" customWidth="1"/>
    <col min="2" max="2" width="8.88671875" style="1"/>
    <col min="3" max="4" width="8.88671875" style="6"/>
    <col min="5" max="5" width="15.6640625" style="20" customWidth="1"/>
    <col min="6" max="6" width="13.88671875" style="21" bestFit="1" customWidth="1"/>
    <col min="7" max="7" width="10.21875" style="1" customWidth="1"/>
    <col min="8" max="8" width="10.5546875" style="50" bestFit="1" customWidth="1"/>
    <col min="9" max="9" width="10.109375" style="52" customWidth="1"/>
    <col min="10" max="11" width="10.109375" style="4" customWidth="1"/>
    <col min="12" max="12" width="18" style="24" bestFit="1" customWidth="1"/>
    <col min="13" max="13" width="15.33203125" style="4" bestFit="1" customWidth="1"/>
    <col min="14" max="14" width="13.88671875" style="1" bestFit="1" customWidth="1"/>
    <col min="15" max="15" width="26.6640625" style="20" hidden="1" customWidth="1"/>
    <col min="16" max="16" width="12.5546875" style="1" customWidth="1"/>
  </cols>
  <sheetData>
    <row r="1" spans="1:16" x14ac:dyDescent="0.3">
      <c r="A1" s="21" t="s">
        <v>1</v>
      </c>
      <c r="B1" s="1" t="s">
        <v>0</v>
      </c>
      <c r="C1" s="1" t="s">
        <v>18</v>
      </c>
      <c r="D1" s="1" t="s">
        <v>39</v>
      </c>
      <c r="E1" s="1" t="s">
        <v>6</v>
      </c>
      <c r="F1" s="21" t="s">
        <v>17</v>
      </c>
      <c r="G1" s="1" t="s">
        <v>2</v>
      </c>
      <c r="H1" s="6" t="s">
        <v>3</v>
      </c>
      <c r="I1" s="25" t="s">
        <v>46</v>
      </c>
      <c r="J1" s="1" t="s">
        <v>91</v>
      </c>
      <c r="K1" s="1" t="s">
        <v>93</v>
      </c>
      <c r="L1" s="22" t="s">
        <v>44</v>
      </c>
      <c r="M1" s="1" t="s">
        <v>43</v>
      </c>
      <c r="N1" s="1" t="s">
        <v>10</v>
      </c>
      <c r="O1" s="1" t="s">
        <v>94</v>
      </c>
    </row>
    <row r="2" spans="1:16" x14ac:dyDescent="0.3">
      <c r="A2" s="2" t="s">
        <v>96</v>
      </c>
      <c r="B2" s="1" t="s">
        <v>25</v>
      </c>
      <c r="C2" s="6" t="s">
        <v>23</v>
      </c>
      <c r="D2" s="6" t="s">
        <v>40</v>
      </c>
      <c r="E2" s="43" t="str">
        <f>VLOOKUP(Table_Option_Log[[#This Row],[Code]], Table_Coding_1[#All], 2, FALSE)</f>
        <v>Buy Stock</v>
      </c>
      <c r="F2" s="21" t="s">
        <v>23</v>
      </c>
      <c r="G2" s="1">
        <v>10</v>
      </c>
      <c r="H2" s="50">
        <v>139.54</v>
      </c>
      <c r="I2" s="5" t="s">
        <v>23</v>
      </c>
      <c r="J2" s="5" t="s">
        <v>23</v>
      </c>
      <c r="K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" s="23">
        <f>IF(Table_Option_Log[[#This Row],[Code]]="BS",Table_Option_Log[[#This Row],[Quantity]], IF(Table_Option_Log[[#This Row],[Code]]="SS",-Table_Option_Log[[#This Row],[Quantity]], 0))</f>
        <v>10</v>
      </c>
      <c r="M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-1395.3999999999999</v>
      </c>
      <c r="N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2" s="49" t="str">
        <f>Table_Option_Log[[#This Row],[Stock]] &amp; " " &amp; Table_Option_Log[[#This Row],[Strike]] &amp; " " &amp; Table_Option_Log[[#This Row],[Code]] &amp; " " &amp; Table_Option_Log[[#This Row],[Expiration]]</f>
        <v>AAPL - BS -</v>
      </c>
    </row>
    <row r="3" spans="1:16" x14ac:dyDescent="0.3">
      <c r="A3" s="2" t="s">
        <v>95</v>
      </c>
      <c r="B3" s="1" t="s">
        <v>25</v>
      </c>
      <c r="C3" s="6" t="s">
        <v>23</v>
      </c>
      <c r="D3" s="6" t="s">
        <v>40</v>
      </c>
      <c r="E3" s="43" t="str">
        <f>VLOOKUP(Table_Option_Log[[#This Row],[Code]], Table_Coding_1[#All], 2, FALSE)</f>
        <v>Buy Stock</v>
      </c>
      <c r="F3" s="21" t="s">
        <v>23</v>
      </c>
      <c r="G3" s="1">
        <v>10</v>
      </c>
      <c r="H3" s="50">
        <v>136.34</v>
      </c>
      <c r="I3" s="5" t="s">
        <v>23</v>
      </c>
      <c r="J3" s="5" t="s">
        <v>23</v>
      </c>
      <c r="K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" s="23">
        <f>IF(Table_Option_Log[[#This Row],[Code]]="BS",Table_Option_Log[[#This Row],[Quantity]], IF(Table_Option_Log[[#This Row],[Code]]="SS",-Table_Option_Log[[#This Row],[Quantity]], 0))</f>
        <v>10</v>
      </c>
      <c r="M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-1363.4</v>
      </c>
      <c r="N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3" s="49" t="str">
        <f>Table_Option_Log[[#This Row],[Stock]] &amp; " " &amp; Table_Option_Log[[#This Row],[Strike]] &amp; " " &amp; Table_Option_Log[[#This Row],[Code]] &amp; " " &amp; Table_Option_Log[[#This Row],[Expiration]]</f>
        <v>AAPL - BS -</v>
      </c>
    </row>
    <row r="4" spans="1:16" x14ac:dyDescent="0.3">
      <c r="A4" s="2" t="s">
        <v>72</v>
      </c>
      <c r="B4" s="1" t="s">
        <v>5</v>
      </c>
      <c r="C4" s="6">
        <v>28</v>
      </c>
      <c r="D4" s="6" t="s">
        <v>49</v>
      </c>
      <c r="E4" s="20" t="str">
        <f>VLOOKUP(Table_Option_Log[[#This Row],[Code]], Table_Coding_1[#All], 2, FALSE)</f>
        <v>Sell Open Put</v>
      </c>
      <c r="F4" s="21" t="s">
        <v>74</v>
      </c>
      <c r="G4" s="1">
        <v>1</v>
      </c>
      <c r="H4" s="3">
        <v>0.1</v>
      </c>
      <c r="I4" s="5">
        <v>0.51239999999999997</v>
      </c>
      <c r="J4" s="5" t="s">
        <v>23</v>
      </c>
      <c r="K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" s="23">
        <f>IF(Table_Option_Log[[#This Row],[Code]]="BS",Table_Option_Log[[#This Row],[Quantity]], IF(Table_Option_Log[[#This Row],[Code]]="SS",-Table_Option_Log[[#This Row],[Quantity]], 0))</f>
        <v>0</v>
      </c>
      <c r="M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10</v>
      </c>
      <c r="O4" s="49" t="str">
        <f>Table_Option_Log[[#This Row],[Stock]] &amp; " " &amp; Table_Option_Log[[#This Row],[Strike]] &amp; " " &amp; Table_Option_Log[[#This Row],[Code]] &amp; " " &amp; Table_Option_Log[[#This Row],[Expiration]]</f>
        <v>INTC 28 SP 22-12-02</v>
      </c>
      <c r="P4" s="6"/>
    </row>
    <row r="5" spans="1:16" x14ac:dyDescent="0.3">
      <c r="A5" s="2" t="s">
        <v>72</v>
      </c>
      <c r="B5" s="1" t="s">
        <v>4</v>
      </c>
      <c r="C5" s="6">
        <v>73</v>
      </c>
      <c r="D5" s="6" t="s">
        <v>49</v>
      </c>
      <c r="E5" s="20" t="str">
        <f>VLOOKUP(Table_Option_Log[[#This Row],[Code]], Table_Coding_1[#All], 2, FALSE)</f>
        <v>Sell Open Put</v>
      </c>
      <c r="F5" s="21" t="s">
        <v>74</v>
      </c>
      <c r="G5" s="1">
        <v>1</v>
      </c>
      <c r="H5" s="3">
        <v>1.02</v>
      </c>
      <c r="I5" s="5">
        <v>0.51449999999999996</v>
      </c>
      <c r="J5" s="5" t="s">
        <v>23</v>
      </c>
      <c r="K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" s="23">
        <f>IF(Table_Option_Log[[#This Row],[Code]]="BS",Table_Option_Log[[#This Row],[Quantity]], IF(Table_Option_Log[[#This Row],[Code]]="SS",-Table_Option_Log[[#This Row],[Quantity]], 0))</f>
        <v>0</v>
      </c>
      <c r="M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102</v>
      </c>
      <c r="O5" s="49" t="str">
        <f>Table_Option_Log[[#This Row],[Stock]] &amp; " " &amp; Table_Option_Log[[#This Row],[Strike]] &amp; " " &amp; Table_Option_Log[[#This Row],[Code]] &amp; " " &amp; Table_Option_Log[[#This Row],[Expiration]]</f>
        <v>AMD 73 SP 22-12-02</v>
      </c>
      <c r="P5" s="6"/>
    </row>
    <row r="6" spans="1:16" x14ac:dyDescent="0.3">
      <c r="A6" s="2" t="s">
        <v>73</v>
      </c>
      <c r="B6" s="1" t="s">
        <v>5</v>
      </c>
      <c r="C6" s="6">
        <v>28</v>
      </c>
      <c r="D6" s="6" t="s">
        <v>50</v>
      </c>
      <c r="E6" s="20" t="str">
        <f>VLOOKUP(Table_Option_Log[[#This Row],[Code]], Table_Coding_1[#All], 2, FALSE)</f>
        <v>Buy Close Put</v>
      </c>
      <c r="F6" s="21" t="s">
        <v>74</v>
      </c>
      <c r="G6" s="1">
        <v>1</v>
      </c>
      <c r="H6" s="3">
        <v>0.01</v>
      </c>
      <c r="I6" s="5">
        <v>0.01</v>
      </c>
      <c r="J6" s="5" t="s">
        <v>23</v>
      </c>
      <c r="K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" s="23">
        <f>IF(Table_Option_Log[[#This Row],[Code]]="BS",Table_Option_Log[[#This Row],[Quantity]], IF(Table_Option_Log[[#This Row],[Code]]="SS",-Table_Option_Log[[#This Row],[Quantity]], 0))</f>
        <v>0</v>
      </c>
      <c r="M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</v>
      </c>
      <c r="O6" s="49" t="str">
        <f>Table_Option_Log[[#This Row],[Stock]] &amp; " " &amp; Table_Option_Log[[#This Row],[Strike]] &amp; " " &amp; Table_Option_Log[[#This Row],[Code]] &amp; " " &amp; Table_Option_Log[[#This Row],[Expiration]]</f>
        <v>INTC 28 BP 22-12-02</v>
      </c>
    </row>
    <row r="7" spans="1:16" x14ac:dyDescent="0.3">
      <c r="A7" s="2" t="s">
        <v>73</v>
      </c>
      <c r="B7" s="1" t="s">
        <v>4</v>
      </c>
      <c r="C7" s="6">
        <v>73</v>
      </c>
      <c r="D7" s="6" t="s">
        <v>50</v>
      </c>
      <c r="E7" s="20" t="str">
        <f>VLOOKUP(Table_Option_Log[[#This Row],[Code]], Table_Coding_1[#All], 2, FALSE)</f>
        <v>Buy Close Put</v>
      </c>
      <c r="F7" s="21" t="s">
        <v>74</v>
      </c>
      <c r="G7" s="1">
        <v>1</v>
      </c>
      <c r="H7" s="3">
        <v>0.06</v>
      </c>
      <c r="I7" s="5">
        <v>0.01</v>
      </c>
      <c r="J7" s="5" t="s">
        <v>23</v>
      </c>
      <c r="K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" s="23">
        <f>IF(Table_Option_Log[[#This Row],[Code]]="BS",Table_Option_Log[[#This Row],[Quantity]], IF(Table_Option_Log[[#This Row],[Code]]="SS",-Table_Option_Log[[#This Row],[Quantity]], 0))</f>
        <v>0</v>
      </c>
      <c r="M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-6</v>
      </c>
      <c r="O7" s="49" t="str">
        <f>Table_Option_Log[[#This Row],[Stock]] &amp; " " &amp; Table_Option_Log[[#This Row],[Strike]] &amp; " " &amp; Table_Option_Log[[#This Row],[Code]] &amp; " " &amp; Table_Option_Log[[#This Row],[Expiration]]</f>
        <v>AMD 73 BP 22-12-02</v>
      </c>
    </row>
    <row r="8" spans="1:16" x14ac:dyDescent="0.3">
      <c r="A8" s="2" t="s">
        <v>74</v>
      </c>
      <c r="B8" s="1" t="s">
        <v>4</v>
      </c>
      <c r="C8" s="6">
        <v>73</v>
      </c>
      <c r="D8" s="6" t="s">
        <v>49</v>
      </c>
      <c r="E8" s="20" t="str">
        <f>VLOOKUP(Table_Option_Log[[#This Row],[Code]], Table_Coding_1[#All], 2, FALSE)</f>
        <v>Sell Open Put</v>
      </c>
      <c r="F8" s="21" t="s">
        <v>77</v>
      </c>
      <c r="G8" s="1">
        <v>2</v>
      </c>
      <c r="H8" s="3">
        <v>1.93</v>
      </c>
      <c r="I8" s="5">
        <v>1.0330999999999999</v>
      </c>
      <c r="J8" s="5" t="s">
        <v>23</v>
      </c>
      <c r="K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" s="23">
        <f>IF(Table_Option_Log[[#This Row],[Code]]="BS",Table_Option_Log[[#This Row],[Quantity]], IF(Table_Option_Log[[#This Row],[Code]]="SS",-Table_Option_Log[[#This Row],[Quantity]], 0))</f>
        <v>0</v>
      </c>
      <c r="M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" s="7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386</v>
      </c>
      <c r="O8" s="49" t="str">
        <f>Table_Option_Log[[#This Row],[Stock]] &amp; " " &amp; Table_Option_Log[[#This Row],[Strike]] &amp; " " &amp; Table_Option_Log[[#This Row],[Code]] &amp; " " &amp; Table_Option_Log[[#This Row],[Expiration]]</f>
        <v>AMD 73 SP 22-12-16</v>
      </c>
      <c r="P8"/>
    </row>
    <row r="9" spans="1:16" x14ac:dyDescent="0.3">
      <c r="A9" s="2" t="s">
        <v>75</v>
      </c>
      <c r="B9" s="1" t="s">
        <v>4</v>
      </c>
      <c r="C9" s="6">
        <v>73</v>
      </c>
      <c r="D9" s="6" t="s">
        <v>50</v>
      </c>
      <c r="E9" s="20" t="str">
        <f>VLOOKUP(Table_Option_Log[[#This Row],[Code]], Table_Coding_1[#All], 2, FALSE)</f>
        <v>Buy Close Put</v>
      </c>
      <c r="F9" s="21" t="s">
        <v>77</v>
      </c>
      <c r="G9" s="1">
        <v>2</v>
      </c>
      <c r="H9" s="3">
        <v>0</v>
      </c>
      <c r="I9" s="5">
        <v>0</v>
      </c>
      <c r="J9" s="5" t="s">
        <v>23</v>
      </c>
      <c r="K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9" s="23">
        <f>IF(Table_Option_Log[[#This Row],[Code]]="BS",Table_Option_Log[[#This Row],[Quantity]], IF(Table_Option_Log[[#This Row],[Code]]="SS",-Table_Option_Log[[#This Row],[Quantity]], 0))</f>
        <v>0</v>
      </c>
      <c r="M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9" s="7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9" s="49" t="str">
        <f>Table_Option_Log[[#This Row],[Stock]] &amp; " " &amp; Table_Option_Log[[#This Row],[Strike]] &amp; " " &amp; Table_Option_Log[[#This Row],[Code]] &amp; " " &amp; Table_Option_Log[[#This Row],[Expiration]]</f>
        <v>AMD 73 BP 22-12-16</v>
      </c>
      <c r="P9"/>
    </row>
    <row r="10" spans="1:16" x14ac:dyDescent="0.3">
      <c r="A10" s="2" t="s">
        <v>75</v>
      </c>
      <c r="B10" s="1" t="s">
        <v>4</v>
      </c>
      <c r="C10" s="6" t="s">
        <v>23</v>
      </c>
      <c r="D10" s="6" t="s">
        <v>40</v>
      </c>
      <c r="E10" s="20" t="str">
        <f>VLOOKUP(Table_Option_Log[[#This Row],[Code]], Table_Coding_1[#All], 2, FALSE)</f>
        <v>Buy Stock</v>
      </c>
      <c r="F10" s="21" t="s">
        <v>23</v>
      </c>
      <c r="G10" s="1">
        <v>200</v>
      </c>
      <c r="H10" s="3">
        <v>73</v>
      </c>
      <c r="I10" s="5">
        <v>0</v>
      </c>
      <c r="J10" s="5" t="s">
        <v>23</v>
      </c>
      <c r="K1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0" s="23">
        <f>IF(Table_Option_Log[[#This Row],[Code]]="BS",Table_Option_Log[[#This Row],[Quantity]], IF(Table_Option_Log[[#This Row],[Code]]="SS",-Table_Option_Log[[#This Row],[Quantity]], 0))</f>
        <v>200</v>
      </c>
      <c r="M1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-14600</v>
      </c>
      <c r="N10" s="7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10" s="49" t="str">
        <f>Table_Option_Log[[#This Row],[Stock]] &amp; " " &amp; Table_Option_Log[[#This Row],[Strike]] &amp; " " &amp; Table_Option_Log[[#This Row],[Code]] &amp; " " &amp; Table_Option_Log[[#This Row],[Expiration]]</f>
        <v>AMD - BS -</v>
      </c>
      <c r="P10"/>
    </row>
    <row r="11" spans="1:16" x14ac:dyDescent="0.3">
      <c r="A11" s="2" t="s">
        <v>76</v>
      </c>
      <c r="B11" s="1" t="s">
        <v>25</v>
      </c>
      <c r="C11" s="6">
        <v>126</v>
      </c>
      <c r="D11" s="6" t="s">
        <v>49</v>
      </c>
      <c r="E11" s="20" t="str">
        <f>VLOOKUP(Table_Option_Log[[#This Row],[Code]], Table_Coding_1[#All], 2, FALSE)</f>
        <v>Sell Open Put</v>
      </c>
      <c r="F11" s="21" t="s">
        <v>26</v>
      </c>
      <c r="G11" s="1">
        <v>1</v>
      </c>
      <c r="H11" s="3">
        <v>1.59</v>
      </c>
      <c r="I11" s="5">
        <v>0.51580000000000004</v>
      </c>
      <c r="J11" s="5" t="s">
        <v>23</v>
      </c>
      <c r="K1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1" s="23">
        <f>IF(Table_Option_Log[[#This Row],[Code]]="BS",Table_Option_Log[[#This Row],[Quantity]], IF(Table_Option_Log[[#This Row],[Code]]="SS",-Table_Option_Log[[#This Row],[Quantity]], 0))</f>
        <v>0</v>
      </c>
      <c r="M1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1" s="7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159</v>
      </c>
      <c r="O11" s="49" t="str">
        <f>Table_Option_Log[[#This Row],[Stock]] &amp; " " &amp; Table_Option_Log[[#This Row],[Strike]] &amp; " " &amp; Table_Option_Log[[#This Row],[Code]] &amp; " " &amp; Table_Option_Log[[#This Row],[Expiration]]</f>
        <v>AAPL 126 SP 23-01-20</v>
      </c>
      <c r="P11"/>
    </row>
    <row r="12" spans="1:16" x14ac:dyDescent="0.3">
      <c r="A12" s="2" t="s">
        <v>88</v>
      </c>
      <c r="B12" s="1" t="s">
        <v>23</v>
      </c>
      <c r="C12" s="6" t="s">
        <v>23</v>
      </c>
      <c r="D12" s="6" t="s">
        <v>90</v>
      </c>
      <c r="E12" s="43" t="str">
        <f>VLOOKUP(Table_Option_Log[[#This Row],[Code]], Table_Coding_1[#All], 2, FALSE)</f>
        <v>Interest</v>
      </c>
      <c r="F12" s="21" t="s">
        <v>23</v>
      </c>
      <c r="G12" s="1" t="s">
        <v>23</v>
      </c>
      <c r="H12" s="3" t="s">
        <v>23</v>
      </c>
      <c r="I12" s="5" t="s">
        <v>23</v>
      </c>
      <c r="J12" s="5">
        <v>10.26</v>
      </c>
      <c r="K1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2" s="23">
        <f>IF(Table_Option_Log[[#This Row],[Code]]="BS",Table_Option_Log[[#This Row],[Quantity]], IF(Table_Option_Log[[#This Row],[Code]]="SS",-Table_Option_Log[[#This Row],[Quantity]], 0))</f>
        <v>0</v>
      </c>
      <c r="M1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12" s="49" t="str">
        <f>Table_Option_Log[[#This Row],[Stock]] &amp; " " &amp; Table_Option_Log[[#This Row],[Strike]] &amp; " " &amp; Table_Option_Log[[#This Row],[Code]] &amp; " " &amp; Table_Option_Log[[#This Row],[Expiration]]</f>
        <v>- - INT -</v>
      </c>
      <c r="P12"/>
    </row>
    <row r="13" spans="1:16" x14ac:dyDescent="0.3">
      <c r="A13" s="2" t="s">
        <v>89</v>
      </c>
      <c r="B13" s="1" t="s">
        <v>23</v>
      </c>
      <c r="C13" s="6" t="s">
        <v>23</v>
      </c>
      <c r="D13" s="6" t="s">
        <v>90</v>
      </c>
      <c r="E13" s="43" t="str">
        <f>VLOOKUP(Table_Option_Log[[#This Row],[Code]], Table_Coding_1[#All], 2, FALSE)</f>
        <v>Interest</v>
      </c>
      <c r="F13" s="21" t="s">
        <v>23</v>
      </c>
      <c r="G13" s="1" t="s">
        <v>23</v>
      </c>
      <c r="H13" s="3" t="s">
        <v>23</v>
      </c>
      <c r="I13" s="5" t="s">
        <v>23</v>
      </c>
      <c r="J13" s="5">
        <v>6.17</v>
      </c>
      <c r="K1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3" s="23">
        <f>IF(Table_Option_Log[[#This Row],[Code]]="BS",Table_Option_Log[[#This Row],[Quantity]], IF(Table_Option_Log[[#This Row],[Code]]="SS",-Table_Option_Log[[#This Row],[Quantity]], 0))</f>
        <v>0</v>
      </c>
      <c r="M1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13" s="49" t="str">
        <f>Table_Option_Log[[#This Row],[Stock]] &amp; " " &amp; Table_Option_Log[[#This Row],[Strike]] &amp; " " &amp; Table_Option_Log[[#This Row],[Code]] &amp; " " &amp; Table_Option_Log[[#This Row],[Expiration]]</f>
        <v>- - INT -</v>
      </c>
      <c r="P13"/>
    </row>
    <row r="14" spans="1:16" x14ac:dyDescent="0.3">
      <c r="A14" s="2" t="s">
        <v>27</v>
      </c>
      <c r="B14" s="1" t="s">
        <v>4</v>
      </c>
      <c r="C14" s="6">
        <v>71</v>
      </c>
      <c r="D14" s="6" t="s">
        <v>51</v>
      </c>
      <c r="E14" s="20" t="str">
        <f>VLOOKUP(Table_Option_Log[[#This Row],[Code]], Table_Coding_1[#All], 2, FALSE)</f>
        <v>Sell Open Call</v>
      </c>
      <c r="F14" s="21" t="s">
        <v>29</v>
      </c>
      <c r="G14" s="1">
        <v>2</v>
      </c>
      <c r="H14" s="3">
        <v>1.25</v>
      </c>
      <c r="I14" s="5">
        <v>1.03</v>
      </c>
      <c r="J14" s="5" t="s">
        <v>23</v>
      </c>
      <c r="K1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4" s="23">
        <f>IF(Table_Option_Log[[#This Row],[Code]]="BS",Table_Option_Log[[#This Row],[Quantity]], IF(Table_Option_Log[[#This Row],[Code]]="SS",-Table_Option_Log[[#This Row],[Quantity]], 0))</f>
        <v>0</v>
      </c>
      <c r="M1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4" s="7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250</v>
      </c>
      <c r="O14" s="49" t="str">
        <f>Table_Option_Log[[#This Row],[Stock]] &amp; " " &amp; Table_Option_Log[[#This Row],[Strike]] &amp; " " &amp; Table_Option_Log[[#This Row],[Code]] &amp; " " &amp; Table_Option_Log[[#This Row],[Expiration]]</f>
        <v>AMD 71 SC 23-01-27</v>
      </c>
      <c r="P14"/>
    </row>
    <row r="15" spans="1:16" x14ac:dyDescent="0.3">
      <c r="A15" s="2" t="s">
        <v>30</v>
      </c>
      <c r="B15" s="1" t="s">
        <v>25</v>
      </c>
      <c r="C15" s="6">
        <v>126</v>
      </c>
      <c r="D15" s="6" t="s">
        <v>50</v>
      </c>
      <c r="E15" s="20" t="str">
        <f>VLOOKUP(Table_Option_Log[[#This Row],[Code]], Table_Coding_1[#All], 2, FALSE)</f>
        <v>Buy Close Put</v>
      </c>
      <c r="F15" s="21" t="s">
        <v>26</v>
      </c>
      <c r="G15" s="1">
        <v>1</v>
      </c>
      <c r="H15" s="3">
        <v>0.09</v>
      </c>
      <c r="I15" s="5">
        <v>0.01</v>
      </c>
      <c r="J15" s="5" t="s">
        <v>23</v>
      </c>
      <c r="K1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5" s="23">
        <f>IF(Table_Option_Log[[#This Row],[Code]]="BS",Table_Option_Log[[#This Row],[Quantity]], IF(Table_Option_Log[[#This Row],[Code]]="SS",-Table_Option_Log[[#This Row],[Quantity]], 0))</f>
        <v>0</v>
      </c>
      <c r="M1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5" s="7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-9</v>
      </c>
      <c r="O15" s="49" t="str">
        <f>Table_Option_Log[[#This Row],[Stock]] &amp; " " &amp; Table_Option_Log[[#This Row],[Strike]] &amp; " " &amp; Table_Option_Log[[#This Row],[Code]] &amp; " " &amp; Table_Option_Log[[#This Row],[Expiration]]</f>
        <v>AAPL 126 BP 23-01-20</v>
      </c>
      <c r="P15"/>
    </row>
    <row r="16" spans="1:16" x14ac:dyDescent="0.3">
      <c r="A16" s="2" t="s">
        <v>30</v>
      </c>
      <c r="B16" s="1" t="s">
        <v>25</v>
      </c>
      <c r="C16" s="6">
        <v>130</v>
      </c>
      <c r="D16" s="6" t="s">
        <v>49</v>
      </c>
      <c r="E16" s="20" t="str">
        <f>VLOOKUP(Table_Option_Log[[#This Row],[Code]], Table_Coding_1[#All], 2, FALSE)</f>
        <v>Sell Open Put</v>
      </c>
      <c r="F16" s="21" t="s">
        <v>32</v>
      </c>
      <c r="G16" s="1">
        <v>1</v>
      </c>
      <c r="H16" s="3">
        <v>2.96</v>
      </c>
      <c r="I16" s="5">
        <v>0.51919999999999999</v>
      </c>
      <c r="J16" s="5" t="s">
        <v>23</v>
      </c>
      <c r="K1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6" s="23">
        <f>IF(Table_Option_Log[[#This Row],[Code]]="BS",Table_Option_Log[[#This Row],[Quantity]], IF(Table_Option_Log[[#This Row],[Code]]="SS",-Table_Option_Log[[#This Row],[Quantity]], 0))</f>
        <v>0</v>
      </c>
      <c r="M1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6" s="7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296</v>
      </c>
      <c r="O16" s="49" t="str">
        <f>Table_Option_Log[[#This Row],[Stock]] &amp; " " &amp; Table_Option_Log[[#This Row],[Strike]] &amp; " " &amp; Table_Option_Log[[#This Row],[Code]] &amp; " " &amp; Table_Option_Log[[#This Row],[Expiration]]</f>
        <v>AAPL 130 SP 23-02-10</v>
      </c>
      <c r="P16"/>
    </row>
    <row r="17" spans="1:16" x14ac:dyDescent="0.3">
      <c r="A17" s="2" t="s">
        <v>31</v>
      </c>
      <c r="B17" s="1" t="s">
        <v>25</v>
      </c>
      <c r="C17" s="6">
        <v>130</v>
      </c>
      <c r="D17" s="6" t="s">
        <v>50</v>
      </c>
      <c r="E17" s="20" t="str">
        <f>VLOOKUP(Table_Option_Log[[#This Row],[Code]], Table_Coding_1[#All], 2, FALSE)</f>
        <v>Buy Close Put</v>
      </c>
      <c r="F17" s="21" t="s">
        <v>32</v>
      </c>
      <c r="G17" s="1">
        <v>1</v>
      </c>
      <c r="H17" s="3">
        <v>2.23</v>
      </c>
      <c r="I17" s="5">
        <v>0.51</v>
      </c>
      <c r="J17" s="5" t="s">
        <v>23</v>
      </c>
      <c r="K1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7" s="23">
        <f>IF(Table_Option_Log[[#This Row],[Code]]="BS",Table_Option_Log[[#This Row],[Quantity]], IF(Table_Option_Log[[#This Row],[Code]]="SS",-Table_Option_Log[[#This Row],[Quantity]], 0))</f>
        <v>0</v>
      </c>
      <c r="M1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7" s="7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-223</v>
      </c>
      <c r="O17" s="49" t="str">
        <f>Table_Option_Log[[#This Row],[Stock]] &amp; " " &amp; Table_Option_Log[[#This Row],[Strike]] &amp; " " &amp; Table_Option_Log[[#This Row],[Code]] &amp; " " &amp; Table_Option_Log[[#This Row],[Expiration]]</f>
        <v>AAPL 130 BP 23-02-10</v>
      </c>
      <c r="P17"/>
    </row>
    <row r="18" spans="1:16" x14ac:dyDescent="0.3">
      <c r="A18" s="2" t="s">
        <v>31</v>
      </c>
      <c r="B18" s="1" t="s">
        <v>33</v>
      </c>
      <c r="C18" s="6">
        <v>120</v>
      </c>
      <c r="D18" s="6" t="s">
        <v>49</v>
      </c>
      <c r="E18" s="20" t="str">
        <f>VLOOKUP(Table_Option_Log[[#This Row],[Code]], Table_Coding_1[#All], 2, FALSE)</f>
        <v>Sell Open Put</v>
      </c>
      <c r="F18" s="21" t="s">
        <v>29</v>
      </c>
      <c r="G18" s="1">
        <v>1</v>
      </c>
      <c r="H18" s="3">
        <v>3.35</v>
      </c>
      <c r="I18" s="5">
        <v>0.52010000000000001</v>
      </c>
      <c r="J18" s="5" t="s">
        <v>23</v>
      </c>
      <c r="K1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8" s="23">
        <f>IF(Table_Option_Log[[#This Row],[Code]]="BS",Table_Option_Log[[#This Row],[Quantity]], IF(Table_Option_Log[[#This Row],[Code]]="SS",-Table_Option_Log[[#This Row],[Quantity]], 0))</f>
        <v>0</v>
      </c>
      <c r="M1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8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335</v>
      </c>
      <c r="O18" s="49" t="str">
        <f>Table_Option_Log[[#This Row],[Stock]] &amp; " " &amp; Table_Option_Log[[#This Row],[Strike]] &amp; " " &amp; Table_Option_Log[[#This Row],[Code]] &amp; " " &amp; Table_Option_Log[[#This Row],[Expiration]]</f>
        <v>TSLA 120 SP 23-01-27</v>
      </c>
    </row>
    <row r="19" spans="1:16" x14ac:dyDescent="0.3">
      <c r="A19" s="2" t="s">
        <v>34</v>
      </c>
      <c r="B19" s="1" t="s">
        <v>33</v>
      </c>
      <c r="C19" s="6">
        <v>120</v>
      </c>
      <c r="D19" s="6" t="s">
        <v>50</v>
      </c>
      <c r="E19" s="20" t="str">
        <f>VLOOKUP(Table_Option_Log[[#This Row],[Code]], Table_Coding_1[#All], 2, FALSE)</f>
        <v>Buy Close Put</v>
      </c>
      <c r="F19" s="21" t="s">
        <v>29</v>
      </c>
      <c r="G19" s="1">
        <v>1</v>
      </c>
      <c r="H19" s="3">
        <v>0.75</v>
      </c>
      <c r="I19" s="5">
        <v>0.51</v>
      </c>
      <c r="J19" s="5" t="s">
        <v>23</v>
      </c>
      <c r="K1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19" s="23">
        <f>IF(Table_Option_Log[[#This Row],[Code]]="BS",Table_Option_Log[[#This Row],[Quantity]], IF(Table_Option_Log[[#This Row],[Code]]="SS",-Table_Option_Log[[#This Row],[Quantity]], 0))</f>
        <v>0</v>
      </c>
      <c r="M1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19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-75</v>
      </c>
      <c r="O19" s="49" t="str">
        <f>Table_Option_Log[[#This Row],[Stock]] &amp; " " &amp; Table_Option_Log[[#This Row],[Strike]] &amp; " " &amp; Table_Option_Log[[#This Row],[Code]] &amp; " " &amp; Table_Option_Log[[#This Row],[Expiration]]</f>
        <v>TSLA 120 BP 23-01-27</v>
      </c>
    </row>
    <row r="20" spans="1:16" x14ac:dyDescent="0.3">
      <c r="A20" s="2" t="s">
        <v>35</v>
      </c>
      <c r="B20" s="1" t="s">
        <v>4</v>
      </c>
      <c r="C20" s="6">
        <v>71</v>
      </c>
      <c r="D20" s="6" t="s">
        <v>52</v>
      </c>
      <c r="E20" s="20" t="str">
        <f>VLOOKUP(Table_Option_Log[[#This Row],[Code]], Table_Coding_1[#All], 2, FALSE)</f>
        <v>Buy Close Call</v>
      </c>
      <c r="F20" s="21" t="s">
        <v>29</v>
      </c>
      <c r="G20" s="1">
        <v>2</v>
      </c>
      <c r="H20" s="3">
        <v>4.2300000000000004</v>
      </c>
      <c r="I20" s="5">
        <v>1.02</v>
      </c>
      <c r="J20" s="5" t="s">
        <v>23</v>
      </c>
      <c r="K2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0" s="23">
        <f>IF(Table_Option_Log[[#This Row],[Code]]="BS",Table_Option_Log[[#This Row],[Quantity]], IF(Table_Option_Log[[#This Row],[Code]]="SS",-Table_Option_Log[[#This Row],[Quantity]], 0))</f>
        <v>0</v>
      </c>
      <c r="M2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0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-846.00000000000011</v>
      </c>
      <c r="O20" s="49" t="str">
        <f>Table_Option_Log[[#This Row],[Stock]] &amp; " " &amp; Table_Option_Log[[#This Row],[Strike]] &amp; " " &amp; Table_Option_Log[[#This Row],[Code]] &amp; " " &amp; Table_Option_Log[[#This Row],[Expiration]]</f>
        <v>AMD 71 BC 23-01-27</v>
      </c>
    </row>
    <row r="21" spans="1:16" x14ac:dyDescent="0.3">
      <c r="A21" s="2" t="s">
        <v>35</v>
      </c>
      <c r="B21" s="1" t="s">
        <v>4</v>
      </c>
      <c r="C21" s="6">
        <v>74</v>
      </c>
      <c r="D21" s="6" t="s">
        <v>51</v>
      </c>
      <c r="E21" s="20" t="str">
        <f>VLOOKUP(Table_Option_Log[[#This Row],[Code]], Table_Coding_1[#All], 2, FALSE)</f>
        <v>Sell Open Call</v>
      </c>
      <c r="F21" s="21" t="s">
        <v>37</v>
      </c>
      <c r="G21" s="1">
        <v>2</v>
      </c>
      <c r="H21" s="3">
        <v>4.01</v>
      </c>
      <c r="I21" s="5">
        <f>0.5216*2</f>
        <v>1.0431999999999999</v>
      </c>
      <c r="J21" s="5" t="s">
        <v>23</v>
      </c>
      <c r="K2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1" s="23">
        <f>IF(Table_Option_Log[[#This Row],[Code]]="BS",Table_Option_Log[[#This Row],[Quantity]], IF(Table_Option_Log[[#This Row],[Code]]="SS",-Table_Option_Log[[#This Row],[Quantity]], 0))</f>
        <v>0</v>
      </c>
      <c r="M2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1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802</v>
      </c>
      <c r="O21" s="49" t="str">
        <f>Table_Option_Log[[#This Row],[Stock]] &amp; " " &amp; Table_Option_Log[[#This Row],[Strike]] &amp; " " &amp; Table_Option_Log[[#This Row],[Code]] &amp; " " &amp; Table_Option_Log[[#This Row],[Expiration]]</f>
        <v>AMD 74 SC 23-02-03</v>
      </c>
    </row>
    <row r="22" spans="1:16" x14ac:dyDescent="0.3">
      <c r="A22" s="2" t="s">
        <v>67</v>
      </c>
      <c r="B22" s="1" t="s">
        <v>25</v>
      </c>
      <c r="C22" s="6">
        <v>138</v>
      </c>
      <c r="D22" s="6" t="s">
        <v>49</v>
      </c>
      <c r="E22" s="43" t="str">
        <f>VLOOKUP(Table_Option_Log[[#This Row],[Code]], Table_Coding_1[#All], 2, FALSE)</f>
        <v>Sell Open Put</v>
      </c>
      <c r="F22" s="21" t="s">
        <v>68</v>
      </c>
      <c r="G22" s="1">
        <v>1</v>
      </c>
      <c r="H22" s="3">
        <v>2.78</v>
      </c>
      <c r="I22" s="5">
        <v>0.51880000000000004</v>
      </c>
      <c r="J22" s="5" t="s">
        <v>23</v>
      </c>
      <c r="K2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2" s="23">
        <f>IF(Table_Option_Log[[#This Row],[Code]]="BS",Table_Option_Log[[#This Row],[Quantity]], IF(Table_Option_Log[[#This Row],[Code]]="SS",-Table_Option_Log[[#This Row],[Quantity]], 0))</f>
        <v>0</v>
      </c>
      <c r="M2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278</v>
      </c>
      <c r="O22" s="49" t="str">
        <f>Table_Option_Log[[#This Row],[Stock]] &amp; " " &amp; Table_Option_Log[[#This Row],[Strike]] &amp; " " &amp; Table_Option_Log[[#This Row],[Code]] &amp; " " &amp; Table_Option_Log[[#This Row],[Expiration]]</f>
        <v>AAPL 138 SP 23-02-24</v>
      </c>
    </row>
    <row r="23" spans="1:16" x14ac:dyDescent="0.3">
      <c r="A23" s="2" t="s">
        <v>67</v>
      </c>
      <c r="B23" s="1" t="s">
        <v>69</v>
      </c>
      <c r="C23" s="6">
        <v>125</v>
      </c>
      <c r="D23" s="6" t="s">
        <v>50</v>
      </c>
      <c r="E23" s="43" t="str">
        <f>VLOOKUP(Table_Option_Log[[#This Row],[Code]], Table_Coding_1[#All], 2, FALSE)</f>
        <v>Buy Close Put</v>
      </c>
      <c r="F23" s="21" t="s">
        <v>70</v>
      </c>
      <c r="G23" s="1">
        <v>1</v>
      </c>
      <c r="H23" s="3">
        <v>0.12</v>
      </c>
      <c r="I23" s="5">
        <v>0.51</v>
      </c>
      <c r="J23" s="5" t="s">
        <v>23</v>
      </c>
      <c r="K2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3" s="23">
        <f>IF(Table_Option_Log[[#This Row],[Code]]="BS",Table_Option_Log[[#This Row],[Quantity]], IF(Table_Option_Log[[#This Row],[Code]]="SS",-Table_Option_Log[[#This Row],[Quantity]], 0))</f>
        <v>0</v>
      </c>
      <c r="M2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-12</v>
      </c>
      <c r="O23" s="49" t="str">
        <f>Table_Option_Log[[#This Row],[Stock]] &amp; " " &amp; Table_Option_Log[[#This Row],[Strike]] &amp; " " &amp; Table_Option_Log[[#This Row],[Code]] &amp; " " &amp; Table_Option_Log[[#This Row],[Expiration]]</f>
        <v>WMT 125 BP 23-02-17</v>
      </c>
    </row>
    <row r="24" spans="1:16" x14ac:dyDescent="0.3">
      <c r="A24" s="2" t="s">
        <v>67</v>
      </c>
      <c r="B24" s="1" t="s">
        <v>69</v>
      </c>
      <c r="C24" s="6">
        <v>135</v>
      </c>
      <c r="D24" s="6" t="s">
        <v>49</v>
      </c>
      <c r="E24" s="43" t="str">
        <f>VLOOKUP(Table_Option_Log[[#This Row],[Code]], Table_Coding_1[#All], 2, FALSE)</f>
        <v>Sell Open Put</v>
      </c>
      <c r="F24" s="21" t="s">
        <v>70</v>
      </c>
      <c r="G24" s="1">
        <v>1</v>
      </c>
      <c r="H24" s="3">
        <v>0.62</v>
      </c>
      <c r="I24" s="5">
        <v>0.51380000000000003</v>
      </c>
      <c r="J24" s="5" t="s">
        <v>23</v>
      </c>
      <c r="K2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4" s="23">
        <f>IF(Table_Option_Log[[#This Row],[Code]]="BS",Table_Option_Log[[#This Row],[Quantity]], IF(Table_Option_Log[[#This Row],[Code]]="SS",-Table_Option_Log[[#This Row],[Quantity]], 0))</f>
        <v>0</v>
      </c>
      <c r="M2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62</v>
      </c>
      <c r="O24" s="49" t="str">
        <f>Table_Option_Log[[#This Row],[Stock]] &amp; " " &amp; Table_Option_Log[[#This Row],[Strike]] &amp; " " &amp; Table_Option_Log[[#This Row],[Code]] &amp; " " &amp; Table_Option_Log[[#This Row],[Expiration]]</f>
        <v>WMT 135 SP 23-02-17</v>
      </c>
    </row>
    <row r="25" spans="1:16" x14ac:dyDescent="0.3">
      <c r="A25" s="2" t="s">
        <v>67</v>
      </c>
      <c r="B25" s="1" t="s">
        <v>69</v>
      </c>
      <c r="C25" s="6">
        <v>145</v>
      </c>
      <c r="D25" s="6" t="s">
        <v>51</v>
      </c>
      <c r="E25" s="43" t="str">
        <f>VLOOKUP(Table_Option_Log[[#This Row],[Code]], Table_Coding_1[#All], 2, FALSE)</f>
        <v>Sell Open Call</v>
      </c>
      <c r="F25" s="21" t="s">
        <v>70</v>
      </c>
      <c r="G25" s="1">
        <v>1</v>
      </c>
      <c r="H25" s="3">
        <v>1.31</v>
      </c>
      <c r="I25" s="5">
        <v>0.51539999999999997</v>
      </c>
      <c r="J25" s="5" t="s">
        <v>23</v>
      </c>
      <c r="K2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5" s="23">
        <f>IF(Table_Option_Log[[#This Row],[Code]]="BS",Table_Option_Log[[#This Row],[Quantity]], IF(Table_Option_Log[[#This Row],[Code]]="SS",-Table_Option_Log[[#This Row],[Quantity]], 0))</f>
        <v>0</v>
      </c>
      <c r="M2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131</v>
      </c>
      <c r="O25" s="49" t="str">
        <f>Table_Option_Log[[#This Row],[Stock]] &amp; " " &amp; Table_Option_Log[[#This Row],[Strike]] &amp; " " &amp; Table_Option_Log[[#This Row],[Code]] &amp; " " &amp; Table_Option_Log[[#This Row],[Expiration]]</f>
        <v>WMT 145 SC 23-02-17</v>
      </c>
    </row>
    <row r="26" spans="1:16" x14ac:dyDescent="0.3">
      <c r="A26" s="2" t="s">
        <v>67</v>
      </c>
      <c r="B26" s="1" t="s">
        <v>69</v>
      </c>
      <c r="C26" s="6">
        <v>155</v>
      </c>
      <c r="D26" s="6" t="s">
        <v>52</v>
      </c>
      <c r="E26" s="43" t="str">
        <f>VLOOKUP(Table_Option_Log[[#This Row],[Code]], Table_Coding_1[#All], 2, FALSE)</f>
        <v>Buy Close Call</v>
      </c>
      <c r="F26" s="21" t="s">
        <v>70</v>
      </c>
      <c r="G26" s="1">
        <v>1</v>
      </c>
      <c r="H26" s="3">
        <v>0.08</v>
      </c>
      <c r="I26" s="5">
        <v>0.51</v>
      </c>
      <c r="J26" s="5" t="s">
        <v>23</v>
      </c>
      <c r="K2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6" s="23">
        <f>IF(Table_Option_Log[[#This Row],[Code]]="BS",Table_Option_Log[[#This Row],[Quantity]], IF(Table_Option_Log[[#This Row],[Code]]="SS",-Table_Option_Log[[#This Row],[Quantity]], 0))</f>
        <v>0</v>
      </c>
      <c r="M2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6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-8</v>
      </c>
      <c r="O26" s="49" t="str">
        <f>Table_Option_Log[[#This Row],[Stock]] &amp; " " &amp; Table_Option_Log[[#This Row],[Strike]] &amp; " " &amp; Table_Option_Log[[#This Row],[Code]] &amp; " " &amp; Table_Option_Log[[#This Row],[Expiration]]</f>
        <v>WMT 155 BC 23-02-17</v>
      </c>
    </row>
    <row r="27" spans="1:16" x14ac:dyDescent="0.3">
      <c r="A27" s="2" t="s">
        <v>67</v>
      </c>
      <c r="B27" s="1" t="s">
        <v>4</v>
      </c>
      <c r="C27" s="6">
        <v>70</v>
      </c>
      <c r="D27" s="6" t="s">
        <v>49</v>
      </c>
      <c r="E27" s="43" t="str">
        <f>VLOOKUP(Table_Option_Log[[#This Row],[Code]], Table_Coding_1[#All], 2, FALSE)</f>
        <v>Sell Open Put</v>
      </c>
      <c r="F27" s="21" t="s">
        <v>68</v>
      </c>
      <c r="G27" s="1">
        <v>2</v>
      </c>
      <c r="H27" s="3">
        <v>2.2400000000000002</v>
      </c>
      <c r="I27" s="5">
        <v>1.0350999999999999</v>
      </c>
      <c r="J27" s="5" t="s">
        <v>23</v>
      </c>
      <c r="K2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7" s="23">
        <f>IF(Table_Option_Log[[#This Row],[Code]]="BS",Table_Option_Log[[#This Row],[Quantity]], IF(Table_Option_Log[[#This Row],[Code]]="SS",-Table_Option_Log[[#This Row],[Quantity]], 0))</f>
        <v>0</v>
      </c>
      <c r="M2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7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448.00000000000006</v>
      </c>
      <c r="O27" s="49" t="str">
        <f>Table_Option_Log[[#This Row],[Stock]] &amp; " " &amp; Table_Option_Log[[#This Row],[Strike]] &amp; " " &amp; Table_Option_Log[[#This Row],[Code]] &amp; " " &amp; Table_Option_Log[[#This Row],[Expiration]]</f>
        <v>AMD 70 SP 23-02-24</v>
      </c>
    </row>
    <row r="28" spans="1:16" x14ac:dyDescent="0.3">
      <c r="A28" s="2" t="s">
        <v>67</v>
      </c>
      <c r="B28" s="1" t="s">
        <v>23</v>
      </c>
      <c r="C28" s="6" t="s">
        <v>23</v>
      </c>
      <c r="D28" s="6" t="s">
        <v>90</v>
      </c>
      <c r="E28" s="43" t="str">
        <f>VLOOKUP(Table_Option_Log[[#This Row],[Code]], Table_Coding_1[#All], 2, FALSE)</f>
        <v>Interest</v>
      </c>
      <c r="F28" s="21" t="s">
        <v>23</v>
      </c>
      <c r="G28" s="1" t="s">
        <v>23</v>
      </c>
      <c r="H28" s="3" t="s">
        <v>23</v>
      </c>
      <c r="I28" s="5" t="s">
        <v>23</v>
      </c>
      <c r="J28" s="5">
        <v>70.37</v>
      </c>
      <c r="K2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8" s="23">
        <f>IF(Table_Option_Log[[#This Row],[Code]]="BS",Table_Option_Log[[#This Row],[Quantity]], IF(Table_Option_Log[[#This Row],[Code]]="SS",-Table_Option_Log[[#This Row],[Quantity]], 0))</f>
        <v>0</v>
      </c>
      <c r="M2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8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28" s="49" t="str">
        <f>Table_Option_Log[[#This Row],[Stock]] &amp; " " &amp; Table_Option_Log[[#This Row],[Strike]] &amp; " " &amp; Table_Option_Log[[#This Row],[Code]] &amp; " " &amp; Table_Option_Log[[#This Row],[Expiration]]</f>
        <v>- - INT -</v>
      </c>
    </row>
    <row r="29" spans="1:16" x14ac:dyDescent="0.3">
      <c r="A29" s="2" t="s">
        <v>29</v>
      </c>
      <c r="B29" s="1" t="s">
        <v>69</v>
      </c>
      <c r="C29" s="6">
        <v>125</v>
      </c>
      <c r="D29" s="6" t="s">
        <v>49</v>
      </c>
      <c r="E29" s="43" t="str">
        <f>VLOOKUP(Table_Option_Log[[#This Row],[Code]], Table_Coding_1[#All], 2, FALSE)</f>
        <v>Sell Open Put</v>
      </c>
      <c r="F29" s="21" t="s">
        <v>70</v>
      </c>
      <c r="G29" s="1">
        <v>1</v>
      </c>
      <c r="H29" s="3">
        <v>0.06</v>
      </c>
      <c r="I29" s="5">
        <v>0.51259999999999994</v>
      </c>
      <c r="J29" s="5" t="s">
        <v>23</v>
      </c>
      <c r="K2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29" s="23">
        <f>IF(Table_Option_Log[[#This Row],[Code]]="BS",Table_Option_Log[[#This Row],[Quantity]], IF(Table_Option_Log[[#This Row],[Code]]="SS",-Table_Option_Log[[#This Row],[Quantity]], 0))</f>
        <v>0</v>
      </c>
      <c r="M2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29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6</v>
      </c>
      <c r="O29" s="49" t="str">
        <f>Table_Option_Log[[#This Row],[Stock]] &amp; " " &amp; Table_Option_Log[[#This Row],[Strike]] &amp; " " &amp; Table_Option_Log[[#This Row],[Code]] &amp; " " &amp; Table_Option_Log[[#This Row],[Expiration]]</f>
        <v>WMT 125 SP 23-02-17</v>
      </c>
    </row>
    <row r="30" spans="1:16" x14ac:dyDescent="0.3">
      <c r="A30" s="2" t="s">
        <v>29</v>
      </c>
      <c r="B30" s="1" t="s">
        <v>69</v>
      </c>
      <c r="C30" s="6">
        <v>135</v>
      </c>
      <c r="D30" s="6" t="s">
        <v>50</v>
      </c>
      <c r="E30" s="43" t="str">
        <f>VLOOKUP(Table_Option_Log[[#This Row],[Code]], Table_Coding_1[#All], 2, FALSE)</f>
        <v>Buy Close Put</v>
      </c>
      <c r="F30" s="21" t="s">
        <v>70</v>
      </c>
      <c r="G30" s="1">
        <v>1</v>
      </c>
      <c r="H30" s="3">
        <v>0.36</v>
      </c>
      <c r="I30" s="5">
        <v>0.51</v>
      </c>
      <c r="J30" s="5" t="s">
        <v>23</v>
      </c>
      <c r="K3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0" s="23">
        <f>IF(Table_Option_Log[[#This Row],[Code]]="BS",Table_Option_Log[[#This Row],[Quantity]], IF(Table_Option_Log[[#This Row],[Code]]="SS",-Table_Option_Log[[#This Row],[Quantity]], 0))</f>
        <v>0</v>
      </c>
      <c r="M3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0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-36</v>
      </c>
      <c r="O30" s="49" t="str">
        <f>Table_Option_Log[[#This Row],[Stock]] &amp; " " &amp; Table_Option_Log[[#This Row],[Strike]] &amp; " " &amp; Table_Option_Log[[#This Row],[Code]] &amp; " " &amp; Table_Option_Log[[#This Row],[Expiration]]</f>
        <v>WMT 135 BP 23-02-17</v>
      </c>
    </row>
    <row r="31" spans="1:16" x14ac:dyDescent="0.3">
      <c r="A31" s="2" t="s">
        <v>29</v>
      </c>
      <c r="B31" s="1" t="s">
        <v>69</v>
      </c>
      <c r="C31" s="6">
        <v>145</v>
      </c>
      <c r="D31" s="6" t="s">
        <v>52</v>
      </c>
      <c r="E31" s="43" t="str">
        <f>VLOOKUP(Table_Option_Log[[#This Row],[Code]], Table_Coding_1[#All], 2, FALSE)</f>
        <v>Buy Close Call</v>
      </c>
      <c r="F31" s="21" t="s">
        <v>70</v>
      </c>
      <c r="G31" s="1">
        <v>1</v>
      </c>
      <c r="H31" s="3">
        <v>2.04</v>
      </c>
      <c r="I31" s="5">
        <v>0.51</v>
      </c>
      <c r="J31" s="5" t="s">
        <v>23</v>
      </c>
      <c r="K3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1" s="23">
        <f>IF(Table_Option_Log[[#This Row],[Code]]="BS",Table_Option_Log[[#This Row],[Quantity]], IF(Table_Option_Log[[#This Row],[Code]]="SS",-Table_Option_Log[[#This Row],[Quantity]], 0))</f>
        <v>0</v>
      </c>
      <c r="M3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1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-204</v>
      </c>
      <c r="O31" s="49" t="str">
        <f>Table_Option_Log[[#This Row],[Stock]] &amp; " " &amp; Table_Option_Log[[#This Row],[Strike]] &amp; " " &amp; Table_Option_Log[[#This Row],[Code]] &amp; " " &amp; Table_Option_Log[[#This Row],[Expiration]]</f>
        <v>WMT 145 BC 23-02-17</v>
      </c>
    </row>
    <row r="32" spans="1:16" x14ac:dyDescent="0.3">
      <c r="A32" s="2" t="s">
        <v>29</v>
      </c>
      <c r="B32" s="1" t="s">
        <v>69</v>
      </c>
      <c r="C32" s="6">
        <v>155</v>
      </c>
      <c r="D32" s="6" t="s">
        <v>51</v>
      </c>
      <c r="E32" s="43" t="str">
        <f>VLOOKUP(Table_Option_Log[[#This Row],[Code]], Table_Coding_1[#All], 2, FALSE)</f>
        <v>Sell Open Call</v>
      </c>
      <c r="F32" s="21" t="s">
        <v>70</v>
      </c>
      <c r="G32" s="1">
        <v>1</v>
      </c>
      <c r="H32" s="3">
        <v>0.09</v>
      </c>
      <c r="I32" s="5">
        <v>0.51259999999999994</v>
      </c>
      <c r="J32" s="5" t="s">
        <v>23</v>
      </c>
      <c r="K3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2" s="23">
        <f>IF(Table_Option_Log[[#This Row],[Code]]="BS",Table_Option_Log[[#This Row],[Quantity]], IF(Table_Option_Log[[#This Row],[Code]]="SS",-Table_Option_Log[[#This Row],[Quantity]], 0))</f>
        <v>0</v>
      </c>
      <c r="M3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9</v>
      </c>
      <c r="O32" s="49" t="str">
        <f>Table_Option_Log[[#This Row],[Stock]] &amp; " " &amp; Table_Option_Log[[#This Row],[Strike]] &amp; " " &amp; Table_Option_Log[[#This Row],[Code]] &amp; " " &amp; Table_Option_Log[[#This Row],[Expiration]]</f>
        <v>WMT 155 SC 23-02-17</v>
      </c>
    </row>
    <row r="33" spans="1:15" x14ac:dyDescent="0.3">
      <c r="A33" s="2" t="s">
        <v>29</v>
      </c>
      <c r="B33" s="1" t="s">
        <v>4</v>
      </c>
      <c r="C33" s="6">
        <v>76</v>
      </c>
      <c r="D33" s="6" t="s">
        <v>52</v>
      </c>
      <c r="E33" s="43" t="str">
        <f>VLOOKUP(Table_Option_Log[[#This Row],[Code]], Table_Coding_1[#All], 2, FALSE)</f>
        <v>Buy Close Call</v>
      </c>
      <c r="F33" s="21" t="s">
        <v>37</v>
      </c>
      <c r="G33" s="1">
        <v>12</v>
      </c>
      <c r="H33" s="3">
        <v>3.21</v>
      </c>
      <c r="I33" s="5">
        <v>6.12</v>
      </c>
      <c r="J33" s="5" t="s">
        <v>23</v>
      </c>
      <c r="K3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3" s="23">
        <f>IF(Table_Option_Log[[#This Row],[Code]]="BS",Table_Option_Log[[#This Row],[Quantity]], IF(Table_Option_Log[[#This Row],[Code]]="SS",-Table_Option_Log[[#This Row],[Quantity]], 0))</f>
        <v>0</v>
      </c>
      <c r="M3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-3852</v>
      </c>
      <c r="O33" s="49" t="str">
        <f>Table_Option_Log[[#This Row],[Stock]] &amp; " " &amp; Table_Option_Log[[#This Row],[Strike]] &amp; " " &amp; Table_Option_Log[[#This Row],[Code]] &amp; " " &amp; Table_Option_Log[[#This Row],[Expiration]]</f>
        <v>AMD 76 BC 23-02-03</v>
      </c>
    </row>
    <row r="34" spans="1:15" x14ac:dyDescent="0.3">
      <c r="A34" s="2" t="s">
        <v>29</v>
      </c>
      <c r="B34" s="1" t="s">
        <v>4</v>
      </c>
      <c r="C34" s="6">
        <v>77</v>
      </c>
      <c r="D34" s="6" t="s">
        <v>51</v>
      </c>
      <c r="E34" s="43" t="str">
        <f>VLOOKUP(Table_Option_Log[[#This Row],[Code]], Table_Coding_1[#All], 2, FALSE)</f>
        <v>Sell Open Call</v>
      </c>
      <c r="F34" s="21" t="s">
        <v>37</v>
      </c>
      <c r="G34" s="1">
        <v>12</v>
      </c>
      <c r="H34" s="3">
        <v>2.7</v>
      </c>
      <c r="I34" s="5">
        <v>6.2233999999999998</v>
      </c>
      <c r="J34" s="5" t="s">
        <v>23</v>
      </c>
      <c r="K3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4" s="23">
        <f>IF(Table_Option_Log[[#This Row],[Code]]="BS",Table_Option_Log[[#This Row],[Quantity]], IF(Table_Option_Log[[#This Row],[Code]]="SS",-Table_Option_Log[[#This Row],[Quantity]], 0))</f>
        <v>0</v>
      </c>
      <c r="M3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3240</v>
      </c>
      <c r="O34" s="49" t="str">
        <f>Table_Option_Log[[#This Row],[Stock]] &amp; " " &amp; Table_Option_Log[[#This Row],[Strike]] &amp; " " &amp; Table_Option_Log[[#This Row],[Code]] &amp; " " &amp; Table_Option_Log[[#This Row],[Expiration]]</f>
        <v>AMD 77 SC 23-02-03</v>
      </c>
    </row>
    <row r="35" spans="1:15" x14ac:dyDescent="0.3">
      <c r="A35" s="2" t="s">
        <v>97</v>
      </c>
      <c r="B35" s="1" t="s">
        <v>25</v>
      </c>
      <c r="C35" s="6">
        <v>142</v>
      </c>
      <c r="D35" s="6" t="s">
        <v>52</v>
      </c>
      <c r="E35" s="43" t="str">
        <f>VLOOKUP(Table_Option_Log[[#This Row],[Code]], Table_Coding_1[#All], 2, FALSE)</f>
        <v>Buy Close Call</v>
      </c>
      <c r="F35" s="21" t="s">
        <v>32</v>
      </c>
      <c r="G35" s="1">
        <v>10</v>
      </c>
      <c r="H35" s="50">
        <v>4.17</v>
      </c>
      <c r="I35" s="5">
        <f>2*2.549</f>
        <v>5.0979999999999999</v>
      </c>
      <c r="J35" s="5" t="s">
        <v>23</v>
      </c>
      <c r="K3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5" s="23">
        <f>IF(Table_Option_Log[[#This Row],[Code]]="BS",Table_Option_Log[[#This Row],[Quantity]], IF(Table_Option_Log[[#This Row],[Code]]="SS",-Table_Option_Log[[#This Row],[Quantity]], 0))</f>
        <v>0</v>
      </c>
      <c r="M3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-4170</v>
      </c>
      <c r="O35" s="49" t="str">
        <f>Table_Option_Log[[#This Row],[Stock]] &amp; " " &amp; Table_Option_Log[[#This Row],[Strike]] &amp; " " &amp; Table_Option_Log[[#This Row],[Code]] &amp; " " &amp; Table_Option_Log[[#This Row],[Expiration]]</f>
        <v>AAPL 142 BC 23-02-10</v>
      </c>
    </row>
    <row r="36" spans="1:15" x14ac:dyDescent="0.3">
      <c r="A36" s="2" t="s">
        <v>97</v>
      </c>
      <c r="B36" s="1" t="s">
        <v>25</v>
      </c>
      <c r="C36" s="6">
        <v>144</v>
      </c>
      <c r="D36" s="6" t="s">
        <v>51</v>
      </c>
      <c r="E36" s="43" t="str">
        <f>VLOOKUP(Table_Option_Log[[#This Row],[Code]], Table_Coding_1[#All], 2, FALSE)</f>
        <v>Sell Open Call</v>
      </c>
      <c r="F36" s="21" t="s">
        <v>32</v>
      </c>
      <c r="G36" s="1">
        <v>10</v>
      </c>
      <c r="H36" s="50">
        <v>3.17</v>
      </c>
      <c r="I36" s="5">
        <f>2*2.5974</f>
        <v>5.1947999999999999</v>
      </c>
      <c r="J36" s="5" t="s">
        <v>23</v>
      </c>
      <c r="K3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6" s="23">
        <f>IF(Table_Option_Log[[#This Row],[Code]]="BS",Table_Option_Log[[#This Row],[Quantity]], IF(Table_Option_Log[[#This Row],[Code]]="SS",-Table_Option_Log[[#This Row],[Quantity]], 0))</f>
        <v>0</v>
      </c>
      <c r="M3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6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3170</v>
      </c>
      <c r="O36" s="49" t="str">
        <f>Table_Option_Log[[#This Row],[Stock]] &amp; " " &amp; Table_Option_Log[[#This Row],[Strike]] &amp; " " &amp; Table_Option_Log[[#This Row],[Code]] &amp; " " &amp; Table_Option_Log[[#This Row],[Expiration]]</f>
        <v>AAPL 144 SC 23-02-10</v>
      </c>
    </row>
    <row r="37" spans="1:15" x14ac:dyDescent="0.3">
      <c r="A37" s="2" t="s">
        <v>97</v>
      </c>
      <c r="B37" s="1" t="s">
        <v>25</v>
      </c>
      <c r="C37" s="6">
        <v>143</v>
      </c>
      <c r="D37" s="6" t="s">
        <v>52</v>
      </c>
      <c r="E37" s="43" t="str">
        <f>VLOOKUP(Table_Option_Log[[#This Row],[Code]], Table_Coding_1[#All], 2, FALSE)</f>
        <v>Buy Close Call</v>
      </c>
      <c r="F37" s="21" t="s">
        <v>37</v>
      </c>
      <c r="G37" s="1">
        <v>8</v>
      </c>
      <c r="H37" s="50">
        <f>(4.17+4.2*7)/8</f>
        <v>4.19625</v>
      </c>
      <c r="I37" s="5">
        <f>0.5098+3.5686</f>
        <v>4.0784000000000002</v>
      </c>
      <c r="J37" s="5" t="s">
        <v>23</v>
      </c>
      <c r="K3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7" s="23">
        <f>IF(Table_Option_Log[[#This Row],[Code]]="BS",Table_Option_Log[[#This Row],[Quantity]], IF(Table_Option_Log[[#This Row],[Code]]="SS",-Table_Option_Log[[#This Row],[Quantity]], 0))</f>
        <v>0</v>
      </c>
      <c r="M3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7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-3357</v>
      </c>
      <c r="O37" s="49" t="str">
        <f>Table_Option_Log[[#This Row],[Stock]] &amp; " " &amp; Table_Option_Log[[#This Row],[Strike]] &amp; " " &amp; Table_Option_Log[[#This Row],[Code]] &amp; " " &amp; Table_Option_Log[[#This Row],[Expiration]]</f>
        <v>AAPL 143 BC 23-02-03</v>
      </c>
    </row>
    <row r="38" spans="1:15" x14ac:dyDescent="0.3">
      <c r="A38" s="2" t="s">
        <v>97</v>
      </c>
      <c r="B38" s="1" t="s">
        <v>25</v>
      </c>
      <c r="C38" s="6">
        <v>145</v>
      </c>
      <c r="D38" s="6" t="s">
        <v>51</v>
      </c>
      <c r="E38" s="43" t="str">
        <f>VLOOKUP(Table_Option_Log[[#This Row],[Code]], Table_Coding_1[#All], 2, FALSE)</f>
        <v>Sell Open Call</v>
      </c>
      <c r="F38" s="21" t="s">
        <v>37</v>
      </c>
      <c r="G38" s="1">
        <v>8</v>
      </c>
      <c r="H38" s="50">
        <f>(3.07+3.06*7)/8</f>
        <v>3.0612500000000002</v>
      </c>
      <c r="I38" s="5">
        <f>0.5192+3.6347</f>
        <v>4.1539000000000001</v>
      </c>
      <c r="J38" s="5" t="s">
        <v>23</v>
      </c>
      <c r="K3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8" s="23">
        <f>IF(Table_Option_Log[[#This Row],[Code]]="BS",Table_Option_Log[[#This Row],[Quantity]], IF(Table_Option_Log[[#This Row],[Code]]="SS",-Table_Option_Log[[#This Row],[Quantity]], 0))</f>
        <v>0</v>
      </c>
      <c r="M3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8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2449</v>
      </c>
      <c r="O38" s="49" t="str">
        <f>Table_Option_Log[[#This Row],[Stock]] &amp; " " &amp; Table_Option_Log[[#This Row],[Strike]] &amp; " " &amp; Table_Option_Log[[#This Row],[Code]] &amp; " " &amp; Table_Option_Log[[#This Row],[Expiration]]</f>
        <v>AAPL 145 SC 23-02-03</v>
      </c>
    </row>
    <row r="39" spans="1:15" x14ac:dyDescent="0.3">
      <c r="A39" s="2" t="s">
        <v>97</v>
      </c>
      <c r="B39" s="1" t="s">
        <v>4</v>
      </c>
      <c r="C39" s="6">
        <v>70</v>
      </c>
      <c r="D39" s="6" t="s">
        <v>50</v>
      </c>
      <c r="E39" s="43" t="str">
        <f>VLOOKUP(Table_Option_Log[[#This Row],[Code]], Table_Coding_1[#All], 2, FALSE)</f>
        <v>Buy Close Put</v>
      </c>
      <c r="F39" s="21" t="s">
        <v>68</v>
      </c>
      <c r="G39" s="1">
        <v>2</v>
      </c>
      <c r="H39" s="3">
        <v>0.32</v>
      </c>
      <c r="I39" s="5">
        <v>1.0196000000000001</v>
      </c>
      <c r="J39" s="5" t="s">
        <v>23</v>
      </c>
      <c r="K3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39" s="23">
        <f>IF(Table_Option_Log[[#This Row],[Code]]="BS",Table_Option_Log[[#This Row],[Quantity]], IF(Table_Option_Log[[#This Row],[Code]]="SS",-Table_Option_Log[[#This Row],[Quantity]], 0))</f>
        <v>0</v>
      </c>
      <c r="M3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39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-64</v>
      </c>
      <c r="O39" s="49" t="str">
        <f>Table_Option_Log[[#This Row],[Stock]] &amp; " " &amp; Table_Option_Log[[#This Row],[Strike]] &amp; " " &amp; Table_Option_Log[[#This Row],[Code]] &amp; " " &amp; Table_Option_Log[[#This Row],[Expiration]]</f>
        <v>AMD 70 BP 23-02-24</v>
      </c>
    </row>
    <row r="40" spans="1:15" x14ac:dyDescent="0.3">
      <c r="A40" s="2" t="s">
        <v>97</v>
      </c>
      <c r="B40" s="1" t="s">
        <v>25</v>
      </c>
      <c r="C40" s="6">
        <v>144</v>
      </c>
      <c r="D40" s="6" t="s">
        <v>52</v>
      </c>
      <c r="E40" s="43" t="str">
        <f>VLOOKUP(Table_Option_Log[[#This Row],[Code]], Table_Coding_1[#All], 2, FALSE)</f>
        <v>Buy Close Call</v>
      </c>
      <c r="F40" s="21" t="s">
        <v>37</v>
      </c>
      <c r="G40" s="1">
        <v>10</v>
      </c>
      <c r="H40" s="50">
        <v>4.1500000000000004</v>
      </c>
      <c r="I40" s="5">
        <f>2.0392+3.0588</f>
        <v>5.0980000000000008</v>
      </c>
      <c r="J40" s="5" t="s">
        <v>23</v>
      </c>
      <c r="K4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0" s="23">
        <f>IF(Table_Option_Log[[#This Row],[Code]]="BS",Table_Option_Log[[#This Row],[Quantity]], IF(Table_Option_Log[[#This Row],[Code]]="SS",-Table_Option_Log[[#This Row],[Quantity]], 0))</f>
        <v>0</v>
      </c>
      <c r="M4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0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-4150</v>
      </c>
      <c r="O40" s="49" t="str">
        <f>Table_Option_Log[[#This Row],[Stock]] &amp; " " &amp; Table_Option_Log[[#This Row],[Strike]] &amp; " " &amp; Table_Option_Log[[#This Row],[Code]] &amp; " " &amp; Table_Option_Log[[#This Row],[Expiration]]</f>
        <v>AAPL 144 BC 23-02-03</v>
      </c>
    </row>
    <row r="41" spans="1:15" x14ac:dyDescent="0.3">
      <c r="A41" s="2" t="s">
        <v>97</v>
      </c>
      <c r="B41" s="1" t="s">
        <v>25</v>
      </c>
      <c r="C41" s="6">
        <v>146</v>
      </c>
      <c r="D41" s="6" t="s">
        <v>51</v>
      </c>
      <c r="E41" s="43" t="str">
        <f>VLOOKUP(Table_Option_Log[[#This Row],[Code]], Table_Coding_1[#All], 2, FALSE)</f>
        <v>Sell Open Call</v>
      </c>
      <c r="F41" s="21" t="s">
        <v>37</v>
      </c>
      <c r="G41" s="1">
        <v>10</v>
      </c>
      <c r="H41" s="50">
        <v>3.01</v>
      </c>
      <c r="I41" s="5">
        <f>2.0765+3.1147</f>
        <v>5.1912000000000003</v>
      </c>
      <c r="J41" s="5" t="s">
        <v>23</v>
      </c>
      <c r="K4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1" s="23">
        <f>IF(Table_Option_Log[[#This Row],[Code]]="BS",Table_Option_Log[[#This Row],[Quantity]], IF(Table_Option_Log[[#This Row],[Code]]="SS",-Table_Option_Log[[#This Row],[Quantity]], 0))</f>
        <v>0</v>
      </c>
      <c r="M4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1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3010</v>
      </c>
      <c r="O41" s="49" t="str">
        <f>Table_Option_Log[[#This Row],[Stock]] &amp; " " &amp; Table_Option_Log[[#This Row],[Strike]] &amp; " " &amp; Table_Option_Log[[#This Row],[Code]] &amp; " " &amp; Table_Option_Log[[#This Row],[Expiration]]</f>
        <v>AAPL 146 SC 23-02-03</v>
      </c>
    </row>
    <row r="42" spans="1:15" x14ac:dyDescent="0.3">
      <c r="A42" s="2" t="s">
        <v>98</v>
      </c>
      <c r="B42" s="1" t="s">
        <v>33</v>
      </c>
      <c r="C42" s="6">
        <v>187.5</v>
      </c>
      <c r="D42" s="6" t="s">
        <v>52</v>
      </c>
      <c r="E42" s="43" t="str">
        <f>VLOOKUP(Table_Option_Log[[#This Row],[Code]], Table_Coding_1[#All], 2, FALSE)</f>
        <v>Buy Close Call</v>
      </c>
      <c r="F42" s="21" t="s">
        <v>37</v>
      </c>
      <c r="G42" s="1">
        <v>10</v>
      </c>
      <c r="H42" s="3">
        <v>5.81</v>
      </c>
      <c r="I42" s="5">
        <f>2*2.549</f>
        <v>5.0979999999999999</v>
      </c>
      <c r="J42" s="5" t="s">
        <v>23</v>
      </c>
      <c r="K4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2" s="23">
        <f>IF(Table_Option_Log[[#This Row],[Code]]="BS",Table_Option_Log[[#This Row],[Quantity]], IF(Table_Option_Log[[#This Row],[Code]]="SS",-Table_Option_Log[[#This Row],[Quantity]], 0))</f>
        <v>0</v>
      </c>
      <c r="M4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-5810</v>
      </c>
      <c r="O42" s="49" t="str">
        <f>Table_Option_Log[[#This Row],[Stock]] &amp; " " &amp; Table_Option_Log[[#This Row],[Strike]] &amp; " " &amp; Table_Option_Log[[#This Row],[Code]] &amp; " " &amp; Table_Option_Log[[#This Row],[Expiration]]</f>
        <v>TSLA 187.5 BC 23-02-03</v>
      </c>
    </row>
    <row r="43" spans="1:15" x14ac:dyDescent="0.3">
      <c r="A43" s="2" t="s">
        <v>98</v>
      </c>
      <c r="B43" s="1" t="s">
        <v>33</v>
      </c>
      <c r="C43" s="6">
        <v>190</v>
      </c>
      <c r="D43" s="6" t="s">
        <v>51</v>
      </c>
      <c r="E43" s="43" t="str">
        <f>VLOOKUP(Table_Option_Log[[#This Row],[Code]], Table_Coding_1[#All], 2, FALSE)</f>
        <v>Sell Open Call</v>
      </c>
      <c r="F43" s="21" t="s">
        <v>37</v>
      </c>
      <c r="G43" s="1">
        <v>10</v>
      </c>
      <c r="H43" s="3">
        <v>4.57</v>
      </c>
      <c r="I43" s="5">
        <f>2*2.6135</f>
        <v>5.2270000000000003</v>
      </c>
      <c r="J43" s="5" t="s">
        <v>23</v>
      </c>
      <c r="K4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3" s="23">
        <f>IF(Table_Option_Log[[#This Row],[Code]]="BS",Table_Option_Log[[#This Row],[Quantity]], IF(Table_Option_Log[[#This Row],[Code]]="SS",-Table_Option_Log[[#This Row],[Quantity]], 0))</f>
        <v>0</v>
      </c>
      <c r="M4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4570</v>
      </c>
      <c r="O43" s="49" t="str">
        <f>Table_Option_Log[[#This Row],[Stock]] &amp; " " &amp; Table_Option_Log[[#This Row],[Strike]] &amp; " " &amp; Table_Option_Log[[#This Row],[Code]] &amp; " " &amp; Table_Option_Log[[#This Row],[Expiration]]</f>
        <v>TSLA 190 SC 23-02-03</v>
      </c>
    </row>
    <row r="44" spans="1:15" x14ac:dyDescent="0.3">
      <c r="A44" s="2" t="s">
        <v>98</v>
      </c>
      <c r="B44" s="1" t="s">
        <v>33</v>
      </c>
      <c r="C44" s="6">
        <v>192.5</v>
      </c>
      <c r="D44" s="6" t="s">
        <v>52</v>
      </c>
      <c r="E44" s="43" t="str">
        <f>VLOOKUP(Table_Option_Log[[#This Row],[Code]], Table_Coding_1[#All], 2, FALSE)</f>
        <v>Buy Close Call</v>
      </c>
      <c r="F44" s="21" t="s">
        <v>32</v>
      </c>
      <c r="G44" s="1">
        <v>10</v>
      </c>
      <c r="H44" s="3">
        <v>10.5</v>
      </c>
      <c r="I44" s="5">
        <v>5.0979999999999999</v>
      </c>
      <c r="J44" s="5" t="s">
        <v>23</v>
      </c>
      <c r="K4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4" s="23">
        <f>IF(Table_Option_Log[[#This Row],[Code]]="BS",Table_Option_Log[[#This Row],[Quantity]], IF(Table_Option_Log[[#This Row],[Code]]="SS",-Table_Option_Log[[#This Row],[Quantity]], 0))</f>
        <v>0</v>
      </c>
      <c r="M4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-10500</v>
      </c>
      <c r="O44" s="49" t="str">
        <f>Table_Option_Log[[#This Row],[Stock]] &amp; " " &amp; Table_Option_Log[[#This Row],[Strike]] &amp; " " &amp; Table_Option_Log[[#This Row],[Code]] &amp; " " &amp; Table_Option_Log[[#This Row],[Expiration]]</f>
        <v>TSLA 192.5 BC 23-02-10</v>
      </c>
    </row>
    <row r="45" spans="1:15" x14ac:dyDescent="0.3">
      <c r="A45" s="2" t="s">
        <v>98</v>
      </c>
      <c r="B45" s="1" t="s">
        <v>33</v>
      </c>
      <c r="C45" s="6">
        <v>195</v>
      </c>
      <c r="D45" s="6" t="s">
        <v>51</v>
      </c>
      <c r="E45" s="43" t="str">
        <f>VLOOKUP(Table_Option_Log[[#This Row],[Code]], Table_Coding_1[#All], 2, FALSE)</f>
        <v>Sell Open Call</v>
      </c>
      <c r="F45" s="21" t="s">
        <v>32</v>
      </c>
      <c r="G45" s="1">
        <v>10</v>
      </c>
      <c r="H45" s="3">
        <v>9.3000000000000007</v>
      </c>
      <c r="I45" s="5">
        <v>5.3353000000000002</v>
      </c>
      <c r="J45" s="5" t="s">
        <v>23</v>
      </c>
      <c r="K4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5" s="23">
        <f>IF(Table_Option_Log[[#This Row],[Code]]="BS",Table_Option_Log[[#This Row],[Quantity]], IF(Table_Option_Log[[#This Row],[Code]]="SS",-Table_Option_Log[[#This Row],[Quantity]], 0))</f>
        <v>0</v>
      </c>
      <c r="M4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9300</v>
      </c>
      <c r="O45" s="49" t="str">
        <f>Table_Option_Log[[#This Row],[Stock]] &amp; " " &amp; Table_Option_Log[[#This Row],[Strike]] &amp; " " &amp; Table_Option_Log[[#This Row],[Code]] &amp; " " &amp; Table_Option_Log[[#This Row],[Expiration]]</f>
        <v>TSLA 195 SC 23-02-10</v>
      </c>
    </row>
    <row r="46" spans="1:15" x14ac:dyDescent="0.3">
      <c r="A46" s="2" t="s">
        <v>98</v>
      </c>
      <c r="B46" s="1" t="s">
        <v>25</v>
      </c>
      <c r="C46" s="6">
        <v>138</v>
      </c>
      <c r="D46" s="6" t="s">
        <v>50</v>
      </c>
      <c r="E46" s="43" t="str">
        <f>VLOOKUP(Table_Option_Log[[#This Row],[Code]], Table_Coding_1[#All], 2, FALSE)</f>
        <v>Buy Close Put</v>
      </c>
      <c r="F46" s="21" t="s">
        <v>68</v>
      </c>
      <c r="G46" s="1">
        <v>1</v>
      </c>
      <c r="H46" s="3">
        <v>1.17</v>
      </c>
      <c r="I46" s="5">
        <v>0.51</v>
      </c>
      <c r="J46" s="5" t="s">
        <v>23</v>
      </c>
      <c r="K4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6" s="23">
        <f>IF(Table_Option_Log[[#This Row],[Code]]="BS",Table_Option_Log[[#This Row],[Quantity]], IF(Table_Option_Log[[#This Row],[Code]]="SS",-Table_Option_Log[[#This Row],[Quantity]], 0))</f>
        <v>0</v>
      </c>
      <c r="M4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6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-117</v>
      </c>
      <c r="O46" s="49" t="str">
        <f>Table_Option_Log[[#This Row],[Stock]] &amp; " " &amp; Table_Option_Log[[#This Row],[Strike]] &amp; " " &amp; Table_Option_Log[[#This Row],[Code]] &amp; " " &amp; Table_Option_Log[[#This Row],[Expiration]]</f>
        <v>AAPL 138 BP 23-02-24</v>
      </c>
    </row>
    <row r="47" spans="1:15" x14ac:dyDescent="0.3">
      <c r="A47" s="2" t="s">
        <v>98</v>
      </c>
      <c r="B47" s="1" t="s">
        <v>99</v>
      </c>
      <c r="C47" s="6">
        <v>190</v>
      </c>
      <c r="D47" s="6" t="s">
        <v>52</v>
      </c>
      <c r="E47" s="43" t="str">
        <f>VLOOKUP(Table_Option_Log[[#This Row],[Code]], Table_Coding_1[#All], 2, FALSE)</f>
        <v>Buy Close Call</v>
      </c>
      <c r="F47" s="21" t="s">
        <v>32</v>
      </c>
      <c r="G47" s="1">
        <v>35</v>
      </c>
      <c r="H47" s="3">
        <f>(7.48*15+20*8.06)/35</f>
        <v>7.8114285714285723</v>
      </c>
      <c r="I47" s="5">
        <f>7.647+10.196</f>
        <v>17.843</v>
      </c>
      <c r="J47" s="5" t="s">
        <v>23</v>
      </c>
      <c r="K4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7" s="23">
        <f>IF(Table_Option_Log[[#This Row],[Code]]="BS",Table_Option_Log[[#This Row],[Quantity]], IF(Table_Option_Log[[#This Row],[Code]]="SS",-Table_Option_Log[[#This Row],[Quantity]], 0))</f>
        <v>0</v>
      </c>
      <c r="M4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7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-27340.000000000004</v>
      </c>
      <c r="O47" s="49" t="str">
        <f>Table_Option_Log[[#This Row],[Stock]] &amp; " " &amp; Table_Option_Log[[#This Row],[Strike]] &amp; " " &amp; Table_Option_Log[[#This Row],[Code]] &amp; " " &amp; Table_Option_Log[[#This Row],[Expiration]]</f>
        <v>META 190 BC 23-02-10</v>
      </c>
    </row>
    <row r="48" spans="1:15" x14ac:dyDescent="0.3">
      <c r="A48" s="2" t="s">
        <v>98</v>
      </c>
      <c r="B48" s="1" t="s">
        <v>99</v>
      </c>
      <c r="C48" s="6">
        <v>192.5</v>
      </c>
      <c r="D48" s="6" t="s">
        <v>51</v>
      </c>
      <c r="E48" s="43" t="str">
        <f>VLOOKUP(Table_Option_Log[[#This Row],[Code]], Table_Coding_1[#All], 2, FALSE)</f>
        <v>Sell Open Call</v>
      </c>
      <c r="F48" s="21" t="s">
        <v>32</v>
      </c>
      <c r="G48" s="1">
        <v>35</v>
      </c>
      <c r="H48" s="3">
        <f>(15*6.26+20*6.76)/35</f>
        <v>6.5457142857142845</v>
      </c>
      <c r="I48" s="5">
        <f>7.8986+10.5544</f>
        <v>18.452999999999999</v>
      </c>
      <c r="J48" s="5" t="s">
        <v>23</v>
      </c>
      <c r="K4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8" s="23">
        <f>IF(Table_Option_Log[[#This Row],[Code]]="BS",Table_Option_Log[[#This Row],[Quantity]], IF(Table_Option_Log[[#This Row],[Code]]="SS",-Table_Option_Log[[#This Row],[Quantity]], 0))</f>
        <v>0</v>
      </c>
      <c r="M4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48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22909.999999999996</v>
      </c>
      <c r="O48" s="49" t="str">
        <f>Table_Option_Log[[#This Row],[Stock]] &amp; " " &amp; Table_Option_Log[[#This Row],[Strike]] &amp; " " &amp; Table_Option_Log[[#This Row],[Code]] &amp; " " &amp; Table_Option_Log[[#This Row],[Expiration]]</f>
        <v>META 192.5 SC 23-02-10</v>
      </c>
    </row>
    <row r="49" spans="1:15" x14ac:dyDescent="0.3">
      <c r="A49" s="2" t="s">
        <v>98</v>
      </c>
      <c r="B49" s="1" t="s">
        <v>4</v>
      </c>
      <c r="C49" s="6" t="s">
        <v>23</v>
      </c>
      <c r="D49" s="6" t="s">
        <v>41</v>
      </c>
      <c r="E49" s="43" t="str">
        <f>VLOOKUP(Table_Option_Log[[#This Row],[Code]], Table_Coding_1[#All], 2, FALSE)</f>
        <v>Sell Stock</v>
      </c>
      <c r="F49" s="21" t="s">
        <v>23</v>
      </c>
      <c r="G49" s="1">
        <v>200</v>
      </c>
      <c r="H49" s="3">
        <v>88.33</v>
      </c>
      <c r="I49" s="5">
        <v>0.439</v>
      </c>
      <c r="J49" s="5" t="s">
        <v>23</v>
      </c>
      <c r="K4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49" s="23">
        <f>IF(Table_Option_Log[[#This Row],[Code]]="BS",Table_Option_Log[[#This Row],[Quantity]], IF(Table_Option_Log[[#This Row],[Code]]="SS",-Table_Option_Log[[#This Row],[Quantity]], 0))</f>
        <v>-200</v>
      </c>
      <c r="M4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17666</v>
      </c>
      <c r="N49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49" s="49" t="str">
        <f>Table_Option_Log[[#This Row],[Stock]] &amp; " " &amp; Table_Option_Log[[#This Row],[Strike]] &amp; " " &amp; Table_Option_Log[[#This Row],[Code]] &amp; " " &amp; Table_Option_Log[[#This Row],[Expiration]]</f>
        <v>AMD - SS -</v>
      </c>
    </row>
    <row r="50" spans="1:15" x14ac:dyDescent="0.3">
      <c r="A50" s="2" t="s">
        <v>98</v>
      </c>
      <c r="B50" s="1" t="s">
        <v>4</v>
      </c>
      <c r="C50" s="6">
        <v>74</v>
      </c>
      <c r="D50" s="6" t="s">
        <v>100</v>
      </c>
      <c r="E50" s="43" t="str">
        <f>VLOOKUP(Table_Option_Log[[#This Row],[Code]], Table_Coding_1[#All], 2, FALSE)</f>
        <v>Buy Close Call</v>
      </c>
      <c r="F50" s="21" t="s">
        <v>37</v>
      </c>
      <c r="G50" s="1">
        <v>2</v>
      </c>
      <c r="H50" s="3">
        <v>14.36</v>
      </c>
      <c r="I50" s="5">
        <v>1.0196000000000001</v>
      </c>
      <c r="J50" s="5" t="s">
        <v>23</v>
      </c>
      <c r="K5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0" s="23">
        <f>IF(Table_Option_Log[[#This Row],[Code]]="BS",Table_Option_Log[[#This Row],[Quantity]], IF(Table_Option_Log[[#This Row],[Code]]="SS",-Table_Option_Log[[#This Row],[Quantity]], 0))</f>
        <v>0</v>
      </c>
      <c r="M5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0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-2872</v>
      </c>
      <c r="O50" s="49" t="str">
        <f>Table_Option_Log[[#This Row],[Stock]] &amp; " " &amp; Table_Option_Log[[#This Row],[Strike]] &amp; " " &amp; Table_Option_Log[[#This Row],[Code]] &amp; " " &amp; Table_Option_Log[[#This Row],[Expiration]]</f>
        <v>AMD 74 Bc 23-02-03</v>
      </c>
    </row>
    <row r="51" spans="1:15" x14ac:dyDescent="0.3">
      <c r="A51" s="2" t="s">
        <v>98</v>
      </c>
      <c r="B51" s="1" t="s">
        <v>4</v>
      </c>
      <c r="C51" s="6">
        <v>76</v>
      </c>
      <c r="D51" s="6" t="s">
        <v>51</v>
      </c>
      <c r="E51" s="43" t="str">
        <f>VLOOKUP(Table_Option_Log[[#This Row],[Code]], Table_Coding_1[#All], 2, FALSE)</f>
        <v>Sell Open Call</v>
      </c>
      <c r="F51" s="21" t="s">
        <v>37</v>
      </c>
      <c r="G51" s="1">
        <v>12</v>
      </c>
      <c r="H51" s="3">
        <f>(4*12.31+3*12.35+5*11.84)/12</f>
        <v>12.124166666666667</v>
      </c>
      <c r="I51" s="5">
        <f>2.1617+1.6215+2.6967</f>
        <v>6.4798999999999998</v>
      </c>
      <c r="J51" s="5" t="s">
        <v>23</v>
      </c>
      <c r="K5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1" s="23">
        <f>IF(Table_Option_Log[[#This Row],[Code]]="BS",Table_Option_Log[[#This Row],[Quantity]], IF(Table_Option_Log[[#This Row],[Code]]="SS",-Table_Option_Log[[#This Row],[Quantity]], 0))</f>
        <v>0</v>
      </c>
      <c r="M5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1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14549</v>
      </c>
      <c r="O51" s="49" t="str">
        <f>Table_Option_Log[[#This Row],[Stock]] &amp; " " &amp; Table_Option_Log[[#This Row],[Strike]] &amp; " " &amp; Table_Option_Log[[#This Row],[Code]] &amp; " " &amp; Table_Option_Log[[#This Row],[Expiration]]</f>
        <v>AMD 76 SC 23-02-03</v>
      </c>
    </row>
    <row r="52" spans="1:15" x14ac:dyDescent="0.3">
      <c r="A52" s="2" t="s">
        <v>98</v>
      </c>
      <c r="B52" s="1" t="s">
        <v>4</v>
      </c>
      <c r="C52" s="6">
        <v>77</v>
      </c>
      <c r="D52" s="6" t="s">
        <v>52</v>
      </c>
      <c r="E52" s="43" t="str">
        <f>VLOOKUP(Table_Option_Log[[#This Row],[Code]], Table_Coding_1[#All], 2, FALSE)</f>
        <v>Buy Close Call</v>
      </c>
      <c r="F52" s="21" t="s">
        <v>37</v>
      </c>
      <c r="G52" s="1">
        <v>12</v>
      </c>
      <c r="H52" s="3">
        <f>(4*11.32+3*11.36+5*10.86)/12</f>
        <v>11.138333333333334</v>
      </c>
      <c r="I52" s="5">
        <f>2.0392+1.5294+2.549</f>
        <v>6.1175999999999995</v>
      </c>
      <c r="J52" s="5" t="s">
        <v>23</v>
      </c>
      <c r="K5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2" s="23">
        <f>IF(Table_Option_Log[[#This Row],[Code]]="BS",Table_Option_Log[[#This Row],[Quantity]], IF(Table_Option_Log[[#This Row],[Code]]="SS",-Table_Option_Log[[#This Row],[Quantity]], 0))</f>
        <v>0</v>
      </c>
      <c r="M5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-13366</v>
      </c>
      <c r="O52" s="49" t="str">
        <f>Table_Option_Log[[#This Row],[Stock]] &amp; " " &amp; Table_Option_Log[[#This Row],[Strike]] &amp; " " &amp; Table_Option_Log[[#This Row],[Code]] &amp; " " &amp; Table_Option_Log[[#This Row],[Expiration]]</f>
        <v>AMD 77 BC 23-02-03</v>
      </c>
    </row>
    <row r="53" spans="1:15" x14ac:dyDescent="0.3">
      <c r="A53" s="2" t="s">
        <v>98</v>
      </c>
      <c r="B53" s="1" t="s">
        <v>99</v>
      </c>
      <c r="C53" s="6">
        <v>195</v>
      </c>
      <c r="D53" s="6" t="s">
        <v>52</v>
      </c>
      <c r="E53" s="43" t="str">
        <f>VLOOKUP(Table_Option_Log[[#This Row],[Code]], Table_Coding_1[#All], 2, FALSE)</f>
        <v>Buy Close Call</v>
      </c>
      <c r="F53" s="21" t="s">
        <v>32</v>
      </c>
      <c r="G53" s="1">
        <v>20</v>
      </c>
      <c r="H53" s="3">
        <f>(10*7.39+1*7.65+9*7.98)/20</f>
        <v>7.6684999999999999</v>
      </c>
      <c r="I53" s="5">
        <f>5*1.019685+1*0.51+3*1.5294</f>
        <v>10.196625000000001</v>
      </c>
      <c r="J53" s="5" t="s">
        <v>23</v>
      </c>
      <c r="K5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3" s="23">
        <f>IF(Table_Option_Log[[#This Row],[Code]]="BS",Table_Option_Log[[#This Row],[Quantity]], IF(Table_Option_Log[[#This Row],[Code]]="SS",-Table_Option_Log[[#This Row],[Quantity]], 0))</f>
        <v>0</v>
      </c>
      <c r="M5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-15337</v>
      </c>
      <c r="O53" s="49" t="str">
        <f>Table_Option_Log[[#This Row],[Stock]] &amp; " " &amp; Table_Option_Log[[#This Row],[Strike]] &amp; " " &amp; Table_Option_Log[[#This Row],[Code]] &amp; " " &amp; Table_Option_Log[[#This Row],[Expiration]]</f>
        <v>META 195 BC 23-02-10</v>
      </c>
    </row>
    <row r="54" spans="1:15" x14ac:dyDescent="0.3">
      <c r="A54" s="2" t="s">
        <v>98</v>
      </c>
      <c r="B54" s="1" t="s">
        <v>99</v>
      </c>
      <c r="C54" s="6">
        <v>197.5</v>
      </c>
      <c r="D54" s="6" t="s">
        <v>51</v>
      </c>
      <c r="E54" s="43" t="str">
        <f>VLOOKUP(Table_Option_Log[[#This Row],[Code]], Table_Coding_1[#All], 2, FALSE)</f>
        <v>Sell Open Call</v>
      </c>
      <c r="F54" s="21" t="s">
        <v>32</v>
      </c>
      <c r="G54" s="1">
        <v>20</v>
      </c>
      <c r="H54" s="3">
        <f>(10*6.24+1*6.5+9*6.8)/20</f>
        <v>6.5049999999999999</v>
      </c>
      <c r="I54" s="5">
        <f>5*1.053+1*0.5273+3*1.5834</f>
        <v>10.5425</v>
      </c>
      <c r="J54" s="5" t="s">
        <v>23</v>
      </c>
      <c r="K5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4" s="23">
        <f>IF(Table_Option_Log[[#This Row],[Code]]="BS",Table_Option_Log[[#This Row],[Quantity]], IF(Table_Option_Log[[#This Row],[Code]]="SS",-Table_Option_Log[[#This Row],[Quantity]], 0))</f>
        <v>0</v>
      </c>
      <c r="M5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13010</v>
      </c>
      <c r="O54" s="49" t="str">
        <f>Table_Option_Log[[#This Row],[Stock]] &amp; " " &amp; Table_Option_Log[[#This Row],[Strike]] &amp; " " &amp; Table_Option_Log[[#This Row],[Code]] &amp; " " &amp; Table_Option_Log[[#This Row],[Expiration]]</f>
        <v>META 197.5 SC 23-02-10</v>
      </c>
    </row>
    <row r="55" spans="1:15" x14ac:dyDescent="0.3">
      <c r="A55" s="2" t="s">
        <v>37</v>
      </c>
      <c r="B55" s="1" t="s">
        <v>25</v>
      </c>
      <c r="C55" s="6">
        <v>143</v>
      </c>
      <c r="D55" s="6" t="s">
        <v>51</v>
      </c>
      <c r="E55" s="43" t="str">
        <f>VLOOKUP(Table_Option_Log[[#This Row],[Code]], Table_Coding_1[#All], 2, FALSE)</f>
        <v>Sell Open Call</v>
      </c>
      <c r="F55" s="21" t="s">
        <v>37</v>
      </c>
      <c r="G55" s="1">
        <v>8</v>
      </c>
      <c r="H55" s="7">
        <v>11.64</v>
      </c>
      <c r="I55" s="51">
        <v>4.3110999999999997</v>
      </c>
      <c r="J55" s="5" t="s">
        <v>23</v>
      </c>
      <c r="K5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5" s="23">
        <f>IF(Table_Option_Log[[#This Row],[Code]]="BS",Table_Option_Log[[#This Row],[Quantity]], IF(Table_Option_Log[[#This Row],[Code]]="SS",-Table_Option_Log[[#This Row],[Quantity]], 0))</f>
        <v>0</v>
      </c>
      <c r="M5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9312</v>
      </c>
      <c r="O55" s="49" t="str">
        <f>Table_Option_Log[[#This Row],[Stock]] &amp; " " &amp; Table_Option_Log[[#This Row],[Strike]] &amp; " " &amp; Table_Option_Log[[#This Row],[Code]] &amp; " " &amp; Table_Option_Log[[#This Row],[Expiration]]</f>
        <v>AAPL 143 SC 23-02-03</v>
      </c>
    </row>
    <row r="56" spans="1:15" x14ac:dyDescent="0.3">
      <c r="A56" s="2" t="s">
        <v>37</v>
      </c>
      <c r="B56" s="1" t="s">
        <v>25</v>
      </c>
      <c r="C56" s="6">
        <v>145</v>
      </c>
      <c r="D56" s="6" t="s">
        <v>52</v>
      </c>
      <c r="E56" s="43" t="str">
        <f>VLOOKUP(Table_Option_Log[[#This Row],[Code]], Table_Coding_1[#All], 2, FALSE)</f>
        <v>Buy Close Call</v>
      </c>
      <c r="F56" s="21" t="s">
        <v>37</v>
      </c>
      <c r="G56" s="1">
        <v>8</v>
      </c>
      <c r="H56" s="7">
        <v>9.66</v>
      </c>
      <c r="I56" s="51">
        <v>4.0784000000000002</v>
      </c>
      <c r="J56" s="5" t="s">
        <v>23</v>
      </c>
      <c r="K5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6" s="23">
        <f>IF(Table_Option_Log[[#This Row],[Code]]="BS",Table_Option_Log[[#This Row],[Quantity]], IF(Table_Option_Log[[#This Row],[Code]]="SS",-Table_Option_Log[[#This Row],[Quantity]], 0))</f>
        <v>0</v>
      </c>
      <c r="M5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6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-7728</v>
      </c>
      <c r="O56" s="49" t="str">
        <f>Table_Option_Log[[#This Row],[Stock]] &amp; " " &amp; Table_Option_Log[[#This Row],[Strike]] &amp; " " &amp; Table_Option_Log[[#This Row],[Code]] &amp; " " &amp; Table_Option_Log[[#This Row],[Expiration]]</f>
        <v>AAPL 145 BC 23-02-03</v>
      </c>
    </row>
    <row r="57" spans="1:15" x14ac:dyDescent="0.3">
      <c r="A57" s="2" t="s">
        <v>37</v>
      </c>
      <c r="B57" s="1" t="s">
        <v>25</v>
      </c>
      <c r="C57" s="6">
        <v>144</v>
      </c>
      <c r="D57" s="6" t="s">
        <v>51</v>
      </c>
      <c r="E57" s="43" t="str">
        <f>VLOOKUP(Table_Option_Log[[#This Row],[Code]], Table_Coding_1[#All], 2, FALSE)</f>
        <v>Sell Open Call</v>
      </c>
      <c r="F57" s="21" t="s">
        <v>37</v>
      </c>
      <c r="G57" s="1">
        <v>10</v>
      </c>
      <c r="H57" s="7">
        <v>11.29</v>
      </c>
      <c r="I57" s="51">
        <f>5*1.0761</f>
        <v>5.3805000000000005</v>
      </c>
      <c r="J57" s="5" t="s">
        <v>23</v>
      </c>
      <c r="K5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7" s="23">
        <f>IF(Table_Option_Log[[#This Row],[Code]]="BS",Table_Option_Log[[#This Row],[Quantity]], IF(Table_Option_Log[[#This Row],[Code]]="SS",-Table_Option_Log[[#This Row],[Quantity]], 0))</f>
        <v>0</v>
      </c>
      <c r="M5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7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11290</v>
      </c>
      <c r="O57" s="49" t="str">
        <f>Table_Option_Log[[#This Row],[Stock]] &amp; " " &amp; Table_Option_Log[[#This Row],[Strike]] &amp; " " &amp; Table_Option_Log[[#This Row],[Code]] &amp; " " &amp; Table_Option_Log[[#This Row],[Expiration]]</f>
        <v>AAPL 144 SC 23-02-03</v>
      </c>
    </row>
    <row r="58" spans="1:15" x14ac:dyDescent="0.3">
      <c r="A58" s="2" t="s">
        <v>37</v>
      </c>
      <c r="B58" s="1" t="s">
        <v>25</v>
      </c>
      <c r="C58" s="6">
        <v>146</v>
      </c>
      <c r="D58" s="6" t="s">
        <v>52</v>
      </c>
      <c r="E58" s="43" t="str">
        <f>VLOOKUP(Table_Option_Log[[#This Row],[Code]], Table_Coding_1[#All], 2, FALSE)</f>
        <v>Buy Close Call</v>
      </c>
      <c r="F58" s="21" t="s">
        <v>37</v>
      </c>
      <c r="G58" s="1">
        <v>10</v>
      </c>
      <c r="H58" s="7">
        <v>9.31</v>
      </c>
      <c r="I58" s="51">
        <f>5*1.0196</f>
        <v>5.0980000000000008</v>
      </c>
      <c r="J58" s="5" t="s">
        <v>23</v>
      </c>
      <c r="K5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8" s="23">
        <f>IF(Table_Option_Log[[#This Row],[Code]]="BS",Table_Option_Log[[#This Row],[Quantity]], IF(Table_Option_Log[[#This Row],[Code]]="SS",-Table_Option_Log[[#This Row],[Quantity]], 0))</f>
        <v>0</v>
      </c>
      <c r="M5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8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-9310</v>
      </c>
      <c r="O58" s="49" t="str">
        <f>Table_Option_Log[[#This Row],[Stock]] &amp; " " &amp; Table_Option_Log[[#This Row],[Strike]] &amp; " " &amp; Table_Option_Log[[#This Row],[Code]] &amp; " " &amp; Table_Option_Log[[#This Row],[Expiration]]</f>
        <v>AAPL 146 BC 23-02-03</v>
      </c>
    </row>
    <row r="59" spans="1:15" x14ac:dyDescent="0.3">
      <c r="A59" s="2" t="s">
        <v>37</v>
      </c>
      <c r="B59" s="1" t="s">
        <v>33</v>
      </c>
      <c r="C59" s="6">
        <v>187.5</v>
      </c>
      <c r="D59" s="6" t="s">
        <v>51</v>
      </c>
      <c r="E59" s="43" t="str">
        <f>VLOOKUP(Table_Option_Log[[#This Row],[Code]], Table_Coding_1[#All], 2, FALSE)</f>
        <v>Sell Open Call</v>
      </c>
      <c r="F59" s="21" t="s">
        <v>37</v>
      </c>
      <c r="G59" s="1">
        <v>10</v>
      </c>
      <c r="H59" s="50">
        <v>2.52</v>
      </c>
      <c r="I59" s="5">
        <f>2.59*2</f>
        <v>5.18</v>
      </c>
      <c r="J59" s="5" t="s">
        <v>23</v>
      </c>
      <c r="K5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59" s="23">
        <f>IF(Table_Option_Log[[#This Row],[Code]]="BS",Table_Option_Log[[#This Row],[Quantity]], IF(Table_Option_Log[[#This Row],[Code]]="SS",-Table_Option_Log[[#This Row],[Quantity]], 0))</f>
        <v>0</v>
      </c>
      <c r="M5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59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2520</v>
      </c>
      <c r="O59" s="49" t="str">
        <f>Table_Option_Log[[#This Row],[Stock]] &amp; " " &amp; Table_Option_Log[[#This Row],[Strike]] &amp; " " &amp; Table_Option_Log[[#This Row],[Code]] &amp; " " &amp; Table_Option_Log[[#This Row],[Expiration]]</f>
        <v>TSLA 187.5 SC 23-02-03</v>
      </c>
    </row>
    <row r="60" spans="1:15" x14ac:dyDescent="0.3">
      <c r="A60" s="2" t="s">
        <v>37</v>
      </c>
      <c r="B60" s="1" t="s">
        <v>33</v>
      </c>
      <c r="C60" s="6">
        <v>190</v>
      </c>
      <c r="D60" s="6" t="s">
        <v>52</v>
      </c>
      <c r="E60" s="43" t="str">
        <f>VLOOKUP(Table_Option_Log[[#This Row],[Code]], Table_Coding_1[#All], 2, FALSE)</f>
        <v>Buy Close Call</v>
      </c>
      <c r="F60" s="21" t="s">
        <v>37</v>
      </c>
      <c r="G60" s="1">
        <v>10</v>
      </c>
      <c r="H60" s="50">
        <v>0.19</v>
      </c>
      <c r="I60" s="5">
        <f>2.549*2</f>
        <v>5.0979999999999999</v>
      </c>
      <c r="J60" s="5" t="s">
        <v>23</v>
      </c>
      <c r="K6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0" s="23">
        <f>IF(Table_Option_Log[[#This Row],[Code]]="BS",Table_Option_Log[[#This Row],[Quantity]], IF(Table_Option_Log[[#This Row],[Code]]="SS",-Table_Option_Log[[#This Row],[Quantity]], 0))</f>
        <v>0</v>
      </c>
      <c r="M6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0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-190</v>
      </c>
      <c r="O60" s="49" t="str">
        <f>Table_Option_Log[[#This Row],[Stock]] &amp; " " &amp; Table_Option_Log[[#This Row],[Strike]] &amp; " " &amp; Table_Option_Log[[#This Row],[Code]] &amp; " " &amp; Table_Option_Log[[#This Row],[Expiration]]</f>
        <v>TSLA 190 BC 23-02-03</v>
      </c>
    </row>
    <row r="61" spans="1:15" x14ac:dyDescent="0.3">
      <c r="A61" s="2" t="s">
        <v>37</v>
      </c>
      <c r="B61" s="1" t="s">
        <v>101</v>
      </c>
      <c r="C61" s="6">
        <v>106</v>
      </c>
      <c r="D61" s="6" t="s">
        <v>52</v>
      </c>
      <c r="E61" s="43" t="str">
        <f>VLOOKUP(Table_Option_Log[[#This Row],[Code]], Table_Coding_1[#All], 2, FALSE)</f>
        <v>Buy Close Call</v>
      </c>
      <c r="F61" s="21" t="s">
        <v>102</v>
      </c>
      <c r="G61" s="1">
        <v>20</v>
      </c>
      <c r="H61" s="3">
        <v>5.07</v>
      </c>
      <c r="I61" s="5">
        <v>10.196</v>
      </c>
      <c r="J61" s="5" t="s">
        <v>23</v>
      </c>
      <c r="K6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1" s="23">
        <f>IF(Table_Option_Log[[#This Row],[Code]]="BS",Table_Option_Log[[#This Row],[Quantity]], IF(Table_Option_Log[[#This Row],[Code]]="SS",-Table_Option_Log[[#This Row],[Quantity]], 0))</f>
        <v>0</v>
      </c>
      <c r="M6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1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-10140</v>
      </c>
      <c r="O61" s="49" t="str">
        <f>Table_Option_Log[[#This Row],[Stock]] &amp; " " &amp; Table_Option_Log[[#This Row],[Strike]] &amp; " " &amp; Table_Option_Log[[#This Row],[Code]] &amp; " " &amp; Table_Option_Log[[#This Row],[Expiration]]</f>
        <v>GOOG 106 BC 23-03-24</v>
      </c>
    </row>
    <row r="62" spans="1:15" x14ac:dyDescent="0.3">
      <c r="A62" s="2" t="s">
        <v>37</v>
      </c>
      <c r="B62" s="1" t="s">
        <v>101</v>
      </c>
      <c r="C62" s="6">
        <v>108</v>
      </c>
      <c r="D62" s="6" t="s">
        <v>51</v>
      </c>
      <c r="E62" s="43" t="str">
        <f>VLOOKUP(Table_Option_Log[[#This Row],[Code]], Table_Coding_1[#All], 2, FALSE)</f>
        <v>Sell Open Call</v>
      </c>
      <c r="F62" s="21" t="s">
        <v>102</v>
      </c>
      <c r="G62" s="1">
        <v>20</v>
      </c>
      <c r="H62" s="3">
        <v>4.07</v>
      </c>
      <c r="I62" s="5">
        <v>10.4312</v>
      </c>
      <c r="J62" s="5" t="s">
        <v>23</v>
      </c>
      <c r="K6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2" s="23">
        <f>IF(Table_Option_Log[[#This Row],[Code]]="BS",Table_Option_Log[[#This Row],[Quantity]], IF(Table_Option_Log[[#This Row],[Code]]="SS",-Table_Option_Log[[#This Row],[Quantity]], 0))</f>
        <v>0</v>
      </c>
      <c r="M6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8140.0000000000009</v>
      </c>
      <c r="O62" s="49" t="str">
        <f>Table_Option_Log[[#This Row],[Stock]] &amp; " " &amp; Table_Option_Log[[#This Row],[Strike]] &amp; " " &amp; Table_Option_Log[[#This Row],[Code]] &amp; " " &amp; Table_Option_Log[[#This Row],[Expiration]]</f>
        <v>GOOG 108 SC 23-03-24</v>
      </c>
    </row>
    <row r="63" spans="1:15" x14ac:dyDescent="0.3">
      <c r="A63" s="2" t="s">
        <v>103</v>
      </c>
      <c r="B63" s="1" t="s">
        <v>4</v>
      </c>
      <c r="C63" s="6">
        <v>80</v>
      </c>
      <c r="D63" s="6" t="s">
        <v>49</v>
      </c>
      <c r="E63" s="43" t="str">
        <f>VLOOKUP(Table_Option_Log[[#This Row],[Code]], Table_Coding_1[#All], 2, FALSE)</f>
        <v>Sell Open Put</v>
      </c>
      <c r="F63" s="21" t="s">
        <v>104</v>
      </c>
      <c r="G63" s="1">
        <v>2</v>
      </c>
      <c r="H63" s="3">
        <v>2.33</v>
      </c>
      <c r="I63" s="5">
        <v>1.0350999999999999</v>
      </c>
      <c r="J63" s="5"/>
      <c r="K6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3" s="23">
        <f>IF(Table_Option_Log[[#This Row],[Code]]="BS",Table_Option_Log[[#This Row],[Quantity]], IF(Table_Option_Log[[#This Row],[Code]]="SS",-Table_Option_Log[[#This Row],[Quantity]], 0))</f>
        <v>0</v>
      </c>
      <c r="M6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466</v>
      </c>
      <c r="O63" s="49" t="str">
        <f>Table_Option_Log[[#This Row],[Stock]] &amp; " " &amp; Table_Option_Log[[#This Row],[Strike]] &amp; " " &amp; Table_Option_Log[[#This Row],[Code]] &amp; " " &amp; Table_Option_Log[[#This Row],[Expiration]]</f>
        <v>AMD 80 SP 23-03-10</v>
      </c>
    </row>
    <row r="64" spans="1:15" x14ac:dyDescent="0.3">
      <c r="A64" s="2" t="s">
        <v>103</v>
      </c>
      <c r="B64" s="1" t="s">
        <v>4</v>
      </c>
      <c r="C64" s="6">
        <v>81</v>
      </c>
      <c r="D64" s="6" t="s">
        <v>49</v>
      </c>
      <c r="E64" s="43" t="str">
        <f>VLOOKUP(Table_Option_Log[[#This Row],[Code]], Table_Coding_1[#All], 2, FALSE)</f>
        <v>Sell Open Put</v>
      </c>
      <c r="F64" s="21" t="s">
        <v>104</v>
      </c>
      <c r="G64" s="1">
        <v>2</v>
      </c>
      <c r="H64" s="3">
        <v>2.29</v>
      </c>
      <c r="I64" s="5">
        <f>2*0.5174</f>
        <v>1.0347999999999999</v>
      </c>
      <c r="J64" s="5"/>
      <c r="K6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4" s="23">
        <f>IF(Table_Option_Log[[#This Row],[Code]]="BS",Table_Option_Log[[#This Row],[Quantity]], IF(Table_Option_Log[[#This Row],[Code]]="SS",-Table_Option_Log[[#This Row],[Quantity]], 0))</f>
        <v>0</v>
      </c>
      <c r="M6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458</v>
      </c>
      <c r="O64" s="49" t="str">
        <f>Table_Option_Log[[#This Row],[Stock]] &amp; " " &amp; Table_Option_Log[[#This Row],[Strike]] &amp; " " &amp; Table_Option_Log[[#This Row],[Code]] &amp; " " &amp; Table_Option_Log[[#This Row],[Expiration]]</f>
        <v>AMD 81 SP 23-03-10</v>
      </c>
    </row>
    <row r="65" spans="1:15" x14ac:dyDescent="0.3">
      <c r="A65" s="2" t="s">
        <v>97</v>
      </c>
      <c r="B65" s="1" t="s">
        <v>25</v>
      </c>
      <c r="C65" s="6">
        <v>142</v>
      </c>
      <c r="D65" s="6" t="s">
        <v>51</v>
      </c>
      <c r="E65" s="43" t="str">
        <f>VLOOKUP(Table_Option_Log[[#This Row],[Code]], Table_Coding_1[#All], 2, FALSE)</f>
        <v>Sell Open Call</v>
      </c>
      <c r="F65" s="21" t="s">
        <v>32</v>
      </c>
      <c r="G65" s="1">
        <v>10</v>
      </c>
      <c r="H65" s="3">
        <v>13.17</v>
      </c>
      <c r="I65" s="5">
        <f>2*2.7119</f>
        <v>5.4238</v>
      </c>
      <c r="J65" s="5"/>
      <c r="K6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5" s="23">
        <f>IF(Table_Option_Log[[#This Row],[Code]]="BS",Table_Option_Log[[#This Row],[Quantity]], IF(Table_Option_Log[[#This Row],[Code]]="SS",-Table_Option_Log[[#This Row],[Quantity]], 0))</f>
        <v>0</v>
      </c>
      <c r="M6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13170</v>
      </c>
      <c r="O65" s="49" t="str">
        <f>Table_Option_Log[[#This Row],[Stock]] &amp; " " &amp; Table_Option_Log[[#This Row],[Strike]] &amp; " " &amp; Table_Option_Log[[#This Row],[Code]] &amp; " " &amp; Table_Option_Log[[#This Row],[Expiration]]</f>
        <v>AAPL 142 SC 23-02-10</v>
      </c>
    </row>
    <row r="66" spans="1:15" x14ac:dyDescent="0.3">
      <c r="A66" s="2" t="s">
        <v>97</v>
      </c>
      <c r="B66" s="1" t="s">
        <v>25</v>
      </c>
      <c r="C66" s="6">
        <v>144</v>
      </c>
      <c r="D66" s="6" t="s">
        <v>52</v>
      </c>
      <c r="E66" s="43" t="str">
        <f>VLOOKUP(Table_Option_Log[[#This Row],[Code]], Table_Coding_1[#All], 2, FALSE)</f>
        <v>Buy Close Call</v>
      </c>
      <c r="F66" s="21" t="s">
        <v>32</v>
      </c>
      <c r="G66" s="1">
        <v>10</v>
      </c>
      <c r="H66" s="3">
        <v>11.19</v>
      </c>
      <c r="I66" s="5">
        <f>2*2.549</f>
        <v>5.0979999999999999</v>
      </c>
      <c r="J66" s="5"/>
      <c r="K6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6" s="23">
        <f>IF(Table_Option_Log[[#This Row],[Code]]="BS",Table_Option_Log[[#This Row],[Quantity]], IF(Table_Option_Log[[#This Row],[Code]]="SS",-Table_Option_Log[[#This Row],[Quantity]], 0))</f>
        <v>0</v>
      </c>
      <c r="M6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6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-11190</v>
      </c>
      <c r="O66" s="49" t="str">
        <f>Table_Option_Log[[#This Row],[Stock]] &amp; " " &amp; Table_Option_Log[[#This Row],[Strike]] &amp; " " &amp; Table_Option_Log[[#This Row],[Code]] &amp; " " &amp; Table_Option_Log[[#This Row],[Expiration]]</f>
        <v>AAPL 144 BC 23-02-10</v>
      </c>
    </row>
    <row r="67" spans="1:15" x14ac:dyDescent="0.3">
      <c r="A67" s="2" t="s">
        <v>106</v>
      </c>
      <c r="B67" s="1" t="s">
        <v>4</v>
      </c>
      <c r="C67" s="6">
        <v>83</v>
      </c>
      <c r="D67" s="6" t="s">
        <v>49</v>
      </c>
      <c r="E67" s="43" t="str">
        <f>VLOOKUP(Table_Option_Log[[#This Row],[Code]], Table_Coding_1[#All], 2, FALSE)</f>
        <v>Sell Open Put</v>
      </c>
      <c r="F67" s="2" t="s">
        <v>70</v>
      </c>
      <c r="G67" s="1">
        <v>1</v>
      </c>
      <c r="H67" s="3">
        <v>1.43</v>
      </c>
      <c r="I67" s="5">
        <v>0.51570000000000005</v>
      </c>
      <c r="J67" s="5"/>
      <c r="K6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7" s="23">
        <f>IF(Table_Option_Log[[#This Row],[Code]]="BS",Table_Option_Log[[#This Row],[Quantity]], IF(Table_Option_Log[[#This Row],[Code]]="SS",-Table_Option_Log[[#This Row],[Quantity]], 0))</f>
        <v>0</v>
      </c>
      <c r="M6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7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143</v>
      </c>
      <c r="O67" s="49" t="str">
        <f>Table_Option_Log[[#This Row],[Stock]] &amp; " " &amp; Table_Option_Log[[#This Row],[Strike]] &amp; " " &amp; Table_Option_Log[[#This Row],[Code]] &amp; " " &amp; Table_Option_Log[[#This Row],[Expiration]]</f>
        <v>AMD 83 SP 23-02-17</v>
      </c>
    </row>
    <row r="68" spans="1:15" x14ac:dyDescent="0.3">
      <c r="A68" s="2" t="s">
        <v>106</v>
      </c>
      <c r="B68" s="1" t="s">
        <v>99</v>
      </c>
      <c r="C68" s="6">
        <v>195</v>
      </c>
      <c r="D68" s="6" t="s">
        <v>51</v>
      </c>
      <c r="E68" s="43" t="str">
        <f>VLOOKUP(Table_Option_Log[[#This Row],[Code]], Table_Coding_1[#All], 2, FALSE)</f>
        <v>Sell Open Call</v>
      </c>
      <c r="F68" s="21" t="s">
        <v>32</v>
      </c>
      <c r="G68" s="1">
        <v>20</v>
      </c>
      <c r="H68" s="3">
        <v>0.51</v>
      </c>
      <c r="I68" s="5">
        <f>10*1.0268</f>
        <v>10.267999999999999</v>
      </c>
      <c r="J68" s="5"/>
      <c r="K6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8" s="23">
        <f>IF(Table_Option_Log[[#This Row],[Code]]="BS",Table_Option_Log[[#This Row],[Quantity]], IF(Table_Option_Log[[#This Row],[Code]]="SS",-Table_Option_Log[[#This Row],[Quantity]], 0))</f>
        <v>0</v>
      </c>
      <c r="M6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8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1020</v>
      </c>
      <c r="O68" s="49" t="str">
        <f>Table_Option_Log[[#This Row],[Stock]] &amp; " " &amp; Table_Option_Log[[#This Row],[Strike]] &amp; " " &amp; Table_Option_Log[[#This Row],[Code]] &amp; " " &amp; Table_Option_Log[[#This Row],[Expiration]]</f>
        <v>META 195 SC 23-02-10</v>
      </c>
    </row>
    <row r="69" spans="1:15" x14ac:dyDescent="0.3">
      <c r="A69" s="2" t="s">
        <v>106</v>
      </c>
      <c r="B69" s="1" t="s">
        <v>99</v>
      </c>
      <c r="C69" s="6">
        <v>197.5</v>
      </c>
      <c r="D69" s="6" t="s">
        <v>52</v>
      </c>
      <c r="E69" s="43" t="str">
        <f>VLOOKUP(Table_Option_Log[[#This Row],[Code]], Table_Coding_1[#All], 2, FALSE)</f>
        <v>Buy Close Call</v>
      </c>
      <c r="F69" s="21" t="s">
        <v>32</v>
      </c>
      <c r="G69" s="1">
        <v>20</v>
      </c>
      <c r="H69" s="3">
        <v>0.32</v>
      </c>
      <c r="I69" s="5">
        <f>10*1.0196</f>
        <v>10.196000000000002</v>
      </c>
      <c r="J69" s="5"/>
      <c r="K6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69" s="23">
        <f>IF(Table_Option_Log[[#This Row],[Code]]="BS",Table_Option_Log[[#This Row],[Quantity]], IF(Table_Option_Log[[#This Row],[Code]]="SS",-Table_Option_Log[[#This Row],[Quantity]], 0))</f>
        <v>0</v>
      </c>
      <c r="M6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69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-640</v>
      </c>
      <c r="O69" s="49" t="str">
        <f>Table_Option_Log[[#This Row],[Stock]] &amp; " " &amp; Table_Option_Log[[#This Row],[Strike]] &amp; " " &amp; Table_Option_Log[[#This Row],[Code]] &amp; " " &amp; Table_Option_Log[[#This Row],[Expiration]]</f>
        <v>META 197.5 BC 23-02-10</v>
      </c>
    </row>
    <row r="70" spans="1:15" x14ac:dyDescent="0.3">
      <c r="A70" s="2" t="s">
        <v>105</v>
      </c>
      <c r="B70" s="1" t="s">
        <v>99</v>
      </c>
      <c r="C70" s="6">
        <v>190</v>
      </c>
      <c r="D70" s="6" t="s">
        <v>51</v>
      </c>
      <c r="E70" s="43" t="str">
        <f>VLOOKUP(Table_Option_Log[[#This Row],[Code]], Table_Coding_1[#All], 2, FALSE)</f>
        <v>Sell Open Call</v>
      </c>
      <c r="F70" s="21" t="s">
        <v>32</v>
      </c>
      <c r="G70" s="1">
        <v>35</v>
      </c>
      <c r="H70" s="3">
        <v>0.37</v>
      </c>
      <c r="I70" s="5">
        <v>17.957999999999998</v>
      </c>
      <c r="J70" s="5"/>
      <c r="K7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0" s="23">
        <f>IF(Table_Option_Log[[#This Row],[Code]]="BS",Table_Option_Log[[#This Row],[Quantity]], IF(Table_Option_Log[[#This Row],[Code]]="SS",-Table_Option_Log[[#This Row],[Quantity]], 0))</f>
        <v>0</v>
      </c>
      <c r="M7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0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1295</v>
      </c>
      <c r="O70" s="49" t="str">
        <f>Table_Option_Log[[#This Row],[Stock]] &amp; " " &amp; Table_Option_Log[[#This Row],[Strike]] &amp; " " &amp; Table_Option_Log[[#This Row],[Code]] &amp; " " &amp; Table_Option_Log[[#This Row],[Expiration]]</f>
        <v>META 190 SC 23-02-10</v>
      </c>
    </row>
    <row r="71" spans="1:15" x14ac:dyDescent="0.3">
      <c r="A71" s="2" t="s">
        <v>105</v>
      </c>
      <c r="B71" s="1" t="s">
        <v>99</v>
      </c>
      <c r="C71" s="6">
        <v>192.5</v>
      </c>
      <c r="D71" s="6" t="s">
        <v>52</v>
      </c>
      <c r="E71" s="43" t="str">
        <f>VLOOKUP(Table_Option_Log[[#This Row],[Code]], Table_Coding_1[#All], 2, FALSE)</f>
        <v>Buy Close Call</v>
      </c>
      <c r="F71" s="21" t="s">
        <v>32</v>
      </c>
      <c r="G71" s="1">
        <v>35</v>
      </c>
      <c r="H71" s="3">
        <v>0.21</v>
      </c>
      <c r="I71" s="5">
        <v>17.843</v>
      </c>
      <c r="J71" s="5"/>
      <c r="K7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1" s="23">
        <f>IF(Table_Option_Log[[#This Row],[Code]]="BS",Table_Option_Log[[#This Row],[Quantity]], IF(Table_Option_Log[[#This Row],[Code]]="SS",-Table_Option_Log[[#This Row],[Quantity]], 0))</f>
        <v>0</v>
      </c>
      <c r="M7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1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-735</v>
      </c>
      <c r="O71" s="49" t="str">
        <f>Table_Option_Log[[#This Row],[Stock]] &amp; " " &amp; Table_Option_Log[[#This Row],[Strike]] &amp; " " &amp; Table_Option_Log[[#This Row],[Code]] &amp; " " &amp; Table_Option_Log[[#This Row],[Expiration]]</f>
        <v>META 192.5 BC 23-02-10</v>
      </c>
    </row>
    <row r="72" spans="1:15" x14ac:dyDescent="0.3">
      <c r="A72" s="2" t="s">
        <v>105</v>
      </c>
      <c r="B72" s="1" t="s">
        <v>101</v>
      </c>
      <c r="C72" s="6">
        <v>106</v>
      </c>
      <c r="D72" s="6" t="s">
        <v>51</v>
      </c>
      <c r="E72" s="43" t="str">
        <f>VLOOKUP(Table_Option_Log[[#This Row],[Code]], Table_Coding_1[#All], 2, FALSE)</f>
        <v>Sell Open Call</v>
      </c>
      <c r="F72" s="21" t="s">
        <v>102</v>
      </c>
      <c r="G72" s="1">
        <v>20</v>
      </c>
      <c r="H72" s="3">
        <v>1.65</v>
      </c>
      <c r="I72" s="5">
        <v>10.3203</v>
      </c>
      <c r="J72" s="5"/>
      <c r="K7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2" s="23">
        <f>IF(Table_Option_Log[[#This Row],[Code]]="BS",Table_Option_Log[[#This Row],[Quantity]], IF(Table_Option_Log[[#This Row],[Code]]="SS",-Table_Option_Log[[#This Row],[Quantity]], 0))</f>
        <v>0</v>
      </c>
      <c r="M7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3300</v>
      </c>
      <c r="O72" s="49" t="str">
        <f>Table_Option_Log[[#This Row],[Stock]] &amp; " " &amp; Table_Option_Log[[#This Row],[Strike]] &amp; " " &amp; Table_Option_Log[[#This Row],[Code]] &amp; " " &amp; Table_Option_Log[[#This Row],[Expiration]]</f>
        <v>GOOG 106 SC 23-03-24</v>
      </c>
    </row>
    <row r="73" spans="1:15" x14ac:dyDescent="0.3">
      <c r="A73" s="2" t="s">
        <v>105</v>
      </c>
      <c r="B73" s="1" t="s">
        <v>101</v>
      </c>
      <c r="C73" s="6">
        <v>108</v>
      </c>
      <c r="D73" s="6" t="s">
        <v>52</v>
      </c>
      <c r="E73" s="43" t="str">
        <f>VLOOKUP(Table_Option_Log[[#This Row],[Code]], Table_Coding_1[#All], 2, FALSE)</f>
        <v>Buy Close Call</v>
      </c>
      <c r="F73" s="21" t="s">
        <v>102</v>
      </c>
      <c r="G73" s="1">
        <v>20</v>
      </c>
      <c r="H73" s="3">
        <v>1.33</v>
      </c>
      <c r="I73" s="5">
        <v>10.196</v>
      </c>
      <c r="J73" s="5"/>
      <c r="K7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3" s="23">
        <f>IF(Table_Option_Log[[#This Row],[Code]]="BS",Table_Option_Log[[#This Row],[Quantity]], IF(Table_Option_Log[[#This Row],[Code]]="SS",-Table_Option_Log[[#This Row],[Quantity]], 0))</f>
        <v>0</v>
      </c>
      <c r="M7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-2660</v>
      </c>
      <c r="O73" s="49" t="str">
        <f>Table_Option_Log[[#This Row],[Stock]] &amp; " " &amp; Table_Option_Log[[#This Row],[Strike]] &amp; " " &amp; Table_Option_Log[[#This Row],[Code]] &amp; " " &amp; Table_Option_Log[[#This Row],[Expiration]]</f>
        <v>GOOG 108 BC 23-03-24</v>
      </c>
    </row>
    <row r="74" spans="1:15" x14ac:dyDescent="0.3">
      <c r="A74" s="2" t="s">
        <v>105</v>
      </c>
      <c r="B74" s="1" t="s">
        <v>99</v>
      </c>
      <c r="C74" s="6">
        <v>185</v>
      </c>
      <c r="D74" s="6" t="s">
        <v>50</v>
      </c>
      <c r="E74" s="43" t="str">
        <f>VLOOKUP(Table_Option_Log[[#This Row],[Code]], Table_Coding_1[#All], 2, FALSE)</f>
        <v>Buy Close Put</v>
      </c>
      <c r="F74" s="2" t="s">
        <v>70</v>
      </c>
      <c r="G74" s="1">
        <v>20</v>
      </c>
      <c r="H74" s="3">
        <v>6.75</v>
      </c>
      <c r="I74" s="5">
        <v>10.196</v>
      </c>
      <c r="J74" s="5"/>
      <c r="K7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4" s="23">
        <f>IF(Table_Option_Log[[#This Row],[Code]]="BS",Table_Option_Log[[#This Row],[Quantity]], IF(Table_Option_Log[[#This Row],[Code]]="SS",-Table_Option_Log[[#This Row],[Quantity]], 0))</f>
        <v>0</v>
      </c>
      <c r="M7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-13500</v>
      </c>
      <c r="O74" s="49" t="str">
        <f>Table_Option_Log[[#This Row],[Stock]] &amp; " " &amp; Table_Option_Log[[#This Row],[Strike]] &amp; " " &amp; Table_Option_Log[[#This Row],[Code]] &amp; " " &amp; Table_Option_Log[[#This Row],[Expiration]]</f>
        <v>META 185 BP 23-02-17</v>
      </c>
    </row>
    <row r="75" spans="1:15" x14ac:dyDescent="0.3">
      <c r="A75" s="2" t="s">
        <v>105</v>
      </c>
      <c r="B75" s="1" t="s">
        <v>99</v>
      </c>
      <c r="C75" s="6">
        <v>182.5</v>
      </c>
      <c r="D75" s="6" t="s">
        <v>49</v>
      </c>
      <c r="E75" s="43" t="str">
        <f>VLOOKUP(Table_Option_Log[[#This Row],[Code]], Table_Coding_1[#All], 2, FALSE)</f>
        <v>Sell Open Put</v>
      </c>
      <c r="F75" s="2" t="s">
        <v>70</v>
      </c>
      <c r="G75" s="1">
        <v>20</v>
      </c>
      <c r="H75" s="3">
        <v>5.34</v>
      </c>
      <c r="I75" s="5">
        <v>10.4893</v>
      </c>
      <c r="J75" s="5"/>
      <c r="K7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5" s="23">
        <f>IF(Table_Option_Log[[#This Row],[Code]]="BS",Table_Option_Log[[#This Row],[Quantity]], IF(Table_Option_Log[[#This Row],[Code]]="SS",-Table_Option_Log[[#This Row],[Quantity]], 0))</f>
        <v>0</v>
      </c>
      <c r="M7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10680</v>
      </c>
      <c r="O75" s="49" t="str">
        <f>Table_Option_Log[[#This Row],[Stock]] &amp; " " &amp; Table_Option_Log[[#This Row],[Strike]] &amp; " " &amp; Table_Option_Log[[#This Row],[Code]] &amp; " " &amp; Table_Option_Log[[#This Row],[Expiration]]</f>
        <v>META 182.5 SP 23-02-17</v>
      </c>
    </row>
    <row r="76" spans="1:15" x14ac:dyDescent="0.3">
      <c r="A76" s="2" t="s">
        <v>105</v>
      </c>
      <c r="B76" s="1" t="s">
        <v>99</v>
      </c>
      <c r="C76" s="6">
        <v>182.5</v>
      </c>
      <c r="D76" s="6" t="s">
        <v>50</v>
      </c>
      <c r="E76" s="43" t="str">
        <f>VLOOKUP(Table_Option_Log[[#This Row],[Code]], Table_Coding_1[#All], 2, FALSE)</f>
        <v>Buy Close Put</v>
      </c>
      <c r="F76" s="2" t="s">
        <v>70</v>
      </c>
      <c r="G76" s="1">
        <v>15</v>
      </c>
      <c r="H76" s="3">
        <v>6.08</v>
      </c>
      <c r="I76" s="5">
        <f>4.5882+3.0588</f>
        <v>7.6470000000000002</v>
      </c>
      <c r="J76" s="5"/>
      <c r="K7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6" s="23">
        <f>IF(Table_Option_Log[[#This Row],[Code]]="BS",Table_Option_Log[[#This Row],[Quantity]], IF(Table_Option_Log[[#This Row],[Code]]="SS",-Table_Option_Log[[#This Row],[Quantity]], 0))</f>
        <v>0</v>
      </c>
      <c r="M7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6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-9120</v>
      </c>
      <c r="O76" s="49" t="str">
        <f>Table_Option_Log[[#This Row],[Stock]] &amp; " " &amp; Table_Option_Log[[#This Row],[Strike]] &amp; " " &amp; Table_Option_Log[[#This Row],[Code]] &amp; " " &amp; Table_Option_Log[[#This Row],[Expiration]]</f>
        <v>META 182.5 BP 23-02-17</v>
      </c>
    </row>
    <row r="77" spans="1:15" x14ac:dyDescent="0.3">
      <c r="A77" s="2" t="s">
        <v>105</v>
      </c>
      <c r="B77" s="1" t="s">
        <v>99</v>
      </c>
      <c r="C77" s="6">
        <v>180</v>
      </c>
      <c r="D77" s="6" t="s">
        <v>49</v>
      </c>
      <c r="E77" s="43" t="str">
        <f>VLOOKUP(Table_Option_Log[[#This Row],[Code]], Table_Coding_1[#All], 2, FALSE)</f>
        <v>Sell Open Put</v>
      </c>
      <c r="F77" s="2" t="s">
        <v>70</v>
      </c>
      <c r="G77" s="1">
        <v>15</v>
      </c>
      <c r="H77" s="3">
        <v>4.75</v>
      </c>
      <c r="I77" s="5">
        <f>3.1387+4.708</f>
        <v>7.8467000000000002</v>
      </c>
      <c r="J77" s="5"/>
      <c r="K7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7" s="23">
        <f>IF(Table_Option_Log[[#This Row],[Code]]="BS",Table_Option_Log[[#This Row],[Quantity]], IF(Table_Option_Log[[#This Row],[Code]]="SS",-Table_Option_Log[[#This Row],[Quantity]], 0))</f>
        <v>0</v>
      </c>
      <c r="M7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7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7125</v>
      </c>
      <c r="O77" s="49" t="str">
        <f>Table_Option_Log[[#This Row],[Stock]] &amp; " " &amp; Table_Option_Log[[#This Row],[Strike]] &amp; " " &amp; Table_Option_Log[[#This Row],[Code]] &amp; " " &amp; Table_Option_Log[[#This Row],[Expiration]]</f>
        <v>META 180 SP 23-02-17</v>
      </c>
    </row>
    <row r="78" spans="1:15" x14ac:dyDescent="0.3">
      <c r="A78" s="2" t="s">
        <v>105</v>
      </c>
      <c r="B78" s="1" t="s">
        <v>4</v>
      </c>
      <c r="C78" s="6">
        <v>80</v>
      </c>
      <c r="D78" s="6" t="s">
        <v>50</v>
      </c>
      <c r="E78" s="43" t="str">
        <f>VLOOKUP(Table_Option_Log[[#This Row],[Code]], Table_Coding_1[#All], 2, FALSE)</f>
        <v>Buy Close Put</v>
      </c>
      <c r="F78" s="21" t="s">
        <v>104</v>
      </c>
      <c r="G78" s="1">
        <v>2</v>
      </c>
      <c r="H78" s="3">
        <f>(2.26+2.25)/2</f>
        <v>2.2549999999999999</v>
      </c>
      <c r="I78" s="5">
        <f>0.51+0.51</f>
        <v>1.02</v>
      </c>
      <c r="J78" s="5"/>
      <c r="K7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8" s="23">
        <f>IF(Table_Option_Log[[#This Row],[Code]]="BS",Table_Option_Log[[#This Row],[Quantity]], IF(Table_Option_Log[[#This Row],[Code]]="SS",-Table_Option_Log[[#This Row],[Quantity]], 0))</f>
        <v>0</v>
      </c>
      <c r="M7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78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-451</v>
      </c>
      <c r="O78" s="49" t="str">
        <f>Table_Option_Log[[#This Row],[Stock]] &amp; " " &amp; Table_Option_Log[[#This Row],[Strike]] &amp; " " &amp; Table_Option_Log[[#This Row],[Code]] &amp; " " &amp; Table_Option_Log[[#This Row],[Expiration]]</f>
        <v>AMD 80 BP 23-03-10</v>
      </c>
    </row>
    <row r="79" spans="1:15" x14ac:dyDescent="0.3">
      <c r="A79" s="2" t="s">
        <v>105</v>
      </c>
      <c r="B79" s="1" t="s">
        <v>25</v>
      </c>
      <c r="C79" s="6" t="s">
        <v>23</v>
      </c>
      <c r="D79" s="6" t="s">
        <v>41</v>
      </c>
      <c r="E79" s="43" t="str">
        <f>VLOOKUP(Table_Option_Log[[#This Row],[Code]], Table_Coding_1[#All], 2, FALSE)</f>
        <v>Sell Stock</v>
      </c>
      <c r="F79" s="21" t="s">
        <v>23</v>
      </c>
      <c r="G79" s="1">
        <v>20</v>
      </c>
      <c r="H79" s="3">
        <v>152.20009999999999</v>
      </c>
      <c r="I79" s="5">
        <v>7.2900000000000006E-2</v>
      </c>
      <c r="J79" s="5"/>
      <c r="K7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79" s="23">
        <f>IF(Table_Option_Log[[#This Row],[Code]]="BS",Table_Option_Log[[#This Row],[Quantity]], IF(Table_Option_Log[[#This Row],[Code]]="SS",-Table_Option_Log[[#This Row],[Quantity]], 0))</f>
        <v>-20</v>
      </c>
      <c r="M7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3044.002</v>
      </c>
      <c r="N79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0</v>
      </c>
      <c r="O79" s="49" t="str">
        <f>Table_Option_Log[[#This Row],[Stock]] &amp; " " &amp; Table_Option_Log[[#This Row],[Strike]] &amp; " " &amp; Table_Option_Log[[#This Row],[Code]] &amp; " " &amp; Table_Option_Log[[#This Row],[Expiration]]</f>
        <v>AAPL - SS -</v>
      </c>
    </row>
    <row r="80" spans="1:15" x14ac:dyDescent="0.3">
      <c r="A80" s="2" t="s">
        <v>32</v>
      </c>
      <c r="B80" s="1" t="s">
        <v>4</v>
      </c>
      <c r="C80" s="6">
        <v>81</v>
      </c>
      <c r="D80" s="6" t="s">
        <v>50</v>
      </c>
      <c r="E80" s="43" t="str">
        <f>VLOOKUP(Table_Option_Log[[#This Row],[Code]], Table_Coding_1[#All], 2, FALSE)</f>
        <v>Buy Close Put</v>
      </c>
      <c r="F80" s="21" t="s">
        <v>104</v>
      </c>
      <c r="G80" s="1">
        <v>1</v>
      </c>
      <c r="H80" s="3">
        <v>3.6</v>
      </c>
      <c r="I80" s="5">
        <v>0.51</v>
      </c>
      <c r="J80" s="5"/>
      <c r="K8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0" s="23">
        <f>IF(Table_Option_Log[[#This Row],[Code]]="BS",Table_Option_Log[[#This Row],[Quantity]], IF(Table_Option_Log[[#This Row],[Code]]="SS",-Table_Option_Log[[#This Row],[Quantity]], 0))</f>
        <v>0</v>
      </c>
      <c r="M8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0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-360</v>
      </c>
      <c r="O80" s="49" t="str">
        <f>Table_Option_Log[[#This Row],[Stock]] &amp; " " &amp; Table_Option_Log[[#This Row],[Strike]] &amp; " " &amp; Table_Option_Log[[#This Row],[Code]] &amp; " " &amp; Table_Option_Log[[#This Row],[Expiration]]</f>
        <v>AMD 81 BP 23-03-10</v>
      </c>
    </row>
    <row r="81" spans="1:15" x14ac:dyDescent="0.3">
      <c r="A81" s="2" t="s">
        <v>32</v>
      </c>
      <c r="B81" s="1" t="s">
        <v>4</v>
      </c>
      <c r="C81" s="6">
        <v>83</v>
      </c>
      <c r="D81" s="6" t="s">
        <v>50</v>
      </c>
      <c r="E81" s="43" t="str">
        <f>VLOOKUP(Table_Option_Log[[#This Row],[Code]], Table_Coding_1[#All], 2, FALSE)</f>
        <v>Buy Close Put</v>
      </c>
      <c r="F81" s="2" t="s">
        <v>70</v>
      </c>
      <c r="G81" s="1">
        <v>2</v>
      </c>
      <c r="H81" s="3">
        <v>4.34</v>
      </c>
      <c r="I81" s="5">
        <f>2*0.5098</f>
        <v>1.0196000000000001</v>
      </c>
      <c r="J81" s="5"/>
      <c r="K8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1" s="23">
        <f>IF(Table_Option_Log[[#This Row],[Code]]="BS",Table_Option_Log[[#This Row],[Quantity]], IF(Table_Option_Log[[#This Row],[Code]]="SS",-Table_Option_Log[[#This Row],[Quantity]], 0))</f>
        <v>0</v>
      </c>
      <c r="M8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1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-868</v>
      </c>
      <c r="O81" s="49" t="str">
        <f>Table_Option_Log[[#This Row],[Stock]] &amp; " " &amp; Table_Option_Log[[#This Row],[Strike]] &amp; " " &amp; Table_Option_Log[[#This Row],[Code]] &amp; " " &amp; Table_Option_Log[[#This Row],[Expiration]]</f>
        <v>AMD 83 BP 23-02-17</v>
      </c>
    </row>
    <row r="82" spans="1:15" x14ac:dyDescent="0.3">
      <c r="A82" s="2" t="s">
        <v>32</v>
      </c>
      <c r="B82" s="1" t="s">
        <v>99</v>
      </c>
      <c r="C82" s="6">
        <v>177.5</v>
      </c>
      <c r="D82" s="6" t="s">
        <v>50</v>
      </c>
      <c r="E82" s="43" t="str">
        <f>VLOOKUP(Table_Option_Log[[#This Row],[Code]], Table_Coding_1[#All], 2, FALSE)</f>
        <v>Buy Close Put</v>
      </c>
      <c r="F82" s="2" t="s">
        <v>70</v>
      </c>
      <c r="G82" s="1">
        <v>10</v>
      </c>
      <c r="H82" s="3">
        <v>5.5</v>
      </c>
      <c r="I82" s="5">
        <f>3.0588+2.0392</f>
        <v>5.0980000000000008</v>
      </c>
      <c r="J82" s="5"/>
      <c r="K8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2" s="23">
        <f>IF(Table_Option_Log[[#This Row],[Code]]="BS",Table_Option_Log[[#This Row],[Quantity]], IF(Table_Option_Log[[#This Row],[Code]]="SS",-Table_Option_Log[[#This Row],[Quantity]], 0))</f>
        <v>0</v>
      </c>
      <c r="M8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-5500</v>
      </c>
      <c r="O82" s="49" t="str">
        <f>Table_Option_Log[[#This Row],[Stock]] &amp; " " &amp; Table_Option_Log[[#This Row],[Strike]] &amp; " " &amp; Table_Option_Log[[#This Row],[Code]] &amp; " " &amp; Table_Option_Log[[#This Row],[Expiration]]</f>
        <v>META 177.5 BP 23-02-17</v>
      </c>
    </row>
    <row r="83" spans="1:15" x14ac:dyDescent="0.3">
      <c r="A83" s="2" t="s">
        <v>32</v>
      </c>
      <c r="B83" s="1" t="s">
        <v>99</v>
      </c>
      <c r="C83" s="6">
        <v>175</v>
      </c>
      <c r="D83" s="6" t="s">
        <v>49</v>
      </c>
      <c r="E83" s="43" t="str">
        <f>VLOOKUP(Table_Option_Log[[#This Row],[Code]], Table_Coding_1[#All], 2, FALSE)</f>
        <v>Sell Open Put</v>
      </c>
      <c r="F83" s="2" t="s">
        <v>70</v>
      </c>
      <c r="G83" s="1">
        <v>10</v>
      </c>
      <c r="H83" s="3">
        <v>4.25</v>
      </c>
      <c r="I83" s="5">
        <f>3.1318+2.0878</f>
        <v>5.2195999999999998</v>
      </c>
      <c r="J83" s="5"/>
      <c r="K8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3" s="23">
        <f>IF(Table_Option_Log[[#This Row],[Code]]="BS",Table_Option_Log[[#This Row],[Quantity]], IF(Table_Option_Log[[#This Row],[Code]]="SS",-Table_Option_Log[[#This Row],[Quantity]], 0))</f>
        <v>0</v>
      </c>
      <c r="M8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4250</v>
      </c>
      <c r="O83" s="49" t="str">
        <f>Table_Option_Log[[#This Row],[Stock]] &amp; " " &amp; Table_Option_Log[[#This Row],[Strike]] &amp; " " &amp; Table_Option_Log[[#This Row],[Code]] &amp; " " &amp; Table_Option_Log[[#This Row],[Expiration]]</f>
        <v>META 175 SP 23-02-17</v>
      </c>
    </row>
    <row r="84" spans="1:15" x14ac:dyDescent="0.3">
      <c r="A84" s="2" t="s">
        <v>32</v>
      </c>
      <c r="B84" s="1" t="s">
        <v>33</v>
      </c>
      <c r="C84" s="6">
        <v>192.5</v>
      </c>
      <c r="D84" s="6" t="s">
        <v>51</v>
      </c>
      <c r="E84" s="43" t="str">
        <f>VLOOKUP(Table_Option_Log[[#This Row],[Code]], Table_Coding_1[#All], 2, FALSE)</f>
        <v>Sell Open Call</v>
      </c>
      <c r="F84" s="21" t="s">
        <v>32</v>
      </c>
      <c r="G84" s="1">
        <v>10</v>
      </c>
      <c r="H84" s="3">
        <v>1.36</v>
      </c>
      <c r="I84" s="5">
        <v>5.0979999999999999</v>
      </c>
      <c r="J84" s="5"/>
      <c r="K8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4" s="23">
        <f>IF(Table_Option_Log[[#This Row],[Code]]="BS",Table_Option_Log[[#This Row],[Quantity]], IF(Table_Option_Log[[#This Row],[Code]]="SS",-Table_Option_Log[[#This Row],[Quantity]], 0))</f>
        <v>0</v>
      </c>
      <c r="M8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1360</v>
      </c>
      <c r="O84" s="49" t="str">
        <f>Table_Option_Log[[#This Row],[Stock]] &amp; " " &amp; Table_Option_Log[[#This Row],[Strike]] &amp; " " &amp; Table_Option_Log[[#This Row],[Code]] &amp; " " &amp; Table_Option_Log[[#This Row],[Expiration]]</f>
        <v>TSLA 192.5 SC 23-02-10</v>
      </c>
    </row>
    <row r="85" spans="1:15" x14ac:dyDescent="0.3">
      <c r="A85" s="2" t="s">
        <v>32</v>
      </c>
      <c r="B85" s="1" t="s">
        <v>33</v>
      </c>
      <c r="C85" s="6">
        <v>195</v>
      </c>
      <c r="D85" s="6" t="s">
        <v>52</v>
      </c>
      <c r="E85" s="43" t="str">
        <f>VLOOKUP(Table_Option_Log[[#This Row],[Code]], Table_Coding_1[#All], 2, FALSE)</f>
        <v>Buy Close Call</v>
      </c>
      <c r="F85" s="21" t="s">
        <v>32</v>
      </c>
      <c r="G85" s="1">
        <v>10</v>
      </c>
      <c r="H85" s="3">
        <v>2.62</v>
      </c>
      <c r="I85" s="5">
        <v>5.1822999999999997</v>
      </c>
      <c r="J85" s="5"/>
      <c r="K8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5" s="23">
        <f>IF(Table_Option_Log[[#This Row],[Code]]="BS",Table_Option_Log[[#This Row],[Quantity]], IF(Table_Option_Log[[#This Row],[Code]]="SS",-Table_Option_Log[[#This Row],[Quantity]], 0))</f>
        <v>0</v>
      </c>
      <c r="M8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-2620</v>
      </c>
      <c r="O85" s="49" t="str">
        <f>Table_Option_Log[[#This Row],[Stock]] &amp; " " &amp; Table_Option_Log[[#This Row],[Strike]] &amp; " " &amp; Table_Option_Log[[#This Row],[Code]] &amp; " " &amp; Table_Option_Log[[#This Row],[Expiration]]</f>
        <v>TSLA 195 BC 23-02-10</v>
      </c>
    </row>
    <row r="86" spans="1:15" x14ac:dyDescent="0.3">
      <c r="A86" s="2" t="s">
        <v>32</v>
      </c>
      <c r="B86" s="1" t="s">
        <v>33</v>
      </c>
      <c r="C86" s="6">
        <v>195</v>
      </c>
      <c r="D86" s="6" t="s">
        <v>50</v>
      </c>
      <c r="E86" s="43" t="str">
        <f>VLOOKUP(Table_Option_Log[[#This Row],[Code]], Table_Coding_1[#All], 2, FALSE)</f>
        <v>Buy Close Put</v>
      </c>
      <c r="F86" s="21" t="s">
        <v>70</v>
      </c>
      <c r="G86" s="1">
        <v>10</v>
      </c>
      <c r="H86" s="3">
        <f>(9*8.42+8.33)/10</f>
        <v>8.4109999999999996</v>
      </c>
      <c r="I86" s="5">
        <f>4.5882+0.5098</f>
        <v>5.0979999999999999</v>
      </c>
      <c r="J86" s="5"/>
      <c r="K86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6" s="23">
        <f>IF(Table_Option_Log[[#This Row],[Code]]="BS",Table_Option_Log[[#This Row],[Quantity]], IF(Table_Option_Log[[#This Row],[Code]]="SS",-Table_Option_Log[[#This Row],[Quantity]], 0))</f>
        <v>0</v>
      </c>
      <c r="M86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6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-8411</v>
      </c>
      <c r="O86" s="49" t="str">
        <f>Table_Option_Log[[#This Row],[Stock]] &amp; " " &amp; Table_Option_Log[[#This Row],[Strike]] &amp; " " &amp; Table_Option_Log[[#This Row],[Code]] &amp; " " &amp; Table_Option_Log[[#This Row],[Expiration]]</f>
        <v>TSLA 195 BP 23-02-17</v>
      </c>
    </row>
    <row r="87" spans="1:15" x14ac:dyDescent="0.3">
      <c r="A87" s="2" t="s">
        <v>32</v>
      </c>
      <c r="B87" s="1" t="s">
        <v>33</v>
      </c>
      <c r="C87" s="6">
        <v>192.5</v>
      </c>
      <c r="D87" s="6" t="s">
        <v>49</v>
      </c>
      <c r="E87" s="43" t="str">
        <f>VLOOKUP(Table_Option_Log[[#This Row],[Code]], Table_Coding_1[#All], 2, FALSE)</f>
        <v>Sell Open Put</v>
      </c>
      <c r="F87" s="21" t="s">
        <v>70</v>
      </c>
      <c r="G87" s="1">
        <v>10</v>
      </c>
      <c r="H87" s="3">
        <f>(9*7.17+7.08)/10</f>
        <v>7.1609999999999996</v>
      </c>
      <c r="I87" s="5">
        <f>4.7579+0.5284</f>
        <v>5.2863000000000007</v>
      </c>
      <c r="J87" s="5"/>
      <c r="K87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7" s="23">
        <f>IF(Table_Option_Log[[#This Row],[Code]]="BS",Table_Option_Log[[#This Row],[Quantity]], IF(Table_Option_Log[[#This Row],[Code]]="SS",-Table_Option_Log[[#This Row],[Quantity]], 0))</f>
        <v>0</v>
      </c>
      <c r="M87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7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7161</v>
      </c>
      <c r="O87" s="49" t="str">
        <f>Table_Option_Log[[#This Row],[Stock]] &amp; " " &amp; Table_Option_Log[[#This Row],[Strike]] &amp; " " &amp; Table_Option_Log[[#This Row],[Code]] &amp; " " &amp; Table_Option_Log[[#This Row],[Expiration]]</f>
        <v>TSLA 192.5 SP 23-02-17</v>
      </c>
    </row>
    <row r="88" spans="1:15" x14ac:dyDescent="0.3">
      <c r="A88" s="2" t="s">
        <v>109</v>
      </c>
      <c r="B88" s="1" t="s">
        <v>33</v>
      </c>
      <c r="C88" s="6">
        <v>195</v>
      </c>
      <c r="D88" s="6" t="s">
        <v>49</v>
      </c>
      <c r="E88" s="43" t="str">
        <f>VLOOKUP(Table_Option_Log[[#This Row],[Code]], Table_Coding_1[#All], 2, FALSE)</f>
        <v>Sell Open Put</v>
      </c>
      <c r="F88" s="21" t="s">
        <v>70</v>
      </c>
      <c r="G88" s="1">
        <v>10</v>
      </c>
      <c r="H88" s="3">
        <v>0.65</v>
      </c>
      <c r="I88" s="5">
        <v>5.1372</v>
      </c>
      <c r="J88" s="5"/>
      <c r="K88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8" s="23">
        <f>IF(Table_Option_Log[[#This Row],[Code]]="BS",Table_Option_Log[[#This Row],[Quantity]], IF(Table_Option_Log[[#This Row],[Code]]="SS",-Table_Option_Log[[#This Row],[Quantity]], 0))</f>
        <v>0</v>
      </c>
      <c r="M88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8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650</v>
      </c>
      <c r="O88" s="49" t="str">
        <f>Table_Option_Log[[#This Row],[Stock]] &amp; " " &amp; Table_Option_Log[[#This Row],[Strike]] &amp; " " &amp; Table_Option_Log[[#This Row],[Code]] &amp; " " &amp; Table_Option_Log[[#This Row],[Expiration]]</f>
        <v>TSLA 195 SP 23-02-17</v>
      </c>
    </row>
    <row r="89" spans="1:15" x14ac:dyDescent="0.3">
      <c r="A89" s="2" t="s">
        <v>109</v>
      </c>
      <c r="B89" s="1" t="s">
        <v>33</v>
      </c>
      <c r="C89" s="6">
        <v>192.5</v>
      </c>
      <c r="D89" s="6" t="s">
        <v>50</v>
      </c>
      <c r="E89" s="43" t="str">
        <f>VLOOKUP(Table_Option_Log[[#This Row],[Code]], Table_Coding_1[#All], 2, FALSE)</f>
        <v>Buy Close Put</v>
      </c>
      <c r="F89" s="21" t="s">
        <v>70</v>
      </c>
      <c r="G89" s="1">
        <v>10</v>
      </c>
      <c r="H89" s="3">
        <v>0.46</v>
      </c>
      <c r="I89" s="5">
        <v>5.0979999999999999</v>
      </c>
      <c r="J89" s="5"/>
      <c r="K89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89" s="23">
        <f>IF(Table_Option_Log[[#This Row],[Code]]="BS",Table_Option_Log[[#This Row],[Quantity]], IF(Table_Option_Log[[#This Row],[Code]]="SS",-Table_Option_Log[[#This Row],[Quantity]], 0))</f>
        <v>0</v>
      </c>
      <c r="M89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89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-460</v>
      </c>
      <c r="O89" s="49" t="str">
        <f>Table_Option_Log[[#This Row],[Stock]] &amp; " " &amp; Table_Option_Log[[#This Row],[Strike]] &amp; " " &amp; Table_Option_Log[[#This Row],[Code]] &amp; " " &amp; Table_Option_Log[[#This Row],[Expiration]]</f>
        <v>TSLA 192.5 BP 23-02-17</v>
      </c>
    </row>
    <row r="90" spans="1:15" x14ac:dyDescent="0.3">
      <c r="A90" s="2" t="s">
        <v>70</v>
      </c>
      <c r="B90" s="1" t="s">
        <v>99</v>
      </c>
      <c r="C90" s="6">
        <v>185</v>
      </c>
      <c r="D90" s="6" t="s">
        <v>49</v>
      </c>
      <c r="E90" s="43" t="str">
        <f>VLOOKUP(Table_Option_Log[[#This Row],[Code]], Table_Coding_1[#All], 2, FALSE)</f>
        <v>Sell Open Put</v>
      </c>
      <c r="F90" s="21" t="s">
        <v>70</v>
      </c>
      <c r="G90" s="1">
        <v>5</v>
      </c>
      <c r="H90" s="3">
        <v>13.32</v>
      </c>
      <c r="I90" s="5">
        <f>1.0854+1.6282</f>
        <v>2.7136</v>
      </c>
      <c r="J90" s="5"/>
      <c r="K90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90" s="23">
        <f>IF(Table_Option_Log[[#This Row],[Code]]="BS",Table_Option_Log[[#This Row],[Quantity]], IF(Table_Option_Log[[#This Row],[Code]]="SS",-Table_Option_Log[[#This Row],[Quantity]], 0))</f>
        <v>0</v>
      </c>
      <c r="M90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90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6660</v>
      </c>
      <c r="O90" s="49" t="str">
        <f>Table_Option_Log[[#This Row],[Stock]] &amp; " " &amp; Table_Option_Log[[#This Row],[Strike]] &amp; " " &amp; Table_Option_Log[[#This Row],[Code]] &amp; " " &amp; Table_Option_Log[[#This Row],[Expiration]]</f>
        <v>META 185 SP 23-02-17</v>
      </c>
    </row>
    <row r="91" spans="1:15" x14ac:dyDescent="0.3">
      <c r="A91" s="2" t="s">
        <v>70</v>
      </c>
      <c r="B91" s="1" t="s">
        <v>99</v>
      </c>
      <c r="C91" s="6">
        <v>182.5</v>
      </c>
      <c r="D91" s="6" t="s">
        <v>50</v>
      </c>
      <c r="E91" s="43" t="str">
        <f>VLOOKUP(Table_Option_Log[[#This Row],[Code]], Table_Coding_1[#All], 2, FALSE)</f>
        <v>Buy Close Put</v>
      </c>
      <c r="F91" s="21" t="s">
        <v>70</v>
      </c>
      <c r="G91" s="1">
        <v>5</v>
      </c>
      <c r="H91" s="3">
        <v>10.84</v>
      </c>
      <c r="I91" s="5">
        <f>1.0196+1.5294</f>
        <v>2.5490000000000004</v>
      </c>
      <c r="J91" s="5"/>
      <c r="K91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91" s="23">
        <f>IF(Table_Option_Log[[#This Row],[Code]]="BS",Table_Option_Log[[#This Row],[Quantity]], IF(Table_Option_Log[[#This Row],[Code]]="SS",-Table_Option_Log[[#This Row],[Quantity]], 0))</f>
        <v>0</v>
      </c>
      <c r="M91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91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-5420</v>
      </c>
      <c r="O91" s="49" t="str">
        <f>Table_Option_Log[[#This Row],[Stock]] &amp; " " &amp; Table_Option_Log[[#This Row],[Strike]] &amp; " " &amp; Table_Option_Log[[#This Row],[Code]] &amp; " " &amp; Table_Option_Log[[#This Row],[Expiration]]</f>
        <v>META 182.5 BP 23-02-17</v>
      </c>
    </row>
    <row r="92" spans="1:15" x14ac:dyDescent="0.3">
      <c r="A92" s="2" t="s">
        <v>70</v>
      </c>
      <c r="B92" s="1" t="s">
        <v>99</v>
      </c>
      <c r="C92" s="6">
        <v>185</v>
      </c>
      <c r="D92" s="6" t="s">
        <v>49</v>
      </c>
      <c r="E92" s="43" t="str">
        <f>VLOOKUP(Table_Option_Log[[#This Row],[Code]], Table_Coding_1[#All], 2, FALSE)</f>
        <v>Sell Open Put</v>
      </c>
      <c r="F92" s="21" t="s">
        <v>70</v>
      </c>
      <c r="G92" s="1">
        <v>15</v>
      </c>
      <c r="H92" s="3">
        <v>13.59</v>
      </c>
      <c r="I92" s="5">
        <v>8.1503999999999994</v>
      </c>
      <c r="J92" s="5"/>
      <c r="K92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92" s="23">
        <f>IF(Table_Option_Log[[#This Row],[Code]]="BS",Table_Option_Log[[#This Row],[Quantity]], IF(Table_Option_Log[[#This Row],[Code]]="SS",-Table_Option_Log[[#This Row],[Quantity]], 0))</f>
        <v>0</v>
      </c>
      <c r="M92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92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20385</v>
      </c>
      <c r="O92" s="49" t="str">
        <f>Table_Option_Log[[#This Row],[Stock]] &amp; " " &amp; Table_Option_Log[[#This Row],[Strike]] &amp; " " &amp; Table_Option_Log[[#This Row],[Code]] &amp; " " &amp; Table_Option_Log[[#This Row],[Expiration]]</f>
        <v>META 185 SP 23-02-17</v>
      </c>
    </row>
    <row r="93" spans="1:15" x14ac:dyDescent="0.3">
      <c r="A93" s="2" t="s">
        <v>70</v>
      </c>
      <c r="B93" s="1" t="s">
        <v>99</v>
      </c>
      <c r="C93" s="6">
        <v>180</v>
      </c>
      <c r="D93" s="6" t="s">
        <v>50</v>
      </c>
      <c r="E93" s="43" t="str">
        <f>VLOOKUP(Table_Option_Log[[#This Row],[Code]], Table_Coding_1[#All], 2, FALSE)</f>
        <v>Buy Close Put</v>
      </c>
      <c r="F93" s="21" t="s">
        <v>70</v>
      </c>
      <c r="G93" s="1">
        <v>15</v>
      </c>
      <c r="H93" s="3">
        <v>8.6199999999999992</v>
      </c>
      <c r="I93" s="5">
        <v>7.6470000000000002</v>
      </c>
      <c r="J93" s="5"/>
      <c r="K93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93" s="23">
        <f>IF(Table_Option_Log[[#This Row],[Code]]="BS",Table_Option_Log[[#This Row],[Quantity]], IF(Table_Option_Log[[#This Row],[Code]]="SS",-Table_Option_Log[[#This Row],[Quantity]], 0))</f>
        <v>0</v>
      </c>
      <c r="M93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93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-12929.999999999998</v>
      </c>
      <c r="O93" s="49" t="str">
        <f>Table_Option_Log[[#This Row],[Stock]] &amp; " " &amp; Table_Option_Log[[#This Row],[Strike]] &amp; " " &amp; Table_Option_Log[[#This Row],[Code]] &amp; " " &amp; Table_Option_Log[[#This Row],[Expiration]]</f>
        <v>META 180 BP 23-02-17</v>
      </c>
    </row>
    <row r="94" spans="1:15" x14ac:dyDescent="0.3">
      <c r="A94" s="2" t="s">
        <v>70</v>
      </c>
      <c r="B94" s="1" t="s">
        <v>99</v>
      </c>
      <c r="C94" s="6">
        <v>177.5</v>
      </c>
      <c r="D94" s="6" t="s">
        <v>49</v>
      </c>
      <c r="E94" s="43" t="str">
        <f>VLOOKUP(Table_Option_Log[[#This Row],[Code]], Table_Coding_1[#All], 2, FALSE)</f>
        <v>Sell Open Put</v>
      </c>
      <c r="F94" s="21" t="s">
        <v>70</v>
      </c>
      <c r="G94" s="1">
        <v>20</v>
      </c>
      <c r="H94" s="3">
        <v>2.5099999999999998</v>
      </c>
      <c r="I94" s="5">
        <v>0</v>
      </c>
      <c r="J94" s="5"/>
      <c r="K94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94" s="23">
        <f>IF(Table_Option_Log[[#This Row],[Code]]="BS",Table_Option_Log[[#This Row],[Quantity]], IF(Table_Option_Log[[#This Row],[Code]]="SS",-Table_Option_Log[[#This Row],[Quantity]], 0))</f>
        <v>0</v>
      </c>
      <c r="M94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94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5020</v>
      </c>
      <c r="O94" s="49" t="str">
        <f>Table_Option_Log[[#This Row],[Stock]] &amp; " " &amp; Table_Option_Log[[#This Row],[Strike]] &amp; " " &amp; Table_Option_Log[[#This Row],[Code]] &amp; " " &amp; Table_Option_Log[[#This Row],[Expiration]]</f>
        <v>META 177.5 SP 23-02-17</v>
      </c>
    </row>
    <row r="95" spans="1:15" x14ac:dyDescent="0.3">
      <c r="A95" s="2" t="s">
        <v>70</v>
      </c>
      <c r="B95" s="1" t="s">
        <v>99</v>
      </c>
      <c r="C95" s="6">
        <v>175</v>
      </c>
      <c r="D95" s="6" t="s">
        <v>50</v>
      </c>
      <c r="E95" s="43" t="str">
        <f>VLOOKUP(Table_Option_Log[[#This Row],[Code]], Table_Coding_1[#All], 2, FALSE)</f>
        <v>Buy Close Put</v>
      </c>
      <c r="F95" s="21" t="s">
        <v>70</v>
      </c>
      <c r="G95" s="1">
        <v>20</v>
      </c>
      <c r="H95" s="3">
        <v>0.01</v>
      </c>
      <c r="I95" s="5">
        <v>0</v>
      </c>
      <c r="J95" s="5"/>
      <c r="K95" s="5" t="str">
        <f>IF(Table_Option_Log[[#This Row],[Code]]="INT", "Close",IF(ISNA(VLOOKUP(IF(Table_Option_Log[[#This Row],[Code]]="SP", Table_Option_Log[[#This Row],[Stock]] &amp; " " &amp; Table_Option_Log[[#This Row],[Strike]] &amp; " " &amp; "BP" &amp; " " &amp; Table_Option_Log[[#This Row],[Expiration]], IF(Table_Option_Log[[#This Row],[Code]]="BP", Table_Option_Log[[#This Row],[Stock]] &amp; " " &amp; Table_Option_Log[[#This Row],[Strike]] &amp; " " &amp; "BP" &amp; " " &amp; Table_Option_Log[[#This Row],[Expiration]], IF(Table_Option_Log[[#This Row],[Code]]="BC", Table_Option_Log[[#This Row],[Stock]] &amp; " " &amp; Table_Option_Log[[#This Row],[Strike]] &amp; " " &amp; "SC" &amp; " " &amp; Table_Option_Log[[#This Row],[Expiration]], IF(Table_Option_Log[[#This Row],[Code]]="SC", Table_Option_Log[[#This Row],[Stock]] &amp; " " &amp; Table_Option_Log[[#This Row],[Strike]] &amp; " " &amp; "BC" &amp; " " &amp; Table_Option_Log[[#This Row],[Expiration]], IF(Table_Option_Log[[#This Row],[Code]]="BS", Table_Option_Log[[#This Row],[Stock]] &amp; " " &amp; Table_Option_Log[[#This Row],[Strike]] &amp; " " &amp; "SS" &amp; " " &amp; Table_Option_Log[[#This Row],[Expiration]], IF(Table_Option_Log[[#This Row],[Code]]="SS", Table_Option_Log[[#This Row],[Stock]] &amp; " " &amp; Table_Option_Log[[#This Row],[Strike]] &amp; " " &amp; "BS" &amp; " " &amp; Table_Option_Log[[#This Row],[Expiration]], "")))))),Table_Option_Log[Summary],1,FALSE)), "Open", "Close"))</f>
        <v>Close</v>
      </c>
      <c r="L95" s="23">
        <f>IF(Table_Option_Log[[#This Row],[Code]]="BS",Table_Option_Log[[#This Row],[Quantity]], IF(Table_Option_Log[[#This Row],[Code]]="SS",-Table_Option_Log[[#This Row],[Quantity]], 0))</f>
        <v>0</v>
      </c>
      <c r="M95" s="5">
        <f>IF(Table_Option_Log[[#This Row],[Code]]="BS",-Table_Option_Log[[#This Row],[Quantity]]*Table_Option_Log[[#This Row],[Price]], IF(Table_Option_Log[[#This Row],[Code]]="SS",Table_Option_Log[[#This Row],[Quantity]]*Table_Option_Log[[#This Row],[Price]], 0))</f>
        <v>0</v>
      </c>
      <c r="N95" s="6">
        <f>IF(OR(Table_Option_Log[[#This Row],[Code]]="SP", Table_Option_Log[[#This Row],[Code]]="SC"),Table_Option_Log[[#This Row],[Quantity]]*100*Table_Option_Log[[#This Row],[Price]], IF(OR(Table_Option_Log[[#This Row],[Code]]="BP", Table_Option_Log[[#This Row],[Code]]="BC"),-Table_Option_Log[[#This Row],[Quantity]]*100*Table_Option_Log[[#This Row],[Price]],0))</f>
        <v>-20</v>
      </c>
      <c r="O95" s="49" t="str">
        <f>Table_Option_Log[[#This Row],[Stock]] &amp; " " &amp; Table_Option_Log[[#This Row],[Strike]] &amp; " " &amp; Table_Option_Log[[#This Row],[Code]] &amp; " " &amp; Table_Option_Log[[#This Row],[Expiration]]</f>
        <v>META 175 BP 23-02-17</v>
      </c>
    </row>
  </sheetData>
  <conditionalFormatting sqref="K1:K1048576">
    <cfRule type="cellIs" dxfId="44" priority="2" operator="equal">
      <formula>"Open"</formula>
    </cfRule>
    <cfRule type="cellIs" dxfId="43" priority="1" operator="equal">
      <formula>"Close"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BC6-AF85-4FA0-8B4C-E52E12931289}">
  <dimension ref="A1:J15"/>
  <sheetViews>
    <sheetView showGridLines="0" workbookViewId="0">
      <selection activeCell="C13" sqref="C13"/>
    </sheetView>
  </sheetViews>
  <sheetFormatPr defaultRowHeight="14.4" x14ac:dyDescent="0.3"/>
  <cols>
    <col min="1" max="2" width="15.77734375" style="1" customWidth="1"/>
    <col min="3" max="5" width="15.77734375" style="6" customWidth="1"/>
    <col min="6" max="6" width="15.77734375" style="25" customWidth="1"/>
    <col min="7" max="7" width="15.77734375" style="1" customWidth="1"/>
    <col min="9" max="9" width="13.5546875" customWidth="1"/>
    <col min="10" max="10" width="11.6640625" bestFit="1" customWidth="1"/>
  </cols>
  <sheetData>
    <row r="1" spans="1:10" x14ac:dyDescent="0.3">
      <c r="A1" s="1" t="s">
        <v>0</v>
      </c>
      <c r="B1" s="1" t="s">
        <v>44</v>
      </c>
      <c r="C1" s="6" t="s">
        <v>42</v>
      </c>
      <c r="D1" s="6" t="s">
        <v>53</v>
      </c>
      <c r="E1" s="6" t="s">
        <v>10</v>
      </c>
      <c r="F1" s="25" t="s">
        <v>46</v>
      </c>
      <c r="G1" s="1" t="s">
        <v>9</v>
      </c>
    </row>
    <row r="2" spans="1:10" x14ac:dyDescent="0.3">
      <c r="A2" s="1" t="s">
        <v>25</v>
      </c>
      <c r="B2" s="1">
        <f>SUMIF(Table_Option_Log[Stock], Table_Summary[[#This Row],[Stock]], Table_Option_Log[Stock Quantity])</f>
        <v>0</v>
      </c>
      <c r="C2" s="6">
        <f>IF(Table_Summary[[#This Row],[Stock Quantity]]=0, 0, (-SUMIF(Table_Option_Log[Stock], Table_Summary[[#This Row],[Stock]], Table_Option_Log[Stock Value])-Table_Summary[[#This Row],[Revenue]])/Table_Summary[[#This Row],[Stock Quantity]])</f>
        <v>0</v>
      </c>
      <c r="D2" s="6">
        <f>IF(Table_Summary[[#This Row],[Stock Quantity]]=0, 0, (-SUMIF(Table_Option_Log[Stock], Table_Summary[[#This Row],[Stock]], Table_Option_Log[Stock Value])-Table_Summary[[#This Row],[Revenue]]-Table_Summary[[#This Row],[Fee]])/Table_Summary[[#This Row],[Stock Quantity]])</f>
        <v>0</v>
      </c>
      <c r="E2" s="6" cm="1">
        <f t="array" ref="E2">SUM(SUMIFS(Table_Option_Log[Revenue], Table_Option_Log[Stock], Table_Summary[[#This Row],[Stock]], Table_Option_Log[Code], {"SP","BP","SC","BC"})) + IF(Table_Summary[[#This Row],[Stock Quantity]] = 0, SUMIF(Table_Option_Log[Stock], Table_Summary[[#This Row],[Stock]], Table_Option_Log[Stock Value]), 0)</f>
        <v>3165.2019999999998</v>
      </c>
      <c r="F2" s="25" cm="1">
        <f t="array" ref="F2">SUM(SUMIFS(Table_Option_Log[Fee], Table_Option_Log[Stock], Table_Summary[[#This Row],[Stock]], Table_Option_Log[Code], {"SP","BP","SC","BC"}))</f>
        <v>60.7879</v>
      </c>
      <c r="G2" s="6">
        <f>Table_Summary[[#This Row],[Revenue]]-Table_Summary[[#This Row],[Fee]]</f>
        <v>3104.4141</v>
      </c>
      <c r="I2" s="26" t="s">
        <v>45</v>
      </c>
      <c r="J2" s="27">
        <f>SUM(Table_Summary[Revenue])</f>
        <v>2630.2019999999993</v>
      </c>
    </row>
    <row r="3" spans="1:10" x14ac:dyDescent="0.3">
      <c r="A3" s="1" t="s">
        <v>4</v>
      </c>
      <c r="B3" s="1">
        <f>SUMIF(Table_Option_Log[Stock], Table_Summary[[#This Row],[Stock]], Table_Option_Log[Stock Quantity])</f>
        <v>0</v>
      </c>
      <c r="C3" s="6">
        <f>IF(Table_Summary[[#This Row],[Stock Quantity]]=0, 0, (-SUMIF(Table_Option_Log[Stock], Table_Summary[[#This Row],[Stock]], Table_Option_Log[Stock Value])-Table_Summary[[#This Row],[Revenue]])/Table_Summary[[#This Row],[Stock Quantity]])</f>
        <v>0</v>
      </c>
      <c r="D3" s="6">
        <f>IF(Table_Summary[[#This Row],[Stock Quantity]]=0, 0, (-SUMIF(Table_Option_Log[Stock], Table_Summary[[#This Row],[Stock]], Table_Option_Log[Stock Value])-Table_Summary[[#This Row],[Revenue]]-Table_Summary[[#This Row],[Fee]])/Table_Summary[[#This Row],[Stock Quantity]])</f>
        <v>0</v>
      </c>
      <c r="E3" s="6" cm="1">
        <f t="array" ref="E3">SUM(SUMIFS(Table_Option_Log[Revenue], Table_Option_Log[Stock], Table_Summary[[#This Row],[Stock]], Table_Option_Log[Code], {"SP","BP","SC","BC"})) + IF(Table_Summary[[#This Row],[Stock Quantity]] = 0, SUMIF(Table_Option_Log[Stock], Table_Summary[[#This Row],[Stock]], Table_Option_Log[Stock Value]), 0)</f>
        <v>1225</v>
      </c>
      <c r="F3" s="25" cm="1">
        <f t="array" ref="F3">SUM(SUMIFS(Table_Option_Log[Fee], Table_Option_Log[Stock], Table_Summary[[#This Row],[Stock]], Table_Option_Log[Code], {"SP","BP","SC","BC"}))</f>
        <v>37.801199999999994</v>
      </c>
      <c r="G3" s="6">
        <f>Table_Summary[[#This Row],[Revenue]]-Table_Summary[[#This Row],[Fee]]</f>
        <v>1187.1988000000001</v>
      </c>
      <c r="I3" s="26" t="s">
        <v>48</v>
      </c>
      <c r="J3" s="28">
        <f>SUM(Table_Summary[Fee])</f>
        <v>388.172325</v>
      </c>
    </row>
    <row r="4" spans="1:10" x14ac:dyDescent="0.3">
      <c r="A4" s="1" t="s">
        <v>101</v>
      </c>
      <c r="B4" s="22">
        <f>SUMIF(Table_Option_Log[Stock], Table_Summary[[#This Row],[Stock]], Table_Option_Log[Stock Quantity])</f>
        <v>0</v>
      </c>
      <c r="C4" s="6">
        <f>IF(Table_Summary[[#This Row],[Stock Quantity]]=0, 0, (-SUMIF(Table_Option_Log[Stock], Table_Summary[[#This Row],[Stock]], Table_Option_Log[Stock Value])-Table_Summary[[#This Row],[Revenue]])/Table_Summary[[#This Row],[Stock Quantity]])</f>
        <v>0</v>
      </c>
      <c r="D4" s="6">
        <f>IF(Table_Summary[[#This Row],[Stock Quantity]]=0, 0, (-SUMIF(Table_Option_Log[Stock], Table_Summary[[#This Row],[Stock]], Table_Option_Log[Stock Value])-Table_Summary[[#This Row],[Revenue]]-Table_Summary[[#This Row],[Fee]])/Table_Summary[[#This Row],[Stock Quantity]])</f>
        <v>0</v>
      </c>
      <c r="E4" s="6" cm="1">
        <f t="array" ref="E4">SUM(SUMIFS(Table_Option_Log[Revenue], Table_Option_Log[Stock], Table_Summary[[#This Row],[Stock]], Table_Option_Log[Code], {"SP","BP","SC","BC"})) + IF(Table_Summary[[#This Row],[Stock Quantity]] = 0, SUMIF(Table_Option_Log[Stock], Table_Summary[[#This Row],[Stock]], Table_Option_Log[Stock Value]), 0)</f>
        <v>-1360</v>
      </c>
      <c r="F4" s="25" cm="1">
        <f t="array" ref="F4">SUM(SUMIFS(Table_Option_Log[Fee], Table_Option_Log[Stock], Table_Summary[[#This Row],[Stock]], Table_Option_Log[Code], {"SP","BP","SC","BC"}))</f>
        <v>41.143500000000003</v>
      </c>
      <c r="G4" s="6">
        <f>Table_Summary[[#This Row],[Revenue]]-Table_Summary[[#This Row],[Fee]]</f>
        <v>-1401.1434999999999</v>
      </c>
      <c r="I4" s="31" t="s">
        <v>92</v>
      </c>
      <c r="J4" s="48">
        <f>SUM(Table_Option_Log[Interest])</f>
        <v>86.800000000000011</v>
      </c>
    </row>
    <row r="5" spans="1:10" x14ac:dyDescent="0.3">
      <c r="A5" s="1" t="s">
        <v>5</v>
      </c>
      <c r="B5" s="22">
        <f>SUMIF(Table_Option_Log[Stock], Table_Summary[[#This Row],[Stock]], Table_Option_Log[Stock Quantity])</f>
        <v>0</v>
      </c>
      <c r="C5" s="6">
        <f>IF(Table_Summary[[#This Row],[Stock Quantity]]=0, 0, (-SUMIF(Table_Option_Log[Stock], Table_Summary[[#This Row],[Stock]], Table_Option_Log[Stock Value])-Table_Summary[[#This Row],[Revenue]])/Table_Summary[[#This Row],[Stock Quantity]])</f>
        <v>0</v>
      </c>
      <c r="D5" s="6">
        <f>IF(Table_Summary[[#This Row],[Stock Quantity]]=0, 0, (-SUMIF(Table_Option_Log[Stock], Table_Summary[[#This Row],[Stock]], Table_Option_Log[Stock Value])-Table_Summary[[#This Row],[Revenue]]-Table_Summary[[#This Row],[Fee]])/Table_Summary[[#This Row],[Stock Quantity]])</f>
        <v>0</v>
      </c>
      <c r="E5" s="6" cm="1">
        <f t="array" ref="E5">SUM(SUMIFS(Table_Option_Log[Revenue], Table_Option_Log[Stock], Table_Summary[[#This Row],[Stock]], Table_Option_Log[Code], {"SP","BP","SC","BC"})) + IF(Table_Summary[[#This Row],[Stock Quantity]] = 0, SUMIF(Table_Option_Log[Stock], Table_Summary[[#This Row],[Stock]], Table_Option_Log[Stock Value]), 0)</f>
        <v>9</v>
      </c>
      <c r="F5" s="25" cm="1">
        <f t="array" ref="F5">SUM(SUMIFS(Table_Option_Log[Fee], Table_Option_Log[Stock], Table_Summary[[#This Row],[Stock]], Table_Option_Log[Code], {"SP","BP","SC","BC"}))</f>
        <v>0.52239999999999998</v>
      </c>
      <c r="G5" s="6">
        <f>Table_Summary[[#This Row],[Revenue]]-Table_Summary[[#This Row],[Fee]]</f>
        <v>8.4776000000000007</v>
      </c>
      <c r="I5" s="26" t="s">
        <v>47</v>
      </c>
      <c r="J5" s="27">
        <f>SUM(Table_Summary[Profit])-J4</f>
        <v>2155.2296750000005</v>
      </c>
    </row>
    <row r="6" spans="1:10" x14ac:dyDescent="0.3">
      <c r="A6" s="1" t="s">
        <v>99</v>
      </c>
      <c r="B6" s="1">
        <f>SUMIF(Table_Option_Log[Stock], Table_Summary[[#This Row],[Stock]], Table_Option_Log[Stock Quantity])</f>
        <v>0</v>
      </c>
      <c r="C6" s="6">
        <f>IF(Table_Summary[[#This Row],[Stock Quantity]]=0, 0, (-SUMIF(Table_Option_Log[Stock], Table_Summary[[#This Row],[Stock]], Table_Option_Log[Stock Value])-Table_Summary[[#This Row],[Revenue]])/Table_Summary[[#This Row],[Stock Quantity]])</f>
        <v>0</v>
      </c>
      <c r="D6" s="6">
        <f>IF(Table_Summary[[#This Row],[Stock Quantity]]=0, 0, (-SUMIF(Table_Option_Log[Stock], Table_Summary[[#This Row],[Stock]], Table_Option_Log[Stock Value])-Table_Summary[[#This Row],[Revenue]]-Table_Summary[[#This Row],[Fee]])/Table_Summary[[#This Row],[Stock Quantity]])</f>
        <v>0</v>
      </c>
      <c r="E6" s="6" cm="1">
        <f t="array" ref="E6">SUM(SUMIFS(Table_Option_Log[Revenue], Table_Option_Log[Stock], Table_Summary[[#This Row],[Stock]], Table_Option_Log[Code], {"SP","BP","SC","BC"})) + IF(Table_Summary[[#This Row],[Stock Quantity]] = 0, SUMIF(Table_Option_Log[Stock], Table_Summary[[#This Row],[Stock]], Table_Option_Log[Stock Value]), 0)</f>
        <v>1813</v>
      </c>
      <c r="F6" s="25" cm="1">
        <f t="array" ref="F6">SUM(SUMIFS(Table_Option_Log[Fee], Table_Option_Log[Stock], Table_Summary[[#This Row],[Stock]], Table_Option_Log[Code], {"SP","BP","SC","BC"}))</f>
        <v>180.85672499999998</v>
      </c>
      <c r="G6" s="6">
        <f>Table_Summary[[#This Row],[Revenue]]-Table_Summary[[#This Row],[Fee]]</f>
        <v>1632.1432749999999</v>
      </c>
    </row>
    <row r="7" spans="1:10" x14ac:dyDescent="0.3">
      <c r="A7" s="1" t="s">
        <v>33</v>
      </c>
      <c r="B7" s="1">
        <f>SUMIF(Table_Option_Log[Stock], Table_Summary[[#This Row],[Stock]], Table_Option_Log[Stock Quantity])</f>
        <v>0</v>
      </c>
      <c r="C7" s="6">
        <f>IF(Table_Summary[[#This Row],[Stock Quantity]]=0, 0, (-SUMIF(Table_Option_Log[Stock], Table_Summary[[#This Row],[Stock]], Table_Option_Log[Stock Value])-Table_Summary[[#This Row],[Revenue]])/Table_Summary[[#This Row],[Stock Quantity]])</f>
        <v>0</v>
      </c>
      <c r="D7" s="6">
        <f>IF(Table_Summary[[#This Row],[Stock Quantity]]=0, 0, (-SUMIF(Table_Option_Log[Stock], Table_Summary[[#This Row],[Stock]], Table_Option_Log[Stock Value])-Table_Summary[[#This Row],[Revenue]]-Table_Summary[[#This Row],[Fee]])/Table_Summary[[#This Row],[Stock Quantity]])</f>
        <v>0</v>
      </c>
      <c r="E7" s="6" cm="1">
        <f t="array" ref="E7">SUM(SUMIFS(Table_Option_Log[Revenue], Table_Option_Log[Stock], Table_Summary[[#This Row],[Stock]], Table_Option_Log[Code], {"SP","BP","SC","BC"})) + IF(Table_Summary[[#This Row],[Stock Quantity]] = 0, SUMIF(Table_Option_Log[Stock], Table_Summary[[#This Row],[Stock]], Table_Option_Log[Stock Value]), 0)</f>
        <v>-2170</v>
      </c>
      <c r="F7" s="25" cm="1">
        <f t="array" ref="F7">SUM(SUMIFS(Table_Option_Log[Fee], Table_Option_Log[Stock], Table_Summary[[#This Row],[Stock]], Table_Option_Log[Code], {"SP","BP","SC","BC"}))</f>
        <v>62.966200000000001</v>
      </c>
      <c r="G7" s="6">
        <f>Table_Summary[[#This Row],[Revenue]]-Table_Summary[[#This Row],[Fee]]</f>
        <v>-2232.9661999999998</v>
      </c>
      <c r="I7" s="44" t="s">
        <v>71</v>
      </c>
      <c r="J7" s="47">
        <v>44890</v>
      </c>
    </row>
    <row r="8" spans="1:10" x14ac:dyDescent="0.3">
      <c r="A8" s="1" t="s">
        <v>69</v>
      </c>
      <c r="B8" s="22">
        <f>SUMIF(Table_Option_Log[Stock], Table_Summary[[#This Row],[Stock]], Table_Option_Log[Stock Quantity])</f>
        <v>0</v>
      </c>
      <c r="C8" s="6">
        <f>IF(Table_Summary[[#This Row],[Stock Quantity]]=0, 0, (-SUMIF(Table_Option_Log[Stock], Table_Summary[[#This Row],[Stock]], Table_Option_Log[Stock Value])-Table_Summary[[#This Row],[Revenue]])/Table_Summary[[#This Row],[Stock Quantity]])</f>
        <v>0</v>
      </c>
      <c r="D8" s="6">
        <f>IF(Table_Summary[[#This Row],[Stock Quantity]]=0, 0, (-SUMIF(Table_Option_Log[Stock], Table_Summary[[#This Row],[Stock]], Table_Option_Log[Stock Value])-Table_Summary[[#This Row],[Revenue]]-Table_Summary[[#This Row],[Fee]])/Table_Summary[[#This Row],[Stock Quantity]])</f>
        <v>0</v>
      </c>
      <c r="E8" s="6" cm="1">
        <f t="array" ref="E8">SUM(SUMIFS(Table_Option_Log[Revenue], Table_Option_Log[Stock], Table_Summary[[#This Row],[Stock]], Table_Option_Log[Code], {"SP","BP","SC","BC"})) + IF(Table_Summary[[#This Row],[Stock Quantity]] = 0, SUMIF(Table_Option_Log[Stock], Table_Summary[[#This Row],[Stock]], Table_Option_Log[Stock Value]), 0)</f>
        <v>-52</v>
      </c>
      <c r="F8" s="25" cm="1">
        <f t="array" ref="F8">SUM(SUMIFS(Table_Option_Log[Fee], Table_Option_Log[Stock], Table_Summary[[#This Row],[Stock]], Table_Option_Log[Code], {"SP","BP","SC","BC"}))</f>
        <v>4.0944000000000003</v>
      </c>
      <c r="G8" s="6">
        <f>Table_Summary[[#This Row],[Revenue]]-Table_Summary[[#This Row],[Fee]]</f>
        <v>-56.0944</v>
      </c>
      <c r="I8" s="26" t="s">
        <v>78</v>
      </c>
      <c r="J8" s="47">
        <f ca="1">TODAY()</f>
        <v>45141</v>
      </c>
    </row>
    <row r="9" spans="1:10" x14ac:dyDescent="0.3">
      <c r="I9" s="44" t="s">
        <v>79</v>
      </c>
      <c r="J9" s="46">
        <f ca="1">J8-J7</f>
        <v>251</v>
      </c>
    </row>
    <row r="10" spans="1:10" x14ac:dyDescent="0.3">
      <c r="I10" s="44" t="s">
        <v>87</v>
      </c>
      <c r="J10" s="45">
        <f ca="1">J9/30</f>
        <v>8.3666666666666671</v>
      </c>
    </row>
    <row r="12" spans="1:10" x14ac:dyDescent="0.3">
      <c r="I12" s="44" t="s">
        <v>71</v>
      </c>
      <c r="J12" s="47">
        <v>44890</v>
      </c>
    </row>
    <row r="13" spans="1:10" x14ac:dyDescent="0.3">
      <c r="C13" s="6">
        <f>J5+250*20+12252</f>
        <v>19407.229675000002</v>
      </c>
      <c r="I13" s="26" t="s">
        <v>86</v>
      </c>
      <c r="J13" s="47">
        <v>44995</v>
      </c>
    </row>
    <row r="14" spans="1:10" x14ac:dyDescent="0.3">
      <c r="I14" s="44" t="s">
        <v>79</v>
      </c>
      <c r="J14" s="46">
        <f>J13-J12</f>
        <v>105</v>
      </c>
    </row>
    <row r="15" spans="1:10" x14ac:dyDescent="0.3">
      <c r="I15" s="44" t="s">
        <v>87</v>
      </c>
      <c r="J15" s="45">
        <f>J14/30</f>
        <v>3.5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97AF-AEFF-4604-80DD-FD05AA3D2C3C}">
  <dimension ref="B2:L15"/>
  <sheetViews>
    <sheetView showGridLines="0" workbookViewId="0">
      <selection activeCell="C2" sqref="C2"/>
    </sheetView>
  </sheetViews>
  <sheetFormatPr defaultRowHeight="14.4" x14ac:dyDescent="0.3"/>
  <cols>
    <col min="1" max="1" width="3.77734375" customWidth="1"/>
    <col min="2" max="2" width="12.77734375" customWidth="1"/>
    <col min="3" max="3" width="15.77734375" customWidth="1"/>
    <col min="4" max="4" width="3.77734375" customWidth="1"/>
    <col min="5" max="5" width="12.77734375" customWidth="1"/>
    <col min="6" max="6" width="15.77734375" customWidth="1"/>
    <col min="7" max="7" width="3.77734375" customWidth="1"/>
    <col min="9" max="9" width="15.6640625" bestFit="1" customWidth="1"/>
    <col min="10" max="10" width="23.109375" bestFit="1" customWidth="1"/>
    <col min="11" max="11" width="13.6640625" bestFit="1" customWidth="1"/>
    <col min="12" max="12" width="20.5546875" bestFit="1" customWidth="1"/>
  </cols>
  <sheetData>
    <row r="2" spans="2:12" x14ac:dyDescent="0.3">
      <c r="B2" s="31" t="s">
        <v>62</v>
      </c>
      <c r="C2" s="33">
        <v>1.5</v>
      </c>
      <c r="D2" s="7"/>
      <c r="E2" s="31" t="s">
        <v>62</v>
      </c>
      <c r="F2" s="33">
        <f>(1/2/0.3*0.02)*(12*F3)</f>
        <v>0.27999999999999997</v>
      </c>
      <c r="H2" s="27">
        <v>1</v>
      </c>
      <c r="I2" s="42">
        <v>14500</v>
      </c>
      <c r="J2" s="30"/>
    </row>
    <row r="3" spans="2:12" x14ac:dyDescent="0.3">
      <c r="B3" s="35" t="s">
        <v>63</v>
      </c>
      <c r="C3" s="37">
        <v>1</v>
      </c>
      <c r="D3" s="7"/>
      <c r="E3" s="35" t="s">
        <v>63</v>
      </c>
      <c r="F3" s="37">
        <v>0.7</v>
      </c>
      <c r="H3" s="29"/>
      <c r="J3" s="30"/>
    </row>
    <row r="4" spans="2:12" x14ac:dyDescent="0.3">
      <c r="B4" s="36"/>
      <c r="C4" s="41"/>
      <c r="E4" s="36"/>
      <c r="F4" s="41"/>
      <c r="H4" s="39" t="s">
        <v>64</v>
      </c>
      <c r="I4" s="34" t="s">
        <v>66</v>
      </c>
      <c r="J4" s="34" t="s">
        <v>66</v>
      </c>
      <c r="K4" s="34" t="s">
        <v>65</v>
      </c>
      <c r="L4" s="34" t="s">
        <v>65</v>
      </c>
    </row>
    <row r="5" spans="2:12" x14ac:dyDescent="0.3">
      <c r="B5" s="40" t="s">
        <v>60</v>
      </c>
      <c r="C5" s="38">
        <v>15000</v>
      </c>
      <c r="E5" s="40" t="s">
        <v>61</v>
      </c>
      <c r="F5" s="38">
        <v>55000</v>
      </c>
      <c r="H5" s="39">
        <v>27</v>
      </c>
      <c r="I5" s="32">
        <f>C5+F5</f>
        <v>70000</v>
      </c>
      <c r="J5" s="42">
        <f>I5*$I$2</f>
        <v>1015000000</v>
      </c>
      <c r="K5" s="32">
        <f>I5*0.02</f>
        <v>1400</v>
      </c>
      <c r="L5" s="42">
        <f>J5*0.02</f>
        <v>20300000</v>
      </c>
    </row>
    <row r="6" spans="2:12" x14ac:dyDescent="0.3">
      <c r="B6" s="34">
        <v>1</v>
      </c>
      <c r="C6" s="32">
        <f>C5*$C$2*C3+C5</f>
        <v>37500</v>
      </c>
      <c r="E6" s="34">
        <v>1</v>
      </c>
      <c r="F6" s="32">
        <f t="shared" ref="F6:F15" si="0">F5*$F$2+F5</f>
        <v>70400</v>
      </c>
      <c r="H6" s="39">
        <f>H5+1</f>
        <v>28</v>
      </c>
      <c r="I6" s="32">
        <f>C6+F6</f>
        <v>107900</v>
      </c>
      <c r="J6" s="42">
        <f t="shared" ref="J6:J15" si="1">I6*$I$2</f>
        <v>1564550000</v>
      </c>
      <c r="K6" s="32">
        <f t="shared" ref="K6:K15" si="2">I6*0.02</f>
        <v>2158</v>
      </c>
      <c r="L6" s="42">
        <f t="shared" ref="L6:L15" si="3">J6*0.02</f>
        <v>31291000</v>
      </c>
    </row>
    <row r="7" spans="2:12" x14ac:dyDescent="0.3">
      <c r="B7" s="34">
        <v>2</v>
      </c>
      <c r="C7" s="32">
        <f>C6*$C$2*$C$3+C6</f>
        <v>93750</v>
      </c>
      <c r="E7" s="34">
        <v>2</v>
      </c>
      <c r="F7" s="32">
        <f t="shared" si="0"/>
        <v>90112</v>
      </c>
      <c r="H7" s="39">
        <f>H6+1</f>
        <v>29</v>
      </c>
      <c r="I7" s="32">
        <f>C7+F7</f>
        <v>183862</v>
      </c>
      <c r="J7" s="42">
        <f t="shared" si="1"/>
        <v>2665999000</v>
      </c>
      <c r="K7" s="32">
        <f t="shared" si="2"/>
        <v>3677.2400000000002</v>
      </c>
      <c r="L7" s="42">
        <f t="shared" si="3"/>
        <v>53319980</v>
      </c>
    </row>
    <row r="8" spans="2:12" x14ac:dyDescent="0.3">
      <c r="B8" s="34">
        <v>3</v>
      </c>
      <c r="C8" s="32">
        <f t="shared" ref="C8:C15" si="4">C7*$C$2*$C$3+C7</f>
        <v>234375</v>
      </c>
      <c r="E8" s="34">
        <v>3</v>
      </c>
      <c r="F8" s="32">
        <f t="shared" si="0"/>
        <v>115343.36</v>
      </c>
      <c r="H8" s="39">
        <f t="shared" ref="H8:H15" si="5">H7+1</f>
        <v>30</v>
      </c>
      <c r="I8" s="32">
        <f t="shared" ref="I8:I15" si="6">C8+F8</f>
        <v>349718.36</v>
      </c>
      <c r="J8" s="42">
        <f t="shared" si="1"/>
        <v>5070916220</v>
      </c>
      <c r="K8" s="32">
        <f t="shared" si="2"/>
        <v>6994.3671999999997</v>
      </c>
      <c r="L8" s="42">
        <f t="shared" si="3"/>
        <v>101418324.40000001</v>
      </c>
    </row>
    <row r="9" spans="2:12" x14ac:dyDescent="0.3">
      <c r="B9" s="34">
        <v>4</v>
      </c>
      <c r="C9" s="32">
        <f t="shared" si="4"/>
        <v>585937.5</v>
      </c>
      <c r="E9" s="34">
        <v>4</v>
      </c>
      <c r="F9" s="32">
        <f t="shared" si="0"/>
        <v>147639.50080000001</v>
      </c>
      <c r="H9" s="39">
        <f t="shared" si="5"/>
        <v>31</v>
      </c>
      <c r="I9" s="32">
        <f t="shared" si="6"/>
        <v>733577.00080000004</v>
      </c>
      <c r="J9" s="42">
        <f t="shared" si="1"/>
        <v>10636866511.6</v>
      </c>
      <c r="K9" s="32">
        <f t="shared" si="2"/>
        <v>14671.540016000001</v>
      </c>
      <c r="L9" s="42">
        <f t="shared" si="3"/>
        <v>212737330.23200002</v>
      </c>
    </row>
    <row r="10" spans="2:12" x14ac:dyDescent="0.3">
      <c r="B10" s="34">
        <v>5</v>
      </c>
      <c r="C10" s="32">
        <f t="shared" si="4"/>
        <v>1464843.75</v>
      </c>
      <c r="E10" s="34">
        <v>5</v>
      </c>
      <c r="F10" s="32">
        <f t="shared" si="0"/>
        <v>188978.561024</v>
      </c>
      <c r="H10" s="39">
        <f t="shared" si="5"/>
        <v>32</v>
      </c>
      <c r="I10" s="32">
        <f t="shared" si="6"/>
        <v>1653822.3110239999</v>
      </c>
      <c r="J10" s="42">
        <f t="shared" si="1"/>
        <v>23980423509.848</v>
      </c>
      <c r="K10" s="32">
        <f t="shared" si="2"/>
        <v>33076.44622048</v>
      </c>
      <c r="L10" s="42">
        <f t="shared" si="3"/>
        <v>479608470.19695997</v>
      </c>
    </row>
    <row r="11" spans="2:12" x14ac:dyDescent="0.3">
      <c r="B11" s="34">
        <v>6</v>
      </c>
      <c r="C11" s="32">
        <f t="shared" si="4"/>
        <v>3662109.375</v>
      </c>
      <c r="E11" s="34">
        <v>6</v>
      </c>
      <c r="F11" s="32">
        <f t="shared" si="0"/>
        <v>241892.55811071998</v>
      </c>
      <c r="H11" s="39">
        <f t="shared" si="5"/>
        <v>33</v>
      </c>
      <c r="I11" s="32">
        <f t="shared" si="6"/>
        <v>3904001.93311072</v>
      </c>
      <c r="J11" s="42">
        <f t="shared" si="1"/>
        <v>56608028030.105438</v>
      </c>
      <c r="K11" s="32">
        <f t="shared" si="2"/>
        <v>78080.0386622144</v>
      </c>
      <c r="L11" s="42">
        <f t="shared" si="3"/>
        <v>1132160560.6021087</v>
      </c>
    </row>
    <row r="12" spans="2:12" x14ac:dyDescent="0.3">
      <c r="B12" s="34">
        <v>7</v>
      </c>
      <c r="C12" s="32">
        <f t="shared" si="4"/>
        <v>9155273.4375</v>
      </c>
      <c r="E12" s="34">
        <v>7</v>
      </c>
      <c r="F12" s="32">
        <f t="shared" si="0"/>
        <v>309622.47438172158</v>
      </c>
      <c r="H12" s="39">
        <f t="shared" si="5"/>
        <v>34</v>
      </c>
      <c r="I12" s="32">
        <f t="shared" si="6"/>
        <v>9464895.9118817225</v>
      </c>
      <c r="J12" s="42">
        <f t="shared" si="1"/>
        <v>137240990722.28497</v>
      </c>
      <c r="K12" s="32">
        <f t="shared" si="2"/>
        <v>189297.91823763444</v>
      </c>
      <c r="L12" s="42">
        <f t="shared" si="3"/>
        <v>2744819814.4456997</v>
      </c>
    </row>
    <row r="13" spans="2:12" x14ac:dyDescent="0.3">
      <c r="B13" s="34">
        <v>8</v>
      </c>
      <c r="C13" s="32">
        <f t="shared" si="4"/>
        <v>22888183.59375</v>
      </c>
      <c r="E13" s="34">
        <v>8</v>
      </c>
      <c r="F13" s="32">
        <f t="shared" si="0"/>
        <v>396316.76720860362</v>
      </c>
      <c r="H13" s="39">
        <f t="shared" si="5"/>
        <v>35</v>
      </c>
      <c r="I13" s="32">
        <f t="shared" si="6"/>
        <v>23284500.360958602</v>
      </c>
      <c r="J13" s="42">
        <f t="shared" si="1"/>
        <v>337625255233.89972</v>
      </c>
      <c r="K13" s="32">
        <f t="shared" si="2"/>
        <v>465690.00721917208</v>
      </c>
      <c r="L13" s="42">
        <f t="shared" si="3"/>
        <v>6752505104.6779947</v>
      </c>
    </row>
    <row r="14" spans="2:12" x14ac:dyDescent="0.3">
      <c r="B14" s="34">
        <v>9</v>
      </c>
      <c r="C14" s="32">
        <f t="shared" si="4"/>
        <v>57220458.984375</v>
      </c>
      <c r="E14" s="34">
        <v>9</v>
      </c>
      <c r="F14" s="32">
        <f t="shared" si="0"/>
        <v>507285.4620270126</v>
      </c>
      <c r="H14" s="39">
        <f t="shared" si="5"/>
        <v>36</v>
      </c>
      <c r="I14" s="32">
        <f t="shared" si="6"/>
        <v>57727744.446402013</v>
      </c>
      <c r="J14" s="42">
        <f t="shared" si="1"/>
        <v>837052294472.82922</v>
      </c>
      <c r="K14" s="32">
        <f t="shared" si="2"/>
        <v>1154554.8889280404</v>
      </c>
      <c r="L14" s="42">
        <f t="shared" si="3"/>
        <v>16741045889.456585</v>
      </c>
    </row>
    <row r="15" spans="2:12" x14ac:dyDescent="0.3">
      <c r="B15" s="34">
        <v>10</v>
      </c>
      <c r="C15" s="32">
        <f t="shared" si="4"/>
        <v>143051147.4609375</v>
      </c>
      <c r="E15" s="34">
        <v>10</v>
      </c>
      <c r="F15" s="32">
        <f t="shared" si="0"/>
        <v>649325.39139457606</v>
      </c>
      <c r="H15" s="39">
        <f t="shared" si="5"/>
        <v>37</v>
      </c>
      <c r="I15" s="32">
        <f t="shared" si="6"/>
        <v>143700472.85233209</v>
      </c>
      <c r="J15" s="42">
        <f t="shared" si="1"/>
        <v>2083656856358.8152</v>
      </c>
      <c r="K15" s="32">
        <f t="shared" si="2"/>
        <v>2874009.457046642</v>
      </c>
      <c r="L15" s="42">
        <f t="shared" si="3"/>
        <v>41673137127.176308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DECA-A492-4333-8693-5A2519F4A8B3}">
  <dimension ref="A1:B14"/>
  <sheetViews>
    <sheetView showGridLines="0" workbookViewId="0">
      <selection activeCell="A15" sqref="A15"/>
    </sheetView>
  </sheetViews>
  <sheetFormatPr defaultRowHeight="14.4" x14ac:dyDescent="0.3"/>
  <cols>
    <col min="1" max="1" width="11.5546875" style="1" customWidth="1"/>
    <col min="2" max="2" width="13.88671875" bestFit="1" customWidth="1"/>
  </cols>
  <sheetData>
    <row r="1" spans="1:2" x14ac:dyDescent="0.3">
      <c r="A1" s="1" t="s">
        <v>39</v>
      </c>
      <c r="B1" s="1" t="s">
        <v>6</v>
      </c>
    </row>
    <row r="2" spans="1:2" x14ac:dyDescent="0.3">
      <c r="A2" s="1" t="s">
        <v>49</v>
      </c>
      <c r="B2" s="20" t="s">
        <v>7</v>
      </c>
    </row>
    <row r="3" spans="1:2" x14ac:dyDescent="0.3">
      <c r="A3" s="1" t="s">
        <v>50</v>
      </c>
      <c r="B3" s="20" t="s">
        <v>8</v>
      </c>
    </row>
    <row r="4" spans="1:2" x14ac:dyDescent="0.3">
      <c r="A4" s="1" t="s">
        <v>40</v>
      </c>
      <c r="B4" s="20" t="s">
        <v>24</v>
      </c>
    </row>
    <row r="5" spans="1:2" x14ac:dyDescent="0.3">
      <c r="A5" s="1" t="s">
        <v>41</v>
      </c>
      <c r="B5" s="20" t="s">
        <v>38</v>
      </c>
    </row>
    <row r="6" spans="1:2" x14ac:dyDescent="0.3">
      <c r="A6" s="1" t="s">
        <v>51</v>
      </c>
      <c r="B6" s="20" t="s">
        <v>28</v>
      </c>
    </row>
    <row r="7" spans="1:2" x14ac:dyDescent="0.3">
      <c r="A7" s="1" t="s">
        <v>52</v>
      </c>
      <c r="B7" s="20" t="s">
        <v>36</v>
      </c>
    </row>
    <row r="8" spans="1:2" x14ac:dyDescent="0.3">
      <c r="A8" s="1" t="s">
        <v>80</v>
      </c>
      <c r="B8" s="20" t="s">
        <v>54</v>
      </c>
    </row>
    <row r="9" spans="1:2" x14ac:dyDescent="0.3">
      <c r="A9" s="1" t="s">
        <v>81</v>
      </c>
      <c r="B9" s="20" t="s">
        <v>55</v>
      </c>
    </row>
    <row r="10" spans="1:2" x14ac:dyDescent="0.3">
      <c r="A10" s="1" t="s">
        <v>82</v>
      </c>
      <c r="B10" s="20" t="s">
        <v>56</v>
      </c>
    </row>
    <row r="11" spans="1:2" x14ac:dyDescent="0.3">
      <c r="A11" s="1" t="s">
        <v>83</v>
      </c>
      <c r="B11" s="20" t="s">
        <v>57</v>
      </c>
    </row>
    <row r="12" spans="1:2" x14ac:dyDescent="0.3">
      <c r="A12" s="1" t="s">
        <v>84</v>
      </c>
      <c r="B12" s="20" t="s">
        <v>58</v>
      </c>
    </row>
    <row r="13" spans="1:2" x14ac:dyDescent="0.3">
      <c r="A13" s="1" t="s">
        <v>85</v>
      </c>
      <c r="B13" s="20" t="s">
        <v>59</v>
      </c>
    </row>
    <row r="14" spans="1:2" x14ac:dyDescent="0.3">
      <c r="A14" s="1" t="s">
        <v>90</v>
      </c>
      <c r="B14" s="20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B098-23FE-47B9-8255-4B2A8FCBADC3}">
  <dimension ref="A1:K65"/>
  <sheetViews>
    <sheetView topLeftCell="A16" zoomScale="85" zoomScaleNormal="85" workbookViewId="0">
      <selection activeCell="H29" sqref="H29"/>
    </sheetView>
  </sheetViews>
  <sheetFormatPr defaultRowHeight="14.4" x14ac:dyDescent="0.3"/>
  <cols>
    <col min="1" max="1" width="10.5546875" style="1" bestFit="1" customWidth="1"/>
    <col min="2" max="2" width="12.6640625" style="6" customWidth="1"/>
    <col min="4" max="4" width="16.21875" style="8" bestFit="1" customWidth="1"/>
    <col min="5" max="5" width="13.88671875" customWidth="1"/>
    <col min="6" max="6" width="10.109375" bestFit="1" customWidth="1"/>
    <col min="7" max="7" width="10.109375" customWidth="1"/>
    <col min="8" max="8" width="16.21875" bestFit="1" customWidth="1"/>
    <col min="9" max="9" width="12.21875" bestFit="1" customWidth="1"/>
    <col min="11" max="11" width="11.6640625" bestFit="1" customWidth="1"/>
  </cols>
  <sheetData>
    <row r="1" spans="1:9" ht="15" thickBot="1" x14ac:dyDescent="0.35">
      <c r="A1" s="1" t="s">
        <v>1</v>
      </c>
      <c r="B1" s="1" t="s">
        <v>12</v>
      </c>
      <c r="D1" s="10" t="s">
        <v>1</v>
      </c>
      <c r="E1" s="11" t="s">
        <v>12</v>
      </c>
      <c r="F1" s="13" t="s">
        <v>0</v>
      </c>
      <c r="G1" s="12"/>
      <c r="H1" s="8" t="s">
        <v>13</v>
      </c>
      <c r="I1" s="7">
        <f>SUM(Table2[Total])</f>
        <v>21115.29</v>
      </c>
    </row>
    <row r="2" spans="1:9" ht="15" thickTop="1" x14ac:dyDescent="0.3">
      <c r="A2" s="2">
        <v>44523</v>
      </c>
      <c r="B2" s="6">
        <v>6000</v>
      </c>
      <c r="D2" s="2">
        <v>44529</v>
      </c>
      <c r="E2" s="6">
        <v>-101521.53</v>
      </c>
      <c r="F2" s="12"/>
      <c r="G2" s="12"/>
      <c r="H2" s="8" t="s">
        <v>16</v>
      </c>
      <c r="I2" s="6">
        <f>SUM(Table3[Total])</f>
        <v>-25089.97999999992</v>
      </c>
    </row>
    <row r="3" spans="1:9" x14ac:dyDescent="0.3">
      <c r="A3" s="2">
        <v>44529</v>
      </c>
      <c r="B3" s="6">
        <v>-880</v>
      </c>
      <c r="D3" s="2">
        <v>44529</v>
      </c>
      <c r="E3" s="6">
        <v>111537.89</v>
      </c>
      <c r="F3" s="12"/>
      <c r="G3" s="12"/>
      <c r="H3" s="8" t="s">
        <v>15</v>
      </c>
      <c r="I3" s="7">
        <f>SUM(I1:I2)</f>
        <v>-3974.6899999999187</v>
      </c>
    </row>
    <row r="4" spans="1:9" x14ac:dyDescent="0.3">
      <c r="A4" s="2">
        <v>44529</v>
      </c>
      <c r="B4" s="6">
        <v>80</v>
      </c>
      <c r="D4" s="2">
        <v>44531</v>
      </c>
      <c r="E4" s="6">
        <v>1004.88</v>
      </c>
      <c r="F4" s="12"/>
      <c r="G4" s="12"/>
      <c r="H4" s="8"/>
    </row>
    <row r="5" spans="1:9" x14ac:dyDescent="0.3">
      <c r="A5" s="2">
        <v>44531</v>
      </c>
      <c r="B5" s="6">
        <v>300</v>
      </c>
      <c r="D5" s="2">
        <v>44531</v>
      </c>
      <c r="E5" s="6">
        <v>-605.09</v>
      </c>
      <c r="F5" s="12"/>
      <c r="G5" s="12"/>
      <c r="H5" s="8" t="s">
        <v>11</v>
      </c>
      <c r="I5" s="7">
        <v>9614.6299999999992</v>
      </c>
    </row>
    <row r="6" spans="1:9" x14ac:dyDescent="0.3">
      <c r="A6" s="2">
        <v>44531</v>
      </c>
      <c r="B6" s="6">
        <v>100</v>
      </c>
      <c r="D6" s="2">
        <v>44550</v>
      </c>
      <c r="E6" s="6">
        <v>-11000</v>
      </c>
      <c r="F6" s="12"/>
      <c r="G6" s="12"/>
      <c r="H6" s="8" t="s">
        <v>14</v>
      </c>
      <c r="I6" s="7">
        <f>I5-I1</f>
        <v>-11500.660000000002</v>
      </c>
    </row>
    <row r="7" spans="1:9" x14ac:dyDescent="0.3">
      <c r="A7" s="2">
        <v>44536</v>
      </c>
      <c r="B7" s="6">
        <v>-1</v>
      </c>
      <c r="D7" s="2">
        <v>44550</v>
      </c>
      <c r="E7" s="6">
        <v>9999.82</v>
      </c>
      <c r="F7" s="12"/>
      <c r="G7" s="12"/>
    </row>
    <row r="8" spans="1:9" x14ac:dyDescent="0.3">
      <c r="A8" s="2">
        <v>44536</v>
      </c>
      <c r="B8" s="6">
        <v>1</v>
      </c>
      <c r="D8" s="2">
        <v>44551</v>
      </c>
      <c r="E8" s="6">
        <v>0.02</v>
      </c>
      <c r="F8" s="12"/>
      <c r="G8" s="12"/>
      <c r="H8" s="9" t="s">
        <v>22</v>
      </c>
      <c r="I8" s="7">
        <f>I6+144.2+605.03+108.03+250-44.48+159</f>
        <v>-10278.879999999999</v>
      </c>
    </row>
    <row r="9" spans="1:9" x14ac:dyDescent="0.3">
      <c r="A9" s="2">
        <v>44536</v>
      </c>
      <c r="B9" s="6">
        <v>49.41</v>
      </c>
      <c r="D9" s="2">
        <v>44575</v>
      </c>
      <c r="E9" s="6">
        <v>152.47999999999999</v>
      </c>
      <c r="F9" s="12"/>
      <c r="G9" s="12"/>
    </row>
    <row r="10" spans="1:9" x14ac:dyDescent="0.3">
      <c r="A10" s="2">
        <v>44537</v>
      </c>
      <c r="B10" s="6">
        <v>-10</v>
      </c>
      <c r="D10" s="2">
        <v>44575</v>
      </c>
      <c r="E10" s="6">
        <v>-724.51</v>
      </c>
      <c r="F10" s="12"/>
      <c r="G10" s="12"/>
    </row>
    <row r="11" spans="1:9" x14ac:dyDescent="0.3">
      <c r="A11" s="2">
        <v>44537</v>
      </c>
      <c r="B11" s="6">
        <v>10</v>
      </c>
      <c r="D11" s="2">
        <v>44587</v>
      </c>
      <c r="E11" s="6">
        <v>0.01</v>
      </c>
      <c r="F11" s="12"/>
      <c r="G11" s="12"/>
    </row>
    <row r="12" spans="1:9" x14ac:dyDescent="0.3">
      <c r="A12" s="2">
        <v>44537</v>
      </c>
      <c r="B12" s="6">
        <v>-15</v>
      </c>
      <c r="D12" s="2">
        <v>44588</v>
      </c>
      <c r="E12" s="6">
        <v>-7.01</v>
      </c>
      <c r="F12" s="12"/>
      <c r="G12" s="12"/>
    </row>
    <row r="13" spans="1:9" x14ac:dyDescent="0.3">
      <c r="A13" s="2">
        <v>44537</v>
      </c>
      <c r="B13" s="6">
        <v>1.36</v>
      </c>
      <c r="D13" s="2">
        <v>44589</v>
      </c>
      <c r="E13" s="6">
        <v>89.48</v>
      </c>
      <c r="F13" s="12"/>
      <c r="G13" s="12"/>
    </row>
    <row r="14" spans="1:9" x14ac:dyDescent="0.3">
      <c r="A14" s="2">
        <v>44537</v>
      </c>
      <c r="B14" s="6">
        <v>-6.05</v>
      </c>
      <c r="D14" s="2">
        <v>44593</v>
      </c>
      <c r="E14" s="6">
        <v>-127.51</v>
      </c>
      <c r="F14" s="12"/>
      <c r="G14" s="12"/>
    </row>
    <row r="15" spans="1:9" x14ac:dyDescent="0.3">
      <c r="A15" s="2">
        <v>44538</v>
      </c>
      <c r="B15" s="6">
        <v>-6.44</v>
      </c>
      <c r="D15" s="2">
        <v>44620</v>
      </c>
      <c r="E15" s="6">
        <v>0.01</v>
      </c>
      <c r="F15" s="12"/>
      <c r="G15" s="12"/>
    </row>
    <row r="16" spans="1:9" x14ac:dyDescent="0.3">
      <c r="A16" s="2">
        <v>44538</v>
      </c>
      <c r="B16" s="6">
        <v>-6.28</v>
      </c>
      <c r="D16" s="2">
        <v>44645</v>
      </c>
      <c r="E16" s="6">
        <v>41.48</v>
      </c>
      <c r="F16" s="12"/>
      <c r="G16" s="12"/>
    </row>
    <row r="17" spans="1:11" x14ac:dyDescent="0.3">
      <c r="A17" s="2">
        <v>44543</v>
      </c>
      <c r="B17" s="6">
        <v>0.18</v>
      </c>
      <c r="D17" s="2">
        <v>44652</v>
      </c>
      <c r="E17" s="6">
        <v>-1.01</v>
      </c>
      <c r="F17" s="12"/>
      <c r="G17" s="12"/>
    </row>
    <row r="18" spans="1:11" x14ac:dyDescent="0.3">
      <c r="A18" s="2">
        <v>44543</v>
      </c>
      <c r="B18" s="6">
        <v>0.25</v>
      </c>
      <c r="D18" s="2">
        <v>44691</v>
      </c>
      <c r="E18" s="6">
        <v>2.48</v>
      </c>
      <c r="F18" s="12"/>
      <c r="G18" s="12"/>
    </row>
    <row r="19" spans="1:11" x14ac:dyDescent="0.3">
      <c r="A19" s="2">
        <v>44543</v>
      </c>
      <c r="B19" s="6">
        <v>-0.43</v>
      </c>
      <c r="D19" s="2">
        <v>44788</v>
      </c>
      <c r="E19" s="6">
        <v>47001.9</v>
      </c>
      <c r="F19" s="12"/>
      <c r="G19" s="12"/>
    </row>
    <row r="20" spans="1:11" x14ac:dyDescent="0.3">
      <c r="A20" s="2">
        <v>44546</v>
      </c>
      <c r="B20" s="6">
        <v>50</v>
      </c>
      <c r="D20" s="2">
        <v>44788</v>
      </c>
      <c r="E20" s="6">
        <v>-40175.019999999997</v>
      </c>
      <c r="F20" s="12"/>
      <c r="G20" s="12"/>
    </row>
    <row r="21" spans="1:11" x14ac:dyDescent="0.3">
      <c r="A21" s="2">
        <v>44546</v>
      </c>
      <c r="B21" s="6">
        <v>305</v>
      </c>
      <c r="D21" s="2">
        <v>44830</v>
      </c>
      <c r="E21" s="6">
        <v>0.01</v>
      </c>
      <c r="F21" s="12"/>
      <c r="G21" s="12"/>
    </row>
    <row r="22" spans="1:11" x14ac:dyDescent="0.3">
      <c r="A22" s="2">
        <v>44550</v>
      </c>
      <c r="B22" s="6">
        <v>-388.15</v>
      </c>
      <c r="D22" s="2">
        <v>44840</v>
      </c>
      <c r="E22" s="6">
        <v>-375003</v>
      </c>
      <c r="F22" s="12"/>
      <c r="G22" s="12"/>
    </row>
    <row r="23" spans="1:11" x14ac:dyDescent="0.3">
      <c r="A23" s="2">
        <v>44571</v>
      </c>
      <c r="B23" s="6">
        <v>1.56</v>
      </c>
      <c r="D23" s="2">
        <v>44840</v>
      </c>
      <c r="E23" s="6">
        <v>73183.28</v>
      </c>
      <c r="F23" s="12"/>
      <c r="G23" s="12"/>
    </row>
    <row r="24" spans="1:11" x14ac:dyDescent="0.3">
      <c r="A24" s="2">
        <v>44573</v>
      </c>
      <c r="B24" s="6">
        <v>500</v>
      </c>
      <c r="D24" s="2">
        <v>44840</v>
      </c>
      <c r="E24" s="6">
        <v>46863.38</v>
      </c>
      <c r="F24" s="12"/>
      <c r="G24" s="12"/>
    </row>
    <row r="25" spans="1:11" x14ac:dyDescent="0.3">
      <c r="A25" s="2">
        <v>44573</v>
      </c>
      <c r="B25" s="6">
        <v>100</v>
      </c>
      <c r="D25" s="2">
        <v>44840</v>
      </c>
      <c r="E25" s="6">
        <v>65095.43</v>
      </c>
      <c r="F25" s="12"/>
      <c r="G25" s="12"/>
    </row>
    <row r="26" spans="1:11" x14ac:dyDescent="0.3">
      <c r="A26" s="2">
        <v>44588</v>
      </c>
      <c r="B26" s="6">
        <v>500</v>
      </c>
      <c r="D26" s="2">
        <v>44840</v>
      </c>
      <c r="E26" s="6">
        <v>146162.57</v>
      </c>
      <c r="F26" s="12"/>
      <c r="G26" s="12"/>
      <c r="H26" s="7"/>
    </row>
    <row r="27" spans="1:11" x14ac:dyDescent="0.3">
      <c r="A27" s="2">
        <v>44599</v>
      </c>
      <c r="B27" s="6">
        <v>500</v>
      </c>
      <c r="D27" s="2">
        <v>44840</v>
      </c>
      <c r="E27" s="6">
        <v>93894.77</v>
      </c>
      <c r="F27" s="12"/>
      <c r="G27" s="12"/>
      <c r="H27" s="7"/>
    </row>
    <row r="28" spans="1:11" x14ac:dyDescent="0.3">
      <c r="A28" s="2">
        <v>44599</v>
      </c>
      <c r="B28" s="6">
        <v>-100</v>
      </c>
      <c r="D28" s="2">
        <v>44840</v>
      </c>
      <c r="E28" s="6">
        <v>-74475.06</v>
      </c>
      <c r="F28" s="12"/>
      <c r="G28" s="12"/>
      <c r="H28" s="17">
        <f>SUM(B2:B31)</f>
        <v>10000</v>
      </c>
    </row>
    <row r="29" spans="1:11" x14ac:dyDescent="0.3">
      <c r="A29" s="2">
        <v>44607</v>
      </c>
      <c r="B29" s="6">
        <v>-585.41</v>
      </c>
      <c r="D29" s="2">
        <v>44860</v>
      </c>
      <c r="E29" s="6">
        <v>0.01</v>
      </c>
      <c r="F29" s="12"/>
      <c r="G29" s="12"/>
      <c r="H29" s="17">
        <f>SUM(E2:E30)</f>
        <v>-8862.9099999999326</v>
      </c>
    </row>
    <row r="30" spans="1:11" x14ac:dyDescent="0.3">
      <c r="A30" s="2">
        <v>44607</v>
      </c>
      <c r="B30" s="6">
        <v>-250</v>
      </c>
      <c r="D30" s="14">
        <v>44860</v>
      </c>
      <c r="E30" s="15">
        <v>-253.07</v>
      </c>
      <c r="F30" s="16"/>
      <c r="G30" s="12"/>
      <c r="H30" s="17">
        <f>H28+H29</f>
        <v>1137.0900000000674</v>
      </c>
      <c r="I30" s="18">
        <v>44860</v>
      </c>
    </row>
    <row r="31" spans="1:11" x14ac:dyDescent="0.3">
      <c r="A31" s="14">
        <v>44788</v>
      </c>
      <c r="B31" s="15">
        <v>3750</v>
      </c>
      <c r="D31" s="2">
        <v>44868</v>
      </c>
      <c r="E31" s="6">
        <v>-1395.4</v>
      </c>
      <c r="F31" s="12" t="s">
        <v>19</v>
      </c>
      <c r="G31" s="12"/>
      <c r="H31" s="19">
        <f>H30+SUM(B32:B47)</f>
        <v>12252.380000000068</v>
      </c>
      <c r="I31" s="7">
        <f>SUM(E31:E65)-E31-E32-E40</f>
        <v>1131.7299999999959</v>
      </c>
      <c r="K31" s="7">
        <f>H31+I31+1200+200</f>
        <v>14784.110000000064</v>
      </c>
    </row>
    <row r="32" spans="1:11" x14ac:dyDescent="0.3">
      <c r="A32" s="2">
        <v>44868</v>
      </c>
      <c r="B32" s="6">
        <v>300</v>
      </c>
      <c r="D32" s="2">
        <v>44869</v>
      </c>
      <c r="E32" s="6">
        <v>-1363.4</v>
      </c>
      <c r="F32" s="12" t="s">
        <v>19</v>
      </c>
      <c r="G32" s="12"/>
      <c r="H32" s="7">
        <f>H31+24*1084.92+600*10+5500+2300+1084.92*10+800*5+5500</f>
        <v>72439.660000000076</v>
      </c>
    </row>
    <row r="33" spans="1:8" x14ac:dyDescent="0.3">
      <c r="A33" s="2">
        <v>44869</v>
      </c>
      <c r="B33" s="6">
        <v>1400</v>
      </c>
      <c r="D33" s="2">
        <v>44875</v>
      </c>
      <c r="E33" s="6">
        <v>2.2999999999999998</v>
      </c>
      <c r="F33" s="12"/>
      <c r="G33" s="12"/>
      <c r="H33" s="7"/>
    </row>
    <row r="34" spans="1:8" x14ac:dyDescent="0.3">
      <c r="A34" s="2">
        <v>44890</v>
      </c>
      <c r="B34" s="6">
        <v>4000</v>
      </c>
      <c r="D34" s="2">
        <v>44890</v>
      </c>
      <c r="E34" s="6">
        <v>9.48</v>
      </c>
      <c r="F34" s="12" t="s">
        <v>20</v>
      </c>
      <c r="G34" s="12"/>
    </row>
    <row r="35" spans="1:8" x14ac:dyDescent="0.3">
      <c r="A35" s="2">
        <v>44896</v>
      </c>
      <c r="B35" s="6">
        <v>-4184.54</v>
      </c>
      <c r="D35" s="2">
        <v>44890</v>
      </c>
      <c r="E35" s="6">
        <v>101.48</v>
      </c>
      <c r="F35" s="12" t="s">
        <v>20</v>
      </c>
      <c r="G35" s="12"/>
      <c r="H35" s="7"/>
    </row>
    <row r="36" spans="1:8" x14ac:dyDescent="0.3">
      <c r="A36" s="2">
        <v>44896</v>
      </c>
      <c r="B36" s="6">
        <v>1</v>
      </c>
      <c r="D36" s="2">
        <v>44893</v>
      </c>
      <c r="E36" s="6">
        <v>0.01</v>
      </c>
      <c r="F36" s="12"/>
      <c r="G36" s="12"/>
    </row>
    <row r="37" spans="1:8" x14ac:dyDescent="0.3">
      <c r="A37" s="2">
        <v>44896</v>
      </c>
      <c r="B37" s="6">
        <v>1</v>
      </c>
      <c r="D37" s="2">
        <v>44896</v>
      </c>
      <c r="E37" s="6">
        <v>-6.01</v>
      </c>
      <c r="F37" s="12" t="s">
        <v>20</v>
      </c>
      <c r="G37" s="12"/>
      <c r="H37" s="7">
        <f>H31+2642-25.75-86.8+1084*24+600*10+5500+1084*10+5500+1000*5</f>
        <v>73637.830000000075</v>
      </c>
    </row>
    <row r="38" spans="1:8" x14ac:dyDescent="0.3">
      <c r="A38" s="2">
        <v>44896</v>
      </c>
      <c r="B38" s="6">
        <v>30</v>
      </c>
      <c r="D38" s="2">
        <v>44896</v>
      </c>
      <c r="E38" s="6">
        <v>-1.01</v>
      </c>
      <c r="F38" s="12" t="s">
        <v>20</v>
      </c>
      <c r="G38" s="12"/>
    </row>
    <row r="39" spans="1:8" x14ac:dyDescent="0.3">
      <c r="A39" s="2">
        <v>44896</v>
      </c>
      <c r="B39" s="6">
        <v>100</v>
      </c>
      <c r="D39" s="2">
        <v>44897</v>
      </c>
      <c r="E39" s="6">
        <v>384.97</v>
      </c>
      <c r="F39" s="12" t="s">
        <v>20</v>
      </c>
      <c r="G39" s="12"/>
    </row>
    <row r="40" spans="1:8" x14ac:dyDescent="0.3">
      <c r="A40" s="2">
        <v>44896</v>
      </c>
      <c r="B40" s="6">
        <v>200</v>
      </c>
      <c r="D40" s="2">
        <v>44914</v>
      </c>
      <c r="E40" s="6">
        <v>-14600</v>
      </c>
      <c r="F40" s="12" t="s">
        <v>21</v>
      </c>
      <c r="G40" s="12"/>
    </row>
    <row r="41" spans="1:8" x14ac:dyDescent="0.3">
      <c r="A41" s="2">
        <v>44896</v>
      </c>
      <c r="B41" s="6">
        <v>3852.84</v>
      </c>
      <c r="D41" s="2">
        <v>44915</v>
      </c>
      <c r="E41" s="6">
        <v>0.02</v>
      </c>
      <c r="F41" s="12"/>
      <c r="G41" s="12"/>
    </row>
    <row r="42" spans="1:8" x14ac:dyDescent="0.3">
      <c r="A42" s="2">
        <v>44896</v>
      </c>
      <c r="B42" s="6">
        <v>-0.3</v>
      </c>
      <c r="D42" s="2">
        <v>44916</v>
      </c>
      <c r="E42" s="6">
        <v>158.47999999999999</v>
      </c>
      <c r="F42" s="12" t="s">
        <v>20</v>
      </c>
      <c r="G42" s="12"/>
    </row>
    <row r="43" spans="1:8" x14ac:dyDescent="0.3">
      <c r="A43" s="2">
        <v>44911</v>
      </c>
      <c r="B43" s="6">
        <v>1664.59</v>
      </c>
      <c r="D43" s="2">
        <v>44922</v>
      </c>
      <c r="E43" s="6">
        <v>-10.26</v>
      </c>
      <c r="F43" s="12"/>
      <c r="G43" s="12"/>
    </row>
    <row r="44" spans="1:8" x14ac:dyDescent="0.3">
      <c r="A44" s="2">
        <v>44917</v>
      </c>
      <c r="B44" s="6">
        <v>914.77</v>
      </c>
      <c r="D44" s="2">
        <v>44922</v>
      </c>
      <c r="E44" s="6">
        <v>-6.17</v>
      </c>
      <c r="F44" s="12"/>
      <c r="G44" s="12"/>
    </row>
    <row r="45" spans="1:8" x14ac:dyDescent="0.3">
      <c r="A45" s="2">
        <v>44931</v>
      </c>
      <c r="B45" s="6">
        <v>921.12</v>
      </c>
      <c r="D45" s="2">
        <v>44925</v>
      </c>
      <c r="E45" s="6">
        <v>248.97</v>
      </c>
      <c r="F45" s="12" t="s">
        <v>20</v>
      </c>
      <c r="G45" s="12"/>
    </row>
    <row r="46" spans="1:8" x14ac:dyDescent="0.3">
      <c r="A46" s="2">
        <v>44945</v>
      </c>
      <c r="B46" s="6">
        <v>917.9</v>
      </c>
      <c r="D46" s="2">
        <v>44939</v>
      </c>
      <c r="E46" s="6">
        <v>295.48</v>
      </c>
      <c r="F46" s="12"/>
      <c r="G46" s="12"/>
    </row>
    <row r="47" spans="1:8" x14ac:dyDescent="0.3">
      <c r="A47" s="2">
        <v>44959</v>
      </c>
      <c r="B47" s="6">
        <v>996.91</v>
      </c>
      <c r="D47" s="2">
        <v>44939</v>
      </c>
      <c r="E47" s="6">
        <v>-9.01</v>
      </c>
      <c r="F47" s="12"/>
    </row>
    <row r="48" spans="1:8" x14ac:dyDescent="0.3">
      <c r="A48" s="2"/>
      <c r="D48" s="2">
        <v>44944</v>
      </c>
      <c r="E48" s="6">
        <v>-223.51</v>
      </c>
      <c r="F48" s="1"/>
    </row>
    <row r="49" spans="4:6" x14ac:dyDescent="0.3">
      <c r="D49" s="2">
        <v>44944</v>
      </c>
      <c r="E49" s="6">
        <v>334.48</v>
      </c>
      <c r="F49" s="1"/>
    </row>
    <row r="50" spans="4:6" x14ac:dyDescent="0.3">
      <c r="D50" s="2">
        <v>44949</v>
      </c>
      <c r="E50" s="6">
        <v>-75.510000000000005</v>
      </c>
      <c r="F50" s="1"/>
    </row>
    <row r="51" spans="4:6" x14ac:dyDescent="0.3">
      <c r="D51" s="2">
        <v>44950</v>
      </c>
      <c r="E51" s="6">
        <v>800.96</v>
      </c>
      <c r="F51" s="1"/>
    </row>
    <row r="52" spans="4:6" x14ac:dyDescent="0.3">
      <c r="D52" s="2">
        <v>44950</v>
      </c>
      <c r="E52" s="6">
        <v>-847.02</v>
      </c>
      <c r="F52" s="1"/>
    </row>
    <row r="53" spans="4:6" x14ac:dyDescent="0.3">
      <c r="D53" s="2">
        <v>44952</v>
      </c>
      <c r="E53" s="6">
        <v>-70.37</v>
      </c>
      <c r="F53" s="1"/>
    </row>
    <row r="54" spans="4:6" x14ac:dyDescent="0.3">
      <c r="D54" s="2">
        <v>44952</v>
      </c>
      <c r="E54" s="6">
        <v>130.47999999999999</v>
      </c>
      <c r="F54" s="1"/>
    </row>
    <row r="55" spans="4:6" x14ac:dyDescent="0.3">
      <c r="D55" s="2">
        <v>44952</v>
      </c>
      <c r="E55" s="6">
        <v>61.48</v>
      </c>
      <c r="F55" s="1"/>
    </row>
    <row r="56" spans="4:6" x14ac:dyDescent="0.3">
      <c r="D56" s="2">
        <v>44952</v>
      </c>
      <c r="E56" s="6">
        <v>-8.51</v>
      </c>
      <c r="F56" s="1"/>
    </row>
    <row r="57" spans="4:6" x14ac:dyDescent="0.3">
      <c r="D57" s="2">
        <v>44952</v>
      </c>
      <c r="E57" s="6">
        <v>-12.51</v>
      </c>
      <c r="F57" s="1"/>
    </row>
    <row r="58" spans="4:6" x14ac:dyDescent="0.3">
      <c r="D58" s="2">
        <v>44952</v>
      </c>
      <c r="E58" s="6">
        <v>446.96</v>
      </c>
      <c r="F58" s="1"/>
    </row>
    <row r="59" spans="4:6" x14ac:dyDescent="0.3">
      <c r="D59" s="2">
        <v>44952</v>
      </c>
      <c r="E59" s="6">
        <v>277.48</v>
      </c>
      <c r="F59" s="1"/>
    </row>
    <row r="60" spans="4:6" x14ac:dyDescent="0.3">
      <c r="D60" s="2">
        <v>44953</v>
      </c>
      <c r="E60" s="6">
        <v>-36.51</v>
      </c>
      <c r="F60" s="1"/>
    </row>
    <row r="61" spans="4:6" x14ac:dyDescent="0.3">
      <c r="D61" s="2">
        <v>44953</v>
      </c>
      <c r="E61" s="6">
        <v>5.48</v>
      </c>
      <c r="F61" s="1"/>
    </row>
    <row r="62" spans="4:6" x14ac:dyDescent="0.3">
      <c r="D62" s="2">
        <v>44953</v>
      </c>
      <c r="E62" s="6">
        <v>-204.51</v>
      </c>
      <c r="F62" s="1"/>
    </row>
    <row r="63" spans="4:6" x14ac:dyDescent="0.3">
      <c r="D63" s="2">
        <v>44953</v>
      </c>
      <c r="E63" s="6">
        <v>8.48</v>
      </c>
      <c r="F63" s="1"/>
    </row>
    <row r="64" spans="4:6" x14ac:dyDescent="0.3">
      <c r="D64" s="2">
        <v>44953</v>
      </c>
      <c r="E64" s="6">
        <v>3233.77</v>
      </c>
      <c r="F64" s="1"/>
    </row>
    <row r="65" spans="4:6" x14ac:dyDescent="0.3">
      <c r="D65" s="2">
        <v>44953</v>
      </c>
      <c r="E65" s="6">
        <v>-3858.12</v>
      </c>
      <c r="F65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01A8-7966-473B-BF7A-B5BF54F2E205}">
  <dimension ref="A1:E43"/>
  <sheetViews>
    <sheetView showGridLines="0" tabSelected="1" workbookViewId="0">
      <selection activeCell="F46" sqref="F46"/>
    </sheetView>
  </sheetViews>
  <sheetFormatPr defaultRowHeight="14.4" x14ac:dyDescent="0.3"/>
  <cols>
    <col min="1" max="1" width="10.5546875" style="1" bestFit="1" customWidth="1"/>
    <col min="2" max="2" width="13.6640625" style="6" bestFit="1" customWidth="1"/>
    <col min="5" max="5" width="11.109375" bestFit="1" customWidth="1"/>
  </cols>
  <sheetData>
    <row r="1" spans="1:5" x14ac:dyDescent="0.3">
      <c r="A1" s="1" t="s">
        <v>1</v>
      </c>
      <c r="B1" s="6" t="s">
        <v>107</v>
      </c>
    </row>
    <row r="2" spans="1:5" x14ac:dyDescent="0.3">
      <c r="A2" s="2">
        <v>44860</v>
      </c>
      <c r="B2" s="6">
        <v>1137.0900000000674</v>
      </c>
      <c r="D2" s="31" t="s">
        <v>12</v>
      </c>
      <c r="E2" s="32">
        <f>SUM(Table5[Amount])</f>
        <v>33928.150000000067</v>
      </c>
    </row>
    <row r="3" spans="1:5" x14ac:dyDescent="0.3">
      <c r="A3" s="2">
        <v>44868</v>
      </c>
      <c r="B3" s="6">
        <v>300</v>
      </c>
      <c r="D3" s="31" t="s">
        <v>108</v>
      </c>
      <c r="E3" s="53">
        <v>-8862.9099999999326</v>
      </c>
    </row>
    <row r="4" spans="1:5" x14ac:dyDescent="0.3">
      <c r="A4" s="2">
        <v>44869</v>
      </c>
      <c r="B4" s="6">
        <v>1400</v>
      </c>
    </row>
    <row r="5" spans="1:5" x14ac:dyDescent="0.3">
      <c r="A5" s="2">
        <v>44890</v>
      </c>
      <c r="B5" s="6">
        <v>4000</v>
      </c>
    </row>
    <row r="6" spans="1:5" x14ac:dyDescent="0.3">
      <c r="A6" s="2">
        <v>44896</v>
      </c>
      <c r="B6" s="6">
        <v>-4184.54</v>
      </c>
    </row>
    <row r="7" spans="1:5" x14ac:dyDescent="0.3">
      <c r="A7" s="2">
        <v>44896</v>
      </c>
      <c r="B7" s="6">
        <v>1</v>
      </c>
    </row>
    <row r="8" spans="1:5" x14ac:dyDescent="0.3">
      <c r="A8" s="2">
        <v>44896</v>
      </c>
      <c r="B8" s="6">
        <v>1</v>
      </c>
    </row>
    <row r="9" spans="1:5" x14ac:dyDescent="0.3">
      <c r="A9" s="2">
        <v>44896</v>
      </c>
      <c r="B9" s="6">
        <v>30</v>
      </c>
    </row>
    <row r="10" spans="1:5" x14ac:dyDescent="0.3">
      <c r="A10" s="2">
        <v>44896</v>
      </c>
      <c r="B10" s="6">
        <v>100</v>
      </c>
    </row>
    <row r="11" spans="1:5" x14ac:dyDescent="0.3">
      <c r="A11" s="2">
        <v>44896</v>
      </c>
      <c r="B11" s="6">
        <v>200</v>
      </c>
    </row>
    <row r="12" spans="1:5" x14ac:dyDescent="0.3">
      <c r="A12" s="2">
        <v>44896</v>
      </c>
      <c r="B12" s="6">
        <v>3852.84</v>
      </c>
    </row>
    <row r="13" spans="1:5" x14ac:dyDescent="0.3">
      <c r="A13" s="2">
        <v>44896</v>
      </c>
      <c r="B13" s="6">
        <v>-0.3</v>
      </c>
    </row>
    <row r="14" spans="1:5" x14ac:dyDescent="0.3">
      <c r="A14" s="2">
        <v>44911</v>
      </c>
      <c r="B14" s="6">
        <v>1664.59</v>
      </c>
    </row>
    <row r="15" spans="1:5" x14ac:dyDescent="0.3">
      <c r="A15" s="2">
        <v>44917</v>
      </c>
      <c r="B15" s="6">
        <v>914.77</v>
      </c>
    </row>
    <row r="16" spans="1:5" x14ac:dyDescent="0.3">
      <c r="A16" s="2">
        <v>44931</v>
      </c>
      <c r="B16" s="6">
        <v>921.12</v>
      </c>
    </row>
    <row r="17" spans="1:2" x14ac:dyDescent="0.3">
      <c r="A17" s="2">
        <v>44945</v>
      </c>
      <c r="B17" s="6">
        <v>917.9</v>
      </c>
    </row>
    <row r="18" spans="1:2" x14ac:dyDescent="0.3">
      <c r="A18" s="2">
        <v>44959</v>
      </c>
      <c r="B18" s="6">
        <v>996.91</v>
      </c>
    </row>
    <row r="19" spans="1:2" x14ac:dyDescent="0.3">
      <c r="A19" s="2">
        <v>44987</v>
      </c>
      <c r="B19" s="6">
        <v>2748</v>
      </c>
    </row>
    <row r="20" spans="1:2" x14ac:dyDescent="0.3">
      <c r="A20" s="2">
        <v>44988</v>
      </c>
      <c r="B20" s="6">
        <v>-0.38</v>
      </c>
    </row>
    <row r="21" spans="1:2" x14ac:dyDescent="0.3">
      <c r="A21" s="2">
        <v>44995</v>
      </c>
      <c r="B21" s="6">
        <v>4000</v>
      </c>
    </row>
    <row r="22" spans="1:2" x14ac:dyDescent="0.3">
      <c r="A22" s="2">
        <v>45001</v>
      </c>
      <c r="B22" s="6">
        <v>1000</v>
      </c>
    </row>
    <row r="23" spans="1:2" x14ac:dyDescent="0.3">
      <c r="A23" s="2">
        <v>45005</v>
      </c>
      <c r="B23" s="6">
        <v>500</v>
      </c>
    </row>
    <row r="24" spans="1:2" x14ac:dyDescent="0.3">
      <c r="A24" s="2">
        <v>45005</v>
      </c>
      <c r="B24" s="6">
        <v>16.12</v>
      </c>
    </row>
    <row r="25" spans="1:2" x14ac:dyDescent="0.3">
      <c r="A25" s="2">
        <v>45015</v>
      </c>
      <c r="B25" s="6">
        <v>-16.12</v>
      </c>
    </row>
    <row r="26" spans="1:2" x14ac:dyDescent="0.3">
      <c r="A26" s="2">
        <v>45020</v>
      </c>
      <c r="B26" s="6">
        <v>1000</v>
      </c>
    </row>
    <row r="27" spans="1:2" x14ac:dyDescent="0.3">
      <c r="A27" s="2">
        <v>45028</v>
      </c>
      <c r="B27" s="6">
        <v>900</v>
      </c>
    </row>
    <row r="28" spans="1:2" x14ac:dyDescent="0.3">
      <c r="A28" s="2">
        <v>45028</v>
      </c>
      <c r="B28" s="6">
        <v>100</v>
      </c>
    </row>
    <row r="29" spans="1:2" x14ac:dyDescent="0.3">
      <c r="A29" s="2">
        <v>45036</v>
      </c>
      <c r="B29" s="6">
        <v>1000</v>
      </c>
    </row>
    <row r="30" spans="1:2" x14ac:dyDescent="0.3">
      <c r="A30" s="2">
        <v>45043</v>
      </c>
      <c r="B30" s="6">
        <v>1250</v>
      </c>
    </row>
    <row r="31" spans="1:2" x14ac:dyDescent="0.3">
      <c r="A31" s="2">
        <v>45051</v>
      </c>
      <c r="B31" s="6">
        <v>1068</v>
      </c>
    </row>
    <row r="32" spans="1:2" x14ac:dyDescent="0.3">
      <c r="A32" s="2">
        <v>45051</v>
      </c>
      <c r="B32" s="6">
        <v>-68</v>
      </c>
    </row>
    <row r="33" spans="1:2" x14ac:dyDescent="0.3">
      <c r="A33" s="2">
        <v>45058</v>
      </c>
      <c r="B33" s="6">
        <v>1000</v>
      </c>
    </row>
    <row r="34" spans="1:2" x14ac:dyDescent="0.3">
      <c r="A34" s="2">
        <v>45058</v>
      </c>
      <c r="B34" s="6">
        <v>-100</v>
      </c>
    </row>
    <row r="35" spans="1:2" x14ac:dyDescent="0.3">
      <c r="A35" s="2">
        <v>45062</v>
      </c>
      <c r="B35" s="6">
        <v>100</v>
      </c>
    </row>
    <row r="36" spans="1:2" x14ac:dyDescent="0.3">
      <c r="A36" s="2">
        <v>45071</v>
      </c>
      <c r="B36" s="6">
        <v>1150</v>
      </c>
    </row>
    <row r="37" spans="1:2" x14ac:dyDescent="0.3">
      <c r="A37" s="2">
        <v>45085</v>
      </c>
      <c r="B37" s="6">
        <v>1170.1099999999999</v>
      </c>
    </row>
    <row r="38" spans="1:2" x14ac:dyDescent="0.3">
      <c r="A38" s="2">
        <v>45085</v>
      </c>
      <c r="B38" s="6">
        <v>346.7</v>
      </c>
    </row>
    <row r="39" spans="1:2" x14ac:dyDescent="0.3">
      <c r="A39" s="2">
        <v>45085</v>
      </c>
      <c r="B39" s="6">
        <v>20</v>
      </c>
    </row>
    <row r="40" spans="1:2" x14ac:dyDescent="0.3">
      <c r="A40" s="2">
        <v>45097</v>
      </c>
      <c r="B40" s="6">
        <v>-10</v>
      </c>
    </row>
    <row r="41" spans="1:2" x14ac:dyDescent="0.3">
      <c r="A41" s="2">
        <v>45100</v>
      </c>
      <c r="B41" s="6">
        <v>1050.67</v>
      </c>
    </row>
    <row r="42" spans="1:2" x14ac:dyDescent="0.3">
      <c r="A42" s="2">
        <v>45114</v>
      </c>
      <c r="B42" s="6">
        <v>1150.67</v>
      </c>
    </row>
    <row r="43" spans="1:2" x14ac:dyDescent="0.3">
      <c r="A43" s="2">
        <v>45141</v>
      </c>
      <c r="B43" s="6">
        <v>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Option Log</vt:lpstr>
      <vt:lpstr>Profit &amp; Loss</vt:lpstr>
      <vt:lpstr>Debit Spread Plan</vt:lpstr>
      <vt:lpstr>Coding</vt:lpstr>
      <vt:lpstr>Balance</vt:lpstr>
      <vt:lpstr>Total Investment</vt:lpstr>
    </vt:vector>
  </TitlesOfParts>
  <Company>Office 365 Apps for Enterprise 2008 - CAGI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Widyanto, Hendry</dc:creator>
  <cp:lastModifiedBy>Widyanto, Hendry</cp:lastModifiedBy>
  <dcterms:created xsi:type="dcterms:W3CDTF">2022-11-29T18:21:28Z</dcterms:created>
  <dcterms:modified xsi:type="dcterms:W3CDTF">2023-08-03T21:23:12Z</dcterms:modified>
</cp:coreProperties>
</file>