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dyahx\OneDrive - Abbott\1 - Personal\"/>
    </mc:Choice>
  </mc:AlternateContent>
  <xr:revisionPtr revIDLastSave="0" documentId="13_ncr:1_{112791ED-F077-41D9-AE14-BAEE49426BEC}" xr6:coauthVersionLast="47" xr6:coauthVersionMax="47" xr10:uidLastSave="{00000000-0000-0000-0000-000000000000}"/>
  <bookViews>
    <workbookView xWindow="-108" yWindow="-108" windowWidth="23256" windowHeight="12456" activeTab="2" xr2:uid="{29D356F2-98A0-4DE8-9FC7-B1B77B01FB62}"/>
  </bookViews>
  <sheets>
    <sheet name="Naked Put" sheetId="8" r:id="rId1"/>
    <sheet name="Finance 2024" sheetId="12" r:id="rId2"/>
    <sheet name="Improv" sheetId="11" r:id="rId3"/>
    <sheet name="Plan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1" l="1"/>
  <c r="D15" i="11"/>
  <c r="L4" i="13"/>
  <c r="L5" i="13"/>
  <c r="L6" i="13"/>
  <c r="L7" i="13"/>
  <c r="L8" i="13"/>
  <c r="L9" i="13"/>
  <c r="L10" i="13"/>
  <c r="L11" i="13"/>
  <c r="L12" i="13"/>
  <c r="L3" i="13"/>
  <c r="J3" i="13"/>
  <c r="C6" i="13"/>
  <c r="C5" i="13"/>
  <c r="G3" i="13" s="1"/>
  <c r="D15" i="8"/>
  <c r="I3" i="12"/>
  <c r="I41" i="12" s="1"/>
  <c r="D12" i="11"/>
  <c r="G16" i="11"/>
  <c r="D11" i="11"/>
  <c r="D10" i="11"/>
  <c r="K40" i="12"/>
  <c r="I38" i="12"/>
  <c r="G38" i="12" s="1"/>
  <c r="I37" i="12"/>
  <c r="G37" i="12" s="1"/>
  <c r="I36" i="12"/>
  <c r="G36" i="12" s="1"/>
  <c r="H35" i="12"/>
  <c r="I35" i="12" s="1"/>
  <c r="G35" i="12" s="1"/>
  <c r="N28" i="12" s="1"/>
  <c r="P28" i="12" s="1"/>
  <c r="I34" i="12"/>
  <c r="G34" i="12" s="1"/>
  <c r="I33" i="12"/>
  <c r="H33" i="12" s="1"/>
  <c r="I32" i="12"/>
  <c r="G32" i="12"/>
  <c r="H31" i="12"/>
  <c r="I31" i="12" s="1"/>
  <c r="G31" i="12" s="1"/>
  <c r="H30" i="12"/>
  <c r="I30" i="12" s="1"/>
  <c r="G30" i="12" s="1"/>
  <c r="I29" i="12"/>
  <c r="G29" i="12"/>
  <c r="H28" i="12"/>
  <c r="I28" i="12" s="1"/>
  <c r="G28" i="12" s="1"/>
  <c r="P27" i="12"/>
  <c r="I27" i="12"/>
  <c r="G27" i="12"/>
  <c r="I26" i="12"/>
  <c r="G26" i="12" s="1"/>
  <c r="I25" i="12"/>
  <c r="G25" i="12"/>
  <c r="N24" i="12" s="1"/>
  <c r="P24" i="12" s="1"/>
  <c r="D19" i="12"/>
  <c r="D18" i="12"/>
  <c r="H13" i="12"/>
  <c r="G13" i="12"/>
  <c r="I11" i="12"/>
  <c r="H11" i="12" s="1"/>
  <c r="I10" i="12"/>
  <c r="H10" i="12" s="1"/>
  <c r="I9" i="12"/>
  <c r="H9" i="12"/>
  <c r="I8" i="12"/>
  <c r="H8" i="12" s="1"/>
  <c r="N7" i="12"/>
  <c r="I7" i="12"/>
  <c r="H7" i="12" s="1"/>
  <c r="N6" i="12"/>
  <c r="I6" i="12"/>
  <c r="H6" i="12" s="1"/>
  <c r="N5" i="12"/>
  <c r="I4" i="12"/>
  <c r="N3" i="12"/>
  <c r="C7" i="13" l="1"/>
  <c r="H3" i="13"/>
  <c r="G3" i="12"/>
  <c r="G15" i="12" s="1"/>
  <c r="H3" i="12"/>
  <c r="H15" i="12" s="1"/>
  <c r="N26" i="12"/>
  <c r="G41" i="12"/>
  <c r="H41" i="12"/>
  <c r="I15" i="12"/>
  <c r="I20" i="12" s="1"/>
  <c r="H4" i="12"/>
  <c r="N25" i="12"/>
  <c r="P25" i="12" s="1"/>
  <c r="P26" i="12"/>
  <c r="Q26" i="12" s="1"/>
  <c r="O26" i="12"/>
  <c r="F4" i="13" l="1"/>
  <c r="J4" i="13" s="1"/>
  <c r="I3" i="13"/>
  <c r="I16" i="12"/>
  <c r="I19" i="12" s="1"/>
  <c r="I21" i="12"/>
  <c r="H20" i="12"/>
  <c r="H21" i="12"/>
  <c r="H16" i="12"/>
  <c r="H19" i="12" s="1"/>
  <c r="G16" i="12"/>
  <c r="G21" i="12"/>
  <c r="B21" i="12" s="1"/>
  <c r="G20" i="12"/>
  <c r="B20" i="12" s="1"/>
  <c r="G4" i="13" l="1"/>
  <c r="H4" i="13" s="1"/>
  <c r="I18" i="12"/>
  <c r="I23" i="12" s="1"/>
  <c r="I40" i="12" s="1"/>
  <c r="I42" i="12" s="1"/>
  <c r="I43" i="12" s="1"/>
  <c r="H18" i="12"/>
  <c r="H23" i="12" s="1"/>
  <c r="H40" i="12" s="1"/>
  <c r="H42" i="12" s="1"/>
  <c r="H43" i="12" s="1"/>
  <c r="G19" i="12"/>
  <c r="B19" i="12" s="1"/>
  <c r="G18" i="12"/>
  <c r="I4" i="13" l="1"/>
  <c r="F5" i="13"/>
  <c r="J5" i="13" s="1"/>
  <c r="B18" i="12"/>
  <c r="G23" i="12"/>
  <c r="G5" i="13" l="1"/>
  <c r="H5" i="13" s="1"/>
  <c r="N29" i="12"/>
  <c r="G40" i="12"/>
  <c r="G42" i="12" s="1"/>
  <c r="G43" i="12" s="1"/>
  <c r="B23" i="12"/>
  <c r="C23" i="12"/>
  <c r="F6" i="13" l="1"/>
  <c r="J6" i="13" s="1"/>
  <c r="I5" i="13"/>
  <c r="P29" i="12"/>
  <c r="P31" i="12" s="1"/>
  <c r="M34" i="12"/>
  <c r="N31" i="12"/>
  <c r="G6" i="13" l="1"/>
  <c r="H6" i="13" s="1"/>
  <c r="G28" i="11"/>
  <c r="O24" i="11"/>
  <c r="P24" i="11"/>
  <c r="O25" i="11"/>
  <c r="P25" i="11"/>
  <c r="O26" i="11"/>
  <c r="P26" i="11"/>
  <c r="O27" i="11"/>
  <c r="P27" i="11"/>
  <c r="O28" i="11"/>
  <c r="P28" i="11"/>
  <c r="O29" i="11"/>
  <c r="P29" i="11"/>
  <c r="O30" i="11"/>
  <c r="P30" i="11"/>
  <c r="O31" i="11"/>
  <c r="P31" i="11"/>
  <c r="O32" i="11"/>
  <c r="P32" i="11"/>
  <c r="O33" i="11"/>
  <c r="P33" i="11"/>
  <c r="O34" i="11"/>
  <c r="P34" i="11"/>
  <c r="O35" i="11"/>
  <c r="P35" i="11"/>
  <c r="O36" i="11"/>
  <c r="P36" i="11"/>
  <c r="O37" i="11"/>
  <c r="P37" i="11"/>
  <c r="O38" i="11"/>
  <c r="P38" i="11"/>
  <c r="O39" i="11"/>
  <c r="P39" i="11"/>
  <c r="O40" i="11"/>
  <c r="P40" i="11"/>
  <c r="O41" i="11"/>
  <c r="P41" i="11"/>
  <c r="O42" i="11"/>
  <c r="P42" i="11"/>
  <c r="O43" i="11"/>
  <c r="P43" i="11"/>
  <c r="D9" i="8"/>
  <c r="F2" i="8"/>
  <c r="F2" i="11"/>
  <c r="C3" i="8"/>
  <c r="C2" i="8"/>
  <c r="O23" i="8" s="1"/>
  <c r="C2" i="11"/>
  <c r="D9" i="11"/>
  <c r="Q44" i="11"/>
  <c r="N39" i="11"/>
  <c r="N36" i="11"/>
  <c r="H35" i="11"/>
  <c r="G34" i="11"/>
  <c r="G33" i="11"/>
  <c r="N32" i="11"/>
  <c r="G32" i="11"/>
  <c r="G31" i="11"/>
  <c r="G30" i="11"/>
  <c r="F30" i="11"/>
  <c r="E30" i="11"/>
  <c r="G29" i="11"/>
  <c r="N27" i="11"/>
  <c r="G27" i="11"/>
  <c r="F27" i="11"/>
  <c r="E27" i="11"/>
  <c r="G26" i="11"/>
  <c r="G25" i="11"/>
  <c r="N24" i="11"/>
  <c r="G24" i="11"/>
  <c r="P23" i="11"/>
  <c r="G23" i="11"/>
  <c r="F23" i="11"/>
  <c r="E23" i="11"/>
  <c r="P22" i="11"/>
  <c r="G22" i="11"/>
  <c r="P21" i="11"/>
  <c r="G21" i="11"/>
  <c r="P20" i="11"/>
  <c r="G20" i="11"/>
  <c r="P19" i="11"/>
  <c r="O19" i="11"/>
  <c r="N19" i="11"/>
  <c r="G19" i="11"/>
  <c r="P18" i="11"/>
  <c r="G18" i="11"/>
  <c r="F18" i="11"/>
  <c r="E18" i="11"/>
  <c r="P17" i="11"/>
  <c r="G17" i="11"/>
  <c r="P16" i="11"/>
  <c r="O16" i="11"/>
  <c r="N16" i="11"/>
  <c r="P15" i="11"/>
  <c r="G15" i="11"/>
  <c r="F15" i="11"/>
  <c r="E15" i="11"/>
  <c r="P14" i="11"/>
  <c r="P13" i="11"/>
  <c r="P12" i="11"/>
  <c r="O12" i="11"/>
  <c r="N12" i="11"/>
  <c r="P11" i="11"/>
  <c r="P10" i="11"/>
  <c r="C6" i="11"/>
  <c r="F4" i="11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Q44" i="8"/>
  <c r="H35" i="8"/>
  <c r="N12" i="8"/>
  <c r="O12" i="8"/>
  <c r="N16" i="8"/>
  <c r="O16" i="8"/>
  <c r="N19" i="8"/>
  <c r="O19" i="8"/>
  <c r="N24" i="8"/>
  <c r="O24" i="8"/>
  <c r="N27" i="8"/>
  <c r="N32" i="8"/>
  <c r="N36" i="8"/>
  <c r="N39" i="8"/>
  <c r="G11" i="8"/>
  <c r="G12" i="8"/>
  <c r="G13" i="8"/>
  <c r="G14" i="8"/>
  <c r="E15" i="8"/>
  <c r="F15" i="8"/>
  <c r="G15" i="8"/>
  <c r="G16" i="8"/>
  <c r="G17" i="8"/>
  <c r="E18" i="8"/>
  <c r="F18" i="8"/>
  <c r="G18" i="8"/>
  <c r="G19" i="8"/>
  <c r="G20" i="8"/>
  <c r="G21" i="8"/>
  <c r="G22" i="8"/>
  <c r="E23" i="8"/>
  <c r="F23" i="8"/>
  <c r="G23" i="8"/>
  <c r="G24" i="8"/>
  <c r="G25" i="8"/>
  <c r="G26" i="8"/>
  <c r="E27" i="8"/>
  <c r="F27" i="8"/>
  <c r="G27" i="8"/>
  <c r="G28" i="8"/>
  <c r="G29" i="8"/>
  <c r="E30" i="8"/>
  <c r="F30" i="8"/>
  <c r="G30" i="8"/>
  <c r="G31" i="8"/>
  <c r="G32" i="8"/>
  <c r="G33" i="8"/>
  <c r="G34" i="8"/>
  <c r="G10" i="8"/>
  <c r="F4" i="8"/>
  <c r="C6" i="8"/>
  <c r="I6" i="13" l="1"/>
  <c r="F7" i="13"/>
  <c r="J7" i="13" s="1"/>
  <c r="G35" i="11"/>
  <c r="F22" i="11"/>
  <c r="P44" i="11"/>
  <c r="O18" i="11"/>
  <c r="F32" i="11"/>
  <c r="O10" i="11"/>
  <c r="O13" i="11"/>
  <c r="F21" i="11"/>
  <c r="O22" i="11"/>
  <c r="F24" i="11"/>
  <c r="F33" i="11"/>
  <c r="O15" i="11"/>
  <c r="F34" i="11"/>
  <c r="F20" i="11"/>
  <c r="F29" i="11"/>
  <c r="O14" i="11"/>
  <c r="O17" i="11"/>
  <c r="O20" i="11"/>
  <c r="F25" i="11"/>
  <c r="F28" i="11"/>
  <c r="O21" i="11"/>
  <c r="F16" i="11"/>
  <c r="F19" i="11"/>
  <c r="O23" i="11"/>
  <c r="F31" i="11"/>
  <c r="F17" i="11"/>
  <c r="F26" i="11"/>
  <c r="O11" i="11"/>
  <c r="O11" i="8"/>
  <c r="O21" i="8"/>
  <c r="O10" i="8"/>
  <c r="O14" i="8"/>
  <c r="P44" i="8"/>
  <c r="O17" i="8"/>
  <c r="O22" i="8"/>
  <c r="O20" i="8"/>
  <c r="O15" i="8"/>
  <c r="O13" i="8"/>
  <c r="O18" i="8"/>
  <c r="G35" i="8"/>
  <c r="F11" i="8"/>
  <c r="F13" i="8"/>
  <c r="F20" i="8"/>
  <c r="F22" i="8"/>
  <c r="F29" i="8"/>
  <c r="F32" i="8"/>
  <c r="F17" i="8"/>
  <c r="F24" i="8"/>
  <c r="F26" i="8"/>
  <c r="F31" i="8"/>
  <c r="F33" i="8"/>
  <c r="F16" i="8"/>
  <c r="F25" i="8"/>
  <c r="F12" i="8"/>
  <c r="F14" i="8"/>
  <c r="F19" i="8"/>
  <c r="F21" i="8"/>
  <c r="F28" i="8"/>
  <c r="F10" i="8"/>
  <c r="F34" i="8"/>
  <c r="G7" i="13" l="1"/>
  <c r="H7" i="13" s="1"/>
  <c r="F35" i="11"/>
  <c r="O44" i="11"/>
  <c r="F35" i="8"/>
  <c r="O44" i="8"/>
  <c r="D10" i="8"/>
  <c r="D11" i="8" s="1"/>
  <c r="F8" i="13" l="1"/>
  <c r="J8" i="13" s="1"/>
  <c r="I7" i="13"/>
  <c r="D12" i="8"/>
  <c r="G8" i="13" l="1"/>
  <c r="H8" i="13" s="1"/>
  <c r="E13" i="8"/>
  <c r="D13" i="8" s="1"/>
  <c r="I8" i="13" l="1"/>
  <c r="F9" i="13"/>
  <c r="J9" i="13" s="1"/>
  <c r="E13" i="11"/>
  <c r="D13" i="11" s="1"/>
  <c r="E14" i="8"/>
  <c r="D14" i="8" s="1"/>
  <c r="G9" i="13" l="1"/>
  <c r="H9" i="13" s="1"/>
  <c r="E14" i="11"/>
  <c r="D14" i="11" s="1"/>
  <c r="E16" i="8"/>
  <c r="D16" i="8" s="1"/>
  <c r="F10" i="13" l="1"/>
  <c r="J10" i="13" s="1"/>
  <c r="I9" i="13"/>
  <c r="E16" i="11"/>
  <c r="D16" i="11" s="1"/>
  <c r="E17" i="8"/>
  <c r="D17" i="8" s="1"/>
  <c r="D18" i="8" s="1"/>
  <c r="G10" i="13" l="1"/>
  <c r="H10" i="13" s="1"/>
  <c r="E17" i="11"/>
  <c r="D17" i="11" s="1"/>
  <c r="D18" i="11" s="1"/>
  <c r="E19" i="8"/>
  <c r="D19" i="8" s="1"/>
  <c r="F11" i="13" l="1"/>
  <c r="J11" i="13" s="1"/>
  <c r="I10" i="13"/>
  <c r="E19" i="11"/>
  <c r="D19" i="11" s="1"/>
  <c r="E20" i="8"/>
  <c r="D20" i="8" s="1"/>
  <c r="G11" i="13" l="1"/>
  <c r="H11" i="13" s="1"/>
  <c r="E20" i="11"/>
  <c r="D20" i="11" s="1"/>
  <c r="E21" i="8"/>
  <c r="D21" i="8" s="1"/>
  <c r="I11" i="13" l="1"/>
  <c r="F12" i="13"/>
  <c r="J12" i="13" s="1"/>
  <c r="E21" i="11"/>
  <c r="D21" i="11" s="1"/>
  <c r="E22" i="8"/>
  <c r="D22" i="8" s="1"/>
  <c r="D23" i="8" s="1"/>
  <c r="G12" i="13" l="1"/>
  <c r="H12" i="13" s="1"/>
  <c r="E22" i="11"/>
  <c r="D22" i="11" s="1"/>
  <c r="D23" i="11" s="1"/>
  <c r="E24" i="8"/>
  <c r="D24" i="8" s="1"/>
  <c r="I12" i="13" l="1"/>
  <c r="E24" i="11"/>
  <c r="D24" i="11" s="1"/>
  <c r="E25" i="8"/>
  <c r="D25" i="8" s="1"/>
  <c r="E25" i="11" l="1"/>
  <c r="D25" i="11" s="1"/>
  <c r="E26" i="8"/>
  <c r="D26" i="8" s="1"/>
  <c r="D27" i="8" s="1"/>
  <c r="E26" i="11" l="1"/>
  <c r="D26" i="11" s="1"/>
  <c r="D27" i="11" s="1"/>
  <c r="E28" i="8"/>
  <c r="D28" i="8" s="1"/>
  <c r="E28" i="11" l="1"/>
  <c r="D28" i="11" s="1"/>
  <c r="E29" i="8"/>
  <c r="D29" i="8" s="1"/>
  <c r="D30" i="8" s="1"/>
  <c r="E29" i="11" l="1"/>
  <c r="D29" i="11" s="1"/>
  <c r="D30" i="11" s="1"/>
  <c r="E31" i="8"/>
  <c r="D31" i="8" s="1"/>
  <c r="E31" i="11" l="1"/>
  <c r="D31" i="11" s="1"/>
  <c r="E32" i="8"/>
  <c r="D32" i="8" s="1"/>
  <c r="E32" i="11" l="1"/>
  <c r="D32" i="11" s="1"/>
  <c r="E33" i="8"/>
  <c r="D33" i="8" s="1"/>
  <c r="E33" i="11" l="1"/>
  <c r="D33" i="11" s="1"/>
  <c r="E34" i="8"/>
  <c r="D34" i="8" s="1"/>
  <c r="E34" i="11" l="1"/>
  <c r="E35" i="11" s="1"/>
  <c r="D35" i="8"/>
  <c r="M9" i="8" s="1"/>
  <c r="E35" i="8"/>
  <c r="D34" i="11" l="1"/>
  <c r="D35" i="11" s="1"/>
  <c r="M9" i="11" s="1"/>
  <c r="N10" i="11" s="1"/>
  <c r="M10" i="11" s="1"/>
  <c r="N10" i="8"/>
  <c r="M10" i="8" s="1"/>
  <c r="N11" i="11" l="1"/>
  <c r="M11" i="11" s="1"/>
  <c r="M12" i="11" s="1"/>
  <c r="N11" i="8"/>
  <c r="N13" i="11" l="1"/>
  <c r="M13" i="11" s="1"/>
  <c r="M11" i="8"/>
  <c r="M12" i="8" s="1"/>
  <c r="N13" i="8" s="1"/>
  <c r="M13" i="8" s="1"/>
  <c r="N14" i="8" s="1"/>
  <c r="M14" i="8" s="1"/>
  <c r="N14" i="11" l="1"/>
  <c r="M14" i="11" s="1"/>
  <c r="N15" i="8"/>
  <c r="M15" i="8" s="1"/>
  <c r="M16" i="8" s="1"/>
  <c r="N15" i="11" l="1"/>
  <c r="M15" i="11" s="1"/>
  <c r="M16" i="11" s="1"/>
  <c r="N17" i="8"/>
  <c r="M17" i="8" s="1"/>
  <c r="N17" i="11" l="1"/>
  <c r="M17" i="11" s="1"/>
  <c r="N18" i="8"/>
  <c r="M18" i="8" s="1"/>
  <c r="M19" i="8" s="1"/>
  <c r="N18" i="11" l="1"/>
  <c r="M18" i="11" s="1"/>
  <c r="M19" i="11" s="1"/>
  <c r="N20" i="8"/>
  <c r="M20" i="8" s="1"/>
  <c r="N20" i="11" l="1"/>
  <c r="M20" i="11" s="1"/>
  <c r="N21" i="8"/>
  <c r="M21" i="8" s="1"/>
  <c r="N21" i="11" l="1"/>
  <c r="M21" i="11" s="1"/>
  <c r="N22" i="8"/>
  <c r="M22" i="8" s="1"/>
  <c r="N22" i="11" l="1"/>
  <c r="M22" i="11" s="1"/>
  <c r="N23" i="8"/>
  <c r="M23" i="8" s="1"/>
  <c r="M24" i="8" s="1"/>
  <c r="N23" i="11" l="1"/>
  <c r="M23" i="11" s="1"/>
  <c r="M24" i="11" s="1"/>
  <c r="N25" i="8"/>
  <c r="M25" i="8" s="1"/>
  <c r="N25" i="11" l="1"/>
  <c r="M25" i="11" s="1"/>
  <c r="N26" i="8"/>
  <c r="M26" i="8" s="1"/>
  <c r="M27" i="8" s="1"/>
  <c r="N26" i="11" l="1"/>
  <c r="M26" i="11" s="1"/>
  <c r="M27" i="11" s="1"/>
  <c r="N28" i="8"/>
  <c r="M28" i="8" s="1"/>
  <c r="N28" i="11" l="1"/>
  <c r="M28" i="11" s="1"/>
  <c r="N29" i="8"/>
  <c r="M29" i="8" s="1"/>
  <c r="N29" i="11" l="1"/>
  <c r="M29" i="11" s="1"/>
  <c r="N30" i="8"/>
  <c r="M30" i="8" s="1"/>
  <c r="N30" i="11" l="1"/>
  <c r="M30" i="11" s="1"/>
  <c r="N31" i="8"/>
  <c r="M31" i="8" s="1"/>
  <c r="M32" i="8" s="1"/>
  <c r="N31" i="11" l="1"/>
  <c r="M31" i="11" s="1"/>
  <c r="M32" i="11" s="1"/>
  <c r="N33" i="8"/>
  <c r="M33" i="8" s="1"/>
  <c r="N33" i="11" l="1"/>
  <c r="M33" i="11" s="1"/>
  <c r="N34" i="8"/>
  <c r="M34" i="8" s="1"/>
  <c r="N34" i="11" l="1"/>
  <c r="M34" i="11" s="1"/>
  <c r="N35" i="8"/>
  <c r="M35" i="8" s="1"/>
  <c r="M36" i="8" s="1"/>
  <c r="N35" i="11" l="1"/>
  <c r="M35" i="11" s="1"/>
  <c r="M36" i="11" s="1"/>
  <c r="N37" i="8"/>
  <c r="M37" i="8" s="1"/>
  <c r="N37" i="11" l="1"/>
  <c r="M37" i="11" s="1"/>
  <c r="N38" i="8"/>
  <c r="M38" i="8" s="1"/>
  <c r="M39" i="8" s="1"/>
  <c r="N38" i="11" l="1"/>
  <c r="M38" i="11" s="1"/>
  <c r="M39" i="11" s="1"/>
  <c r="N40" i="8"/>
  <c r="M40" i="8" s="1"/>
  <c r="N40" i="11" l="1"/>
  <c r="M40" i="11" s="1"/>
  <c r="N41" i="8"/>
  <c r="M41" i="8" s="1"/>
  <c r="N41" i="11" l="1"/>
  <c r="M41" i="11" s="1"/>
  <c r="N42" i="8"/>
  <c r="M42" i="8" s="1"/>
  <c r="N42" i="11" l="1"/>
  <c r="M42" i="11" s="1"/>
  <c r="N43" i="8"/>
  <c r="M43" i="8" s="1"/>
  <c r="N43" i="11" l="1"/>
  <c r="N44" i="11" s="1"/>
  <c r="N44" i="8"/>
  <c r="M44" i="8"/>
  <c r="M43" i="11" l="1"/>
  <c r="M44" i="11" s="1"/>
</calcChain>
</file>

<file path=xl/sharedStrings.xml><?xml version="1.0" encoding="utf-8"?>
<sst xmlns="http://schemas.openxmlformats.org/spreadsheetml/2006/main" count="259" uniqueCount="120">
  <si>
    <t>Collateral</t>
  </si>
  <si>
    <t>Reward</t>
  </si>
  <si>
    <t>Salary</t>
  </si>
  <si>
    <t>New Salary</t>
  </si>
  <si>
    <t>Terms</t>
  </si>
  <si>
    <t>OPT</t>
  </si>
  <si>
    <t>Week</t>
  </si>
  <si>
    <t>Balance</t>
  </si>
  <si>
    <t>Profit</t>
  </si>
  <si>
    <t>Summer</t>
  </si>
  <si>
    <t>Aug 15 - Aug 24</t>
  </si>
  <si>
    <t>Sep 26 - Oct 01</t>
  </si>
  <si>
    <t>Jun 20 - Jul 01</t>
  </si>
  <si>
    <t>Oct 24 - Nov 01</t>
  </si>
  <si>
    <t>Biweekly 1</t>
  </si>
  <si>
    <t>Biweekly 0</t>
  </si>
  <si>
    <t>Biweekly 2</t>
  </si>
  <si>
    <t>Biweekly 3</t>
  </si>
  <si>
    <t>Biweekly 4</t>
  </si>
  <si>
    <t>Biweekly 5</t>
  </si>
  <si>
    <t>Biweekly 6</t>
  </si>
  <si>
    <t>Biweekly 7</t>
  </si>
  <si>
    <t>Biweekly 8</t>
  </si>
  <si>
    <t>Biweekly 9</t>
  </si>
  <si>
    <t>Biweekly 10</t>
  </si>
  <si>
    <t>Biweekly 11</t>
  </si>
  <si>
    <t>Biweekly 12</t>
  </si>
  <si>
    <t>Biweekly 13</t>
  </si>
  <si>
    <t>Biweekly 14</t>
  </si>
  <si>
    <t>Biweekly 15</t>
  </si>
  <si>
    <t>Biweekly 16</t>
  </si>
  <si>
    <t>Biweekly 17</t>
  </si>
  <si>
    <t>Biweekly 18</t>
  </si>
  <si>
    <t>Biweekly 19</t>
  </si>
  <si>
    <t>Biweekly 20</t>
  </si>
  <si>
    <t>Biweekly 21</t>
  </si>
  <si>
    <t>Fall</t>
  </si>
  <si>
    <t>Final</t>
  </si>
  <si>
    <t>December 19</t>
  </si>
  <si>
    <t>Biweekly 22</t>
  </si>
  <si>
    <t>Biweekly 23</t>
  </si>
  <si>
    <t>Biweekly 24</t>
  </si>
  <si>
    <t>Biweekly 25</t>
  </si>
  <si>
    <t>Biweekly 26</t>
  </si>
  <si>
    <t>Spring</t>
  </si>
  <si>
    <t>Jan 16 - Jan 18</t>
  </si>
  <si>
    <t>Feb 27 - Mar 01</t>
  </si>
  <si>
    <t>Mar 27 - Apr 01</t>
  </si>
  <si>
    <t>May 22 - May 31</t>
  </si>
  <si>
    <t>Jun 19 - Jul 01</t>
  </si>
  <si>
    <t>Aug 14 - Aug 23</t>
  </si>
  <si>
    <t>Sep 25 - Oct 01</t>
  </si>
  <si>
    <t>Oct 23 - Nov 01</t>
  </si>
  <si>
    <t>December 18</t>
  </si>
  <si>
    <t>May 23 - Jun 01</t>
  </si>
  <si>
    <t>Start</t>
  </si>
  <si>
    <t>Payment Lump Sum</t>
  </si>
  <si>
    <t>Multiplier</t>
  </si>
  <si>
    <t>Debt</t>
  </si>
  <si>
    <t>Other</t>
  </si>
  <si>
    <t>Tuition</t>
  </si>
  <si>
    <t>Tuition 1</t>
  </si>
  <si>
    <t>Tuition 2</t>
  </si>
  <si>
    <t>Bi-Weekly</t>
  </si>
  <si>
    <t>Monthly</t>
  </si>
  <si>
    <t>Yearly</t>
  </si>
  <si>
    <t>Minneapolis</t>
  </si>
  <si>
    <t>Gross Income</t>
  </si>
  <si>
    <t>Temecula</t>
  </si>
  <si>
    <t>Life Imputed Income</t>
  </si>
  <si>
    <t>San Diego</t>
  </si>
  <si>
    <t>401k Contribution</t>
  </si>
  <si>
    <t>San Fransisco</t>
  </si>
  <si>
    <t>HSA Contribution</t>
  </si>
  <si>
    <t>Santa Clara</t>
  </si>
  <si>
    <t>Health Insurance</t>
  </si>
  <si>
    <t>Dental Insurance</t>
  </si>
  <si>
    <t>Life Insurance</t>
  </si>
  <si>
    <t>Vacation Buy</t>
  </si>
  <si>
    <t>Allowance</t>
  </si>
  <si>
    <t>Medicare - Taxable Wages</t>
  </si>
  <si>
    <t>Federal Withholding - Taxable Wages</t>
  </si>
  <si>
    <t>Federal Tax</t>
  </si>
  <si>
    <t>CA State Tax</t>
  </si>
  <si>
    <t>Social Security</t>
  </si>
  <si>
    <t>Medicare</t>
  </si>
  <si>
    <t>Take Home Pay</t>
  </si>
  <si>
    <t>Biweekly</t>
  </si>
  <si>
    <t>Capital - Rent</t>
  </si>
  <si>
    <t>Rent</t>
  </si>
  <si>
    <t>Etrade - Checking 1</t>
  </si>
  <si>
    <t>Electricity</t>
  </si>
  <si>
    <t>Etrade - Checking 2 - Car Insurance &amp; Maintenance</t>
  </si>
  <si>
    <t>Gas</t>
  </si>
  <si>
    <t>Etrade - Checking 2 - Personal</t>
  </si>
  <si>
    <t>Car Insurance</t>
  </si>
  <si>
    <t xml:space="preserve"> Etrade - Checking 2 - Netflix &amp; Youtube &amp; EOS</t>
  </si>
  <si>
    <t>Car Maintenance</t>
  </si>
  <si>
    <t>Etrade - Savings - Investment</t>
  </si>
  <si>
    <t>Phone Plan</t>
  </si>
  <si>
    <t>Barber</t>
  </si>
  <si>
    <t>Total</t>
  </si>
  <si>
    <t>Gym</t>
  </si>
  <si>
    <t>Protein</t>
  </si>
  <si>
    <t>Netflix + Youtube + EOS</t>
  </si>
  <si>
    <t>Car Wash</t>
  </si>
  <si>
    <t>Coursera</t>
  </si>
  <si>
    <t>Food + Other</t>
  </si>
  <si>
    <t>Saving</t>
  </si>
  <si>
    <t>401k Match</t>
  </si>
  <si>
    <t>Saving + Investment</t>
  </si>
  <si>
    <t>Indonesia</t>
  </si>
  <si>
    <t>Max Value</t>
  </si>
  <si>
    <t>No</t>
  </si>
  <si>
    <t>Contract</t>
  </si>
  <si>
    <t>Contract Value</t>
  </si>
  <si>
    <t>Fee</t>
  </si>
  <si>
    <t>Cost</t>
  </si>
  <si>
    <t>Profit %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</si>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</sst>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_([$$-409]* #,##0.00_);_([$$-409]* \(#,##0.00\);_([$$-409]* &quot;-&quot;??_);_(@_)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0" fillId="0" borderId="0" xfId="0" applyNumberFormat="1" applyAlignment="1">
      <alignment horizontal="center"/>
    </xf>
    <xf numFmtId="44" fontId="0" fillId="0" borderId="1" xfId="1" applyFont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  <xf numFmtId="49" fontId="2" fillId="3" borderId="0" xfId="2" applyNumberFormat="1" applyAlignment="1">
      <alignment horizontal="center"/>
    </xf>
    <xf numFmtId="44" fontId="2" fillId="3" borderId="0" xfId="2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44" fontId="0" fillId="0" borderId="2" xfId="1" applyFont="1" applyBorder="1"/>
    <xf numFmtId="0" fontId="0" fillId="0" borderId="1" xfId="0" applyFill="1" applyBorder="1"/>
    <xf numFmtId="164" fontId="0" fillId="0" borderId="1" xfId="0" applyNumberFormat="1" applyBorder="1"/>
    <xf numFmtId="165" fontId="0" fillId="0" borderId="0" xfId="0" applyNumberFormat="1"/>
    <xf numFmtId="44" fontId="0" fillId="0" borderId="1" xfId="1" applyFont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5" xfId="1" applyFont="1" applyBorder="1"/>
    <xf numFmtId="44" fontId="0" fillId="2" borderId="5" xfId="1" applyFont="1" applyFill="1" applyBorder="1"/>
    <xf numFmtId="44" fontId="0" fillId="2" borderId="1" xfId="1" applyFont="1" applyFill="1" applyBorder="1"/>
    <xf numFmtId="44" fontId="2" fillId="3" borderId="0" xfId="1" applyFont="1" applyFill="1"/>
    <xf numFmtId="44" fontId="2" fillId="3" borderId="1" xfId="1" applyFont="1" applyFill="1" applyBorder="1"/>
    <xf numFmtId="44" fontId="0" fillId="0" borderId="0" xfId="1" applyFont="1" applyBorder="1" applyAlignment="1">
      <alignment horizontal="center"/>
    </xf>
    <xf numFmtId="44" fontId="0" fillId="0" borderId="0" xfId="1" applyFont="1" applyBorder="1"/>
    <xf numFmtId="44" fontId="0" fillId="2" borderId="0" xfId="1" applyFont="1" applyFill="1" applyBorder="1"/>
    <xf numFmtId="44" fontId="2" fillId="3" borderId="0" xfId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0" fontId="0" fillId="0" borderId="0" xfId="3" applyNumberFormat="1" applyFont="1" applyAlignment="1">
      <alignment horizontal="center"/>
    </xf>
    <xf numFmtId="44" fontId="0" fillId="0" borderId="6" xfId="0" applyNumberFormat="1" applyBorder="1" applyAlignment="1">
      <alignment horizontal="left" vertical="center"/>
    </xf>
    <xf numFmtId="44" fontId="0" fillId="0" borderId="1" xfId="0" applyNumberFormat="1" applyBorder="1" applyAlignment="1">
      <alignment horizontal="left"/>
    </xf>
    <xf numFmtId="44" fontId="0" fillId="0" borderId="1" xfId="0" applyNumberFormat="1" applyBorder="1" applyAlignment="1">
      <alignment vertical="center"/>
    </xf>
    <xf numFmtId="0" fontId="0" fillId="0" borderId="6" xfId="0" applyBorder="1" applyAlignment="1">
      <alignment horizontal="left" vertical="center"/>
    </xf>
    <xf numFmtId="44" fontId="0" fillId="0" borderId="1" xfId="0" applyNumberFormat="1" applyBorder="1"/>
    <xf numFmtId="44" fontId="0" fillId="0" borderId="1" xfId="0" applyNumberFormat="1" applyBorder="1" applyAlignment="1">
      <alignment horizontal="left" vertical="center"/>
    </xf>
    <xf numFmtId="44" fontId="0" fillId="0" borderId="0" xfId="0" applyNumberFormat="1" applyAlignment="1">
      <alignment horizontal="left" vertical="center"/>
    </xf>
    <xf numFmtId="44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9" fontId="0" fillId="0" borderId="0" xfId="3" applyFon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5" applyFont="1" applyAlignment="1">
      <alignment horizontal="center"/>
    </xf>
    <xf numFmtId="0" fontId="0" fillId="0" borderId="0" xfId="5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4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0" borderId="1" xfId="0" applyNumberForma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6">
    <cellStyle name="Currency" xfId="1" builtinId="4"/>
    <cellStyle name="Currency 2" xfId="5" xr:uid="{6B0FE375-A9E1-4253-A67C-6B9A92E836AD}"/>
    <cellStyle name="Good" xfId="2" builtinId="26"/>
    <cellStyle name="Normal" xfId="0" builtinId="0"/>
    <cellStyle name="Percent" xfId="4" builtinId="5"/>
    <cellStyle name="Percent 2" xfId="3" xr:uid="{284C14FE-9E47-4BF4-9013-4EC08F89C0CD}"/>
  </cellStyles>
  <dxfs count="1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43C8-519D-470F-9D4E-E2C404E52447}">
  <dimension ref="B2:R44"/>
  <sheetViews>
    <sheetView showGridLines="0" topLeftCell="A10" zoomScale="77" zoomScaleNormal="77" workbookViewId="0">
      <selection activeCell="E18" sqref="E18"/>
    </sheetView>
  </sheetViews>
  <sheetFormatPr defaultColWidth="8.77734375" defaultRowHeight="14.4" x14ac:dyDescent="0.3"/>
  <cols>
    <col min="1" max="1" width="3.6640625" customWidth="1"/>
    <col min="2" max="2" width="11.77734375" style="9" customWidth="1"/>
    <col min="3" max="3" width="17.109375" customWidth="1"/>
    <col min="4" max="4" width="13.88671875" customWidth="1"/>
    <col min="5" max="5" width="12.44140625" customWidth="1"/>
    <col min="6" max="6" width="11.6640625" bestFit="1" customWidth="1"/>
    <col min="7" max="7" width="12.88671875" customWidth="1"/>
    <col min="8" max="8" width="12.21875" bestFit="1" customWidth="1"/>
    <col min="9" max="9" width="12.21875" customWidth="1"/>
    <col min="10" max="10" width="3.77734375" customWidth="1"/>
    <col min="12" max="12" width="14.6640625" bestFit="1" customWidth="1"/>
    <col min="13" max="14" width="12.6640625" bestFit="1" customWidth="1"/>
    <col min="15" max="15" width="11.88671875" bestFit="1" customWidth="1"/>
    <col min="16" max="16" width="12.21875" customWidth="1"/>
    <col min="17" max="17" width="12.21875" bestFit="1" customWidth="1"/>
    <col min="18" max="18" width="12.88671875" customWidth="1"/>
  </cols>
  <sheetData>
    <row r="2" spans="2:18" x14ac:dyDescent="0.3">
      <c r="B2" t="s">
        <v>3</v>
      </c>
      <c r="C2" s="3">
        <f>1157.84-53.62</f>
        <v>1104.22</v>
      </c>
      <c r="E2" t="s">
        <v>55</v>
      </c>
      <c r="F2" s="7">
        <f>5670+1077.17+18000+5</f>
        <v>24752.17</v>
      </c>
      <c r="H2" s="3"/>
    </row>
    <row r="3" spans="2:18" x14ac:dyDescent="0.3">
      <c r="B3" t="s">
        <v>2</v>
      </c>
      <c r="C3" s="3">
        <f>C2</f>
        <v>1104.22</v>
      </c>
      <c r="E3" s="15" t="s">
        <v>58</v>
      </c>
      <c r="F3" s="16">
        <v>125</v>
      </c>
      <c r="H3" s="3"/>
    </row>
    <row r="4" spans="2:18" x14ac:dyDescent="0.3">
      <c r="B4" t="s">
        <v>0</v>
      </c>
      <c r="C4" s="3">
        <v>6000</v>
      </c>
      <c r="E4" s="17" t="s">
        <v>56</v>
      </c>
      <c r="F4" s="7">
        <f>13920</f>
        <v>13920</v>
      </c>
    </row>
    <row r="5" spans="2:18" x14ac:dyDescent="0.3">
      <c r="B5" s="14" t="s">
        <v>1</v>
      </c>
      <c r="C5" s="7">
        <v>250</v>
      </c>
      <c r="E5" s="15" t="s">
        <v>61</v>
      </c>
      <c r="F5" s="3">
        <v>3600</v>
      </c>
    </row>
    <row r="6" spans="2:18" x14ac:dyDescent="0.3">
      <c r="B6" s="14" t="s">
        <v>57</v>
      </c>
      <c r="C6" s="18">
        <f>C4/C5</f>
        <v>24</v>
      </c>
      <c r="E6" s="15" t="s">
        <v>62</v>
      </c>
      <c r="F6" s="3">
        <v>4750</v>
      </c>
    </row>
    <row r="8" spans="2:18" x14ac:dyDescent="0.3">
      <c r="B8" s="9" t="s">
        <v>4</v>
      </c>
      <c r="C8" s="6" t="s">
        <v>6</v>
      </c>
      <c r="D8" s="1" t="s">
        <v>7</v>
      </c>
      <c r="E8" s="1" t="s">
        <v>8</v>
      </c>
      <c r="F8" s="13" t="s">
        <v>2</v>
      </c>
      <c r="G8" s="1" t="s">
        <v>58</v>
      </c>
      <c r="H8" s="1" t="s">
        <v>60</v>
      </c>
      <c r="I8" s="1" t="s">
        <v>59</v>
      </c>
      <c r="K8" s="9" t="s">
        <v>4</v>
      </c>
      <c r="L8" s="6" t="s">
        <v>6</v>
      </c>
      <c r="M8" s="1" t="s">
        <v>7</v>
      </c>
      <c r="N8" s="1" t="s">
        <v>8</v>
      </c>
      <c r="O8" s="13" t="s">
        <v>2</v>
      </c>
      <c r="P8" s="1" t="s">
        <v>58</v>
      </c>
      <c r="Q8" s="1" t="s">
        <v>60</v>
      </c>
      <c r="R8" s="32" t="s">
        <v>59</v>
      </c>
    </row>
    <row r="9" spans="2:18" x14ac:dyDescent="0.3">
      <c r="B9" s="52" t="s">
        <v>5</v>
      </c>
      <c r="C9" s="1" t="s">
        <v>15</v>
      </c>
      <c r="D9" s="3">
        <f>F2</f>
        <v>24752.17</v>
      </c>
      <c r="E9" s="2">
        <v>0</v>
      </c>
      <c r="F9" s="20">
        <v>0</v>
      </c>
      <c r="G9" s="22">
        <v>0</v>
      </c>
      <c r="H9" s="20">
        <v>0</v>
      </c>
      <c r="I9" s="28">
        <v>0</v>
      </c>
      <c r="K9" s="53" t="s">
        <v>44</v>
      </c>
      <c r="L9" s="1" t="s">
        <v>15</v>
      </c>
      <c r="M9" s="3">
        <f>D35</f>
        <v>60786.570000000022</v>
      </c>
      <c r="N9" s="2">
        <v>0</v>
      </c>
      <c r="O9" s="2">
        <v>0</v>
      </c>
      <c r="P9" s="3">
        <v>0</v>
      </c>
      <c r="Q9" s="3">
        <v>0</v>
      </c>
      <c r="R9" s="3">
        <v>0</v>
      </c>
    </row>
    <row r="10" spans="2:18" x14ac:dyDescent="0.3">
      <c r="B10" s="52"/>
      <c r="C10" s="1" t="s">
        <v>14</v>
      </c>
      <c r="D10" s="3">
        <f>D9+E10+F10+G10+H10+I10</f>
        <v>21731.39</v>
      </c>
      <c r="E10" s="3">
        <v>-4000</v>
      </c>
      <c r="F10" s="20">
        <f t="shared" ref="F10:F34" si="0">IF(LEFT(C10,8)="Biweekly", $C$3,0)</f>
        <v>1104.22</v>
      </c>
      <c r="G10" s="23">
        <f t="shared" ref="G10:G34" si="1">IF(LEFT(C10,8)="Biweekly", -$F$3,0)</f>
        <v>-125</v>
      </c>
      <c r="H10" s="7">
        <v>0</v>
      </c>
      <c r="I10" s="29">
        <v>0</v>
      </c>
      <c r="K10" s="54"/>
      <c r="L10" s="1" t="s">
        <v>14</v>
      </c>
      <c r="M10" s="3">
        <f>M9+N10+O10+P10+Q10+R10</f>
        <v>64265.790000000023</v>
      </c>
      <c r="N10" s="3">
        <f>IF(LEFT(L10,8)="Biweekly", _xlfn.FLOOR.MATH(M9/$C$4)*$C$5, 0)</f>
        <v>2500</v>
      </c>
      <c r="O10" s="20">
        <f>IF(LEFT(L10,8)="Biweekly", $C$3,0)</f>
        <v>1104.22</v>
      </c>
      <c r="P10" s="23">
        <f>IF(LEFT(L10,8)="Biweekly", -$F$3,-350)</f>
        <v>-125</v>
      </c>
      <c r="Q10" s="7">
        <v>0</v>
      </c>
      <c r="R10" s="3">
        <v>0</v>
      </c>
    </row>
    <row r="11" spans="2:18" x14ac:dyDescent="0.3">
      <c r="B11" s="52"/>
      <c r="C11" s="1" t="s">
        <v>16</v>
      </c>
      <c r="D11" s="3">
        <f t="shared" ref="D11:D34" si="2">D10+E11+F11+G11+H11+I11</f>
        <v>22710.61</v>
      </c>
      <c r="E11" s="3">
        <v>0</v>
      </c>
      <c r="F11" s="20">
        <f t="shared" si="0"/>
        <v>1104.22</v>
      </c>
      <c r="G11" s="23">
        <f t="shared" si="1"/>
        <v>-125</v>
      </c>
      <c r="H11" s="7">
        <v>0</v>
      </c>
      <c r="I11" s="29">
        <v>0</v>
      </c>
      <c r="K11" s="54"/>
      <c r="L11" s="1" t="s">
        <v>16</v>
      </c>
      <c r="M11" s="3">
        <f t="shared" ref="M11:M43" si="3">M10+N11+O11+P11+Q11+R11</f>
        <v>67745.010000000024</v>
      </c>
      <c r="N11" s="3">
        <f t="shared" ref="N11:N43" si="4">IF(LEFT(L11,8)="Biweekly", _xlfn.FLOOR.MATH(M10/$C$4)*$C$5, 0)</f>
        <v>2500</v>
      </c>
      <c r="O11" s="20">
        <f t="shared" ref="O11:O24" si="5">IF(LEFT(L11,8)="Biweekly", $C$3,0)</f>
        <v>1104.22</v>
      </c>
      <c r="P11" s="23">
        <f t="shared" ref="P11:P24" si="6">IF(LEFT(L11,8)="Biweekly", -$F$3,0)</f>
        <v>-125</v>
      </c>
      <c r="Q11" s="7">
        <v>0</v>
      </c>
      <c r="R11" s="3">
        <v>0</v>
      </c>
    </row>
    <row r="12" spans="2:18" x14ac:dyDescent="0.3">
      <c r="B12" s="52"/>
      <c r="C12" s="1" t="s">
        <v>17</v>
      </c>
      <c r="D12" s="3">
        <f t="shared" si="2"/>
        <v>33689.83</v>
      </c>
      <c r="E12" s="3">
        <v>10000</v>
      </c>
      <c r="F12" s="20">
        <f t="shared" si="0"/>
        <v>1104.22</v>
      </c>
      <c r="G12" s="23">
        <f t="shared" si="1"/>
        <v>-125</v>
      </c>
      <c r="H12" s="7">
        <v>0</v>
      </c>
      <c r="I12" s="29">
        <v>0</v>
      </c>
      <c r="K12" s="54"/>
      <c r="L12" s="8" t="s">
        <v>45</v>
      </c>
      <c r="M12" s="5">
        <f t="shared" si="3"/>
        <v>64120.010000000024</v>
      </c>
      <c r="N12" s="5">
        <f t="shared" si="4"/>
        <v>0</v>
      </c>
      <c r="O12" s="21">
        <f t="shared" si="5"/>
        <v>0</v>
      </c>
      <c r="P12" s="24">
        <f t="shared" si="6"/>
        <v>0</v>
      </c>
      <c r="Q12" s="25">
        <v>-3600</v>
      </c>
      <c r="R12" s="5">
        <v>-25</v>
      </c>
    </row>
    <row r="13" spans="2:18" x14ac:dyDescent="0.3">
      <c r="B13" s="52"/>
      <c r="C13" s="1" t="s">
        <v>18</v>
      </c>
      <c r="D13" s="3">
        <f t="shared" si="2"/>
        <v>35919.050000000003</v>
      </c>
      <c r="E13" s="3">
        <f t="shared" ref="E13:E34" si="7">IF(LEFT(C13,8)="Biweekly", _xlfn.FLOOR.MATH(D12/$C$4)*$C$5, 0)</f>
        <v>1250</v>
      </c>
      <c r="F13" s="20">
        <f t="shared" si="0"/>
        <v>1104.22</v>
      </c>
      <c r="G13" s="23">
        <f t="shared" si="1"/>
        <v>-125</v>
      </c>
      <c r="H13" s="7">
        <v>0</v>
      </c>
      <c r="I13" s="29">
        <v>0</v>
      </c>
      <c r="K13" s="54"/>
      <c r="L13" s="1" t="s">
        <v>17</v>
      </c>
      <c r="M13" s="3">
        <f t="shared" si="3"/>
        <v>67599.230000000025</v>
      </c>
      <c r="N13" s="3">
        <f t="shared" si="4"/>
        <v>2500</v>
      </c>
      <c r="O13" s="20">
        <f t="shared" si="5"/>
        <v>1104.22</v>
      </c>
      <c r="P13" s="23">
        <f t="shared" si="6"/>
        <v>-125</v>
      </c>
      <c r="Q13" s="7">
        <v>0</v>
      </c>
      <c r="R13" s="3">
        <v>0</v>
      </c>
    </row>
    <row r="14" spans="2:18" x14ac:dyDescent="0.3">
      <c r="B14" s="52"/>
      <c r="C14" s="1" t="s">
        <v>19</v>
      </c>
      <c r="D14" s="3">
        <f t="shared" si="2"/>
        <v>38148.270000000004</v>
      </c>
      <c r="E14" s="3">
        <f t="shared" si="7"/>
        <v>1250</v>
      </c>
      <c r="F14" s="20">
        <f t="shared" si="0"/>
        <v>1104.22</v>
      </c>
      <c r="G14" s="23">
        <f t="shared" si="1"/>
        <v>-125</v>
      </c>
      <c r="H14" s="7">
        <v>0</v>
      </c>
      <c r="I14" s="29">
        <v>0</v>
      </c>
      <c r="K14" s="54"/>
      <c r="L14" s="1" t="s">
        <v>18</v>
      </c>
      <c r="M14" s="3">
        <f t="shared" si="3"/>
        <v>71328.450000000026</v>
      </c>
      <c r="N14" s="3">
        <f t="shared" si="4"/>
        <v>2750</v>
      </c>
      <c r="O14" s="20">
        <f t="shared" si="5"/>
        <v>1104.22</v>
      </c>
      <c r="P14" s="23">
        <f t="shared" si="6"/>
        <v>-125</v>
      </c>
      <c r="Q14" s="7">
        <v>0</v>
      </c>
      <c r="R14" s="3">
        <v>0</v>
      </c>
    </row>
    <row r="15" spans="2:18" x14ac:dyDescent="0.3">
      <c r="B15" s="53" t="s">
        <v>9</v>
      </c>
      <c r="C15" s="8" t="s">
        <v>54</v>
      </c>
      <c r="D15" s="5">
        <f t="shared" si="2"/>
        <v>34523.270000000004</v>
      </c>
      <c r="E15" s="5">
        <f t="shared" si="7"/>
        <v>0</v>
      </c>
      <c r="F15" s="21">
        <f t="shared" si="0"/>
        <v>0</v>
      </c>
      <c r="G15" s="24">
        <f t="shared" si="1"/>
        <v>0</v>
      </c>
      <c r="H15" s="25">
        <v>-3600</v>
      </c>
      <c r="I15" s="30">
        <v>-25</v>
      </c>
      <c r="K15" s="54"/>
      <c r="L15" s="1" t="s">
        <v>19</v>
      </c>
      <c r="M15" s="3">
        <f t="shared" si="3"/>
        <v>75057.670000000027</v>
      </c>
      <c r="N15" s="3">
        <f t="shared" si="4"/>
        <v>2750</v>
      </c>
      <c r="O15" s="20">
        <f t="shared" si="5"/>
        <v>1104.22</v>
      </c>
      <c r="P15" s="23">
        <f t="shared" si="6"/>
        <v>-125</v>
      </c>
      <c r="Q15" s="7">
        <v>0</v>
      </c>
      <c r="R15" s="3">
        <v>0</v>
      </c>
    </row>
    <row r="16" spans="2:18" x14ac:dyDescent="0.3">
      <c r="B16" s="54"/>
      <c r="C16" s="1" t="s">
        <v>20</v>
      </c>
      <c r="D16" s="3">
        <f t="shared" si="2"/>
        <v>36752.490000000005</v>
      </c>
      <c r="E16" s="3">
        <f t="shared" si="7"/>
        <v>1250</v>
      </c>
      <c r="F16" s="20">
        <f t="shared" si="0"/>
        <v>1104.22</v>
      </c>
      <c r="G16" s="23">
        <f t="shared" si="1"/>
        <v>-125</v>
      </c>
      <c r="H16" s="7">
        <v>0</v>
      </c>
      <c r="I16" s="29">
        <v>0</v>
      </c>
      <c r="K16" s="54"/>
      <c r="L16" s="8" t="s">
        <v>46</v>
      </c>
      <c r="M16" s="5">
        <f t="shared" si="3"/>
        <v>71457.670000000027</v>
      </c>
      <c r="N16" s="5">
        <f t="shared" si="4"/>
        <v>0</v>
      </c>
      <c r="O16" s="21">
        <f t="shared" si="5"/>
        <v>0</v>
      </c>
      <c r="P16" s="24">
        <f t="shared" si="6"/>
        <v>0</v>
      </c>
      <c r="Q16" s="25">
        <v>-3600</v>
      </c>
      <c r="R16" s="5">
        <v>0</v>
      </c>
    </row>
    <row r="17" spans="2:18" x14ac:dyDescent="0.3">
      <c r="B17" s="54"/>
      <c r="C17" s="1" t="s">
        <v>21</v>
      </c>
      <c r="D17" s="3">
        <f t="shared" si="2"/>
        <v>39231.710000000006</v>
      </c>
      <c r="E17" s="3">
        <f t="shared" si="7"/>
        <v>1500</v>
      </c>
      <c r="F17" s="20">
        <f t="shared" si="0"/>
        <v>1104.22</v>
      </c>
      <c r="G17" s="23">
        <f t="shared" si="1"/>
        <v>-125</v>
      </c>
      <c r="H17" s="7">
        <v>0</v>
      </c>
      <c r="I17" s="29">
        <v>0</v>
      </c>
      <c r="K17" s="54"/>
      <c r="L17" s="1" t="s">
        <v>20</v>
      </c>
      <c r="M17" s="3">
        <f t="shared" si="3"/>
        <v>75186.890000000029</v>
      </c>
      <c r="N17" s="3">
        <f t="shared" si="4"/>
        <v>2750</v>
      </c>
      <c r="O17" s="20">
        <f t="shared" si="5"/>
        <v>1104.22</v>
      </c>
      <c r="P17" s="23">
        <f t="shared" si="6"/>
        <v>-125</v>
      </c>
      <c r="Q17" s="7">
        <v>0</v>
      </c>
      <c r="R17" s="3">
        <v>0</v>
      </c>
    </row>
    <row r="18" spans="2:18" x14ac:dyDescent="0.3">
      <c r="B18" s="54"/>
      <c r="C18" s="8" t="s">
        <v>12</v>
      </c>
      <c r="D18" s="5">
        <f t="shared" si="2"/>
        <v>35631.710000000006</v>
      </c>
      <c r="E18" s="5">
        <f t="shared" si="7"/>
        <v>0</v>
      </c>
      <c r="F18" s="21">
        <f t="shared" si="0"/>
        <v>0</v>
      </c>
      <c r="G18" s="24">
        <f t="shared" si="1"/>
        <v>0</v>
      </c>
      <c r="H18" s="25">
        <v>-3600</v>
      </c>
      <c r="I18" s="30">
        <v>0</v>
      </c>
      <c r="K18" s="54"/>
      <c r="L18" s="1" t="s">
        <v>21</v>
      </c>
      <c r="M18" s="3">
        <f t="shared" si="3"/>
        <v>79166.11000000003</v>
      </c>
      <c r="N18" s="3">
        <f t="shared" si="4"/>
        <v>3000</v>
      </c>
      <c r="O18" s="20">
        <f t="shared" si="5"/>
        <v>1104.22</v>
      </c>
      <c r="P18" s="23">
        <f t="shared" si="6"/>
        <v>-125</v>
      </c>
      <c r="Q18" s="7">
        <v>0</v>
      </c>
      <c r="R18" s="3">
        <v>0</v>
      </c>
    </row>
    <row r="19" spans="2:18" x14ac:dyDescent="0.3">
      <c r="B19" s="54"/>
      <c r="C19" s="1" t="s">
        <v>22</v>
      </c>
      <c r="D19" s="3">
        <f t="shared" si="2"/>
        <v>37860.930000000008</v>
      </c>
      <c r="E19" s="3">
        <f t="shared" si="7"/>
        <v>1250</v>
      </c>
      <c r="F19" s="20">
        <f t="shared" si="0"/>
        <v>1104.22</v>
      </c>
      <c r="G19" s="23">
        <f t="shared" si="1"/>
        <v>-125</v>
      </c>
      <c r="H19" s="7">
        <v>0</v>
      </c>
      <c r="I19" s="29">
        <v>0</v>
      </c>
      <c r="K19" s="54"/>
      <c r="L19" s="8" t="s">
        <v>47</v>
      </c>
      <c r="M19" s="5">
        <f t="shared" si="3"/>
        <v>75566.11000000003</v>
      </c>
      <c r="N19" s="5">
        <f t="shared" si="4"/>
        <v>0</v>
      </c>
      <c r="O19" s="21">
        <f t="shared" si="5"/>
        <v>0</v>
      </c>
      <c r="P19" s="24">
        <f t="shared" si="6"/>
        <v>0</v>
      </c>
      <c r="Q19" s="25">
        <v>-3600</v>
      </c>
      <c r="R19" s="5">
        <v>0</v>
      </c>
    </row>
    <row r="20" spans="2:18" x14ac:dyDescent="0.3">
      <c r="B20" s="54"/>
      <c r="C20" s="1" t="s">
        <v>23</v>
      </c>
      <c r="D20" s="3">
        <f t="shared" si="2"/>
        <v>40340.150000000009</v>
      </c>
      <c r="E20" s="3">
        <f t="shared" si="7"/>
        <v>1500</v>
      </c>
      <c r="F20" s="20">
        <f t="shared" si="0"/>
        <v>1104.22</v>
      </c>
      <c r="G20" s="23">
        <f t="shared" si="1"/>
        <v>-125</v>
      </c>
      <c r="H20" s="7">
        <v>0</v>
      </c>
      <c r="I20" s="29">
        <v>0</v>
      </c>
      <c r="K20" s="54"/>
      <c r="L20" s="1" t="s">
        <v>22</v>
      </c>
      <c r="M20" s="3">
        <f t="shared" si="3"/>
        <v>79545.330000000031</v>
      </c>
      <c r="N20" s="3">
        <f t="shared" si="4"/>
        <v>3000</v>
      </c>
      <c r="O20" s="20">
        <f t="shared" si="5"/>
        <v>1104.22</v>
      </c>
      <c r="P20" s="23">
        <f t="shared" si="6"/>
        <v>-125</v>
      </c>
      <c r="Q20" s="7">
        <v>0</v>
      </c>
      <c r="R20" s="3">
        <v>0</v>
      </c>
    </row>
    <row r="21" spans="2:18" x14ac:dyDescent="0.3">
      <c r="B21" s="54"/>
      <c r="C21" s="1" t="s">
        <v>24</v>
      </c>
      <c r="D21" s="3">
        <f t="shared" si="2"/>
        <v>42819.37000000001</v>
      </c>
      <c r="E21" s="3">
        <f t="shared" si="7"/>
        <v>1500</v>
      </c>
      <c r="F21" s="20">
        <f t="shared" si="0"/>
        <v>1104.22</v>
      </c>
      <c r="G21" s="23">
        <f t="shared" si="1"/>
        <v>-125</v>
      </c>
      <c r="H21" s="7">
        <v>0</v>
      </c>
      <c r="I21" s="29">
        <v>0</v>
      </c>
      <c r="K21" s="54"/>
      <c r="L21" s="1" t="s">
        <v>23</v>
      </c>
      <c r="M21" s="3">
        <f t="shared" si="3"/>
        <v>83774.550000000032</v>
      </c>
      <c r="N21" s="3">
        <f t="shared" si="4"/>
        <v>3250</v>
      </c>
      <c r="O21" s="20">
        <f t="shared" si="5"/>
        <v>1104.22</v>
      </c>
      <c r="P21" s="23">
        <f t="shared" si="6"/>
        <v>-125</v>
      </c>
      <c r="Q21" s="7">
        <v>0</v>
      </c>
      <c r="R21" s="3">
        <v>0</v>
      </c>
    </row>
    <row r="22" spans="2:18" x14ac:dyDescent="0.3">
      <c r="B22" s="55"/>
      <c r="C22" s="1" t="s">
        <v>25</v>
      </c>
      <c r="D22" s="3">
        <f t="shared" si="2"/>
        <v>45548.590000000011</v>
      </c>
      <c r="E22" s="3">
        <f t="shared" si="7"/>
        <v>1750</v>
      </c>
      <c r="F22" s="20">
        <f t="shared" si="0"/>
        <v>1104.22</v>
      </c>
      <c r="G22" s="23">
        <f t="shared" si="1"/>
        <v>-125</v>
      </c>
      <c r="H22" s="7">
        <v>0</v>
      </c>
      <c r="I22" s="29">
        <v>0</v>
      </c>
      <c r="K22" s="54"/>
      <c r="L22" s="1" t="s">
        <v>24</v>
      </c>
      <c r="M22" s="3">
        <f t="shared" si="3"/>
        <v>88003.770000000033</v>
      </c>
      <c r="N22" s="3">
        <f t="shared" si="4"/>
        <v>3250</v>
      </c>
      <c r="O22" s="20">
        <f t="shared" si="5"/>
        <v>1104.22</v>
      </c>
      <c r="P22" s="23">
        <f t="shared" si="6"/>
        <v>-125</v>
      </c>
      <c r="Q22" s="7">
        <v>0</v>
      </c>
      <c r="R22" s="3">
        <v>0</v>
      </c>
    </row>
    <row r="23" spans="2:18" x14ac:dyDescent="0.3">
      <c r="B23" s="53" t="s">
        <v>36</v>
      </c>
      <c r="C23" s="8" t="s">
        <v>10</v>
      </c>
      <c r="D23" s="5">
        <f t="shared" si="2"/>
        <v>41923.590000000011</v>
      </c>
      <c r="E23" s="5">
        <f t="shared" si="7"/>
        <v>0</v>
      </c>
      <c r="F23" s="21">
        <f t="shared" si="0"/>
        <v>0</v>
      </c>
      <c r="G23" s="24">
        <f t="shared" si="1"/>
        <v>0</v>
      </c>
      <c r="H23" s="25">
        <v>-3600</v>
      </c>
      <c r="I23" s="30">
        <v>-25</v>
      </c>
      <c r="K23" s="54"/>
      <c r="L23" s="1" t="s">
        <v>25</v>
      </c>
      <c r="M23" s="3">
        <f t="shared" si="3"/>
        <v>92482.990000000034</v>
      </c>
      <c r="N23" s="3">
        <f t="shared" si="4"/>
        <v>3500</v>
      </c>
      <c r="O23" s="20">
        <f t="shared" si="5"/>
        <v>1104.22</v>
      </c>
      <c r="P23" s="23">
        <f t="shared" si="6"/>
        <v>-125</v>
      </c>
      <c r="Q23" s="7">
        <v>0</v>
      </c>
      <c r="R23" s="3">
        <v>0</v>
      </c>
    </row>
    <row r="24" spans="2:18" x14ac:dyDescent="0.3">
      <c r="B24" s="54"/>
      <c r="C24" s="1" t="s">
        <v>26</v>
      </c>
      <c r="D24" s="3">
        <f t="shared" si="2"/>
        <v>44402.810000000012</v>
      </c>
      <c r="E24" s="3">
        <f t="shared" si="7"/>
        <v>1500</v>
      </c>
      <c r="F24" s="20">
        <f t="shared" si="0"/>
        <v>1104.22</v>
      </c>
      <c r="G24" s="23">
        <f t="shared" si="1"/>
        <v>-125</v>
      </c>
      <c r="H24" s="7">
        <v>0</v>
      </c>
      <c r="I24" s="29">
        <v>0</v>
      </c>
      <c r="K24" s="52" t="s">
        <v>9</v>
      </c>
      <c r="L24" s="8" t="s">
        <v>48</v>
      </c>
      <c r="M24" s="5">
        <f t="shared" si="3"/>
        <v>88857.990000000034</v>
      </c>
      <c r="N24" s="5">
        <f t="shared" si="4"/>
        <v>0</v>
      </c>
      <c r="O24" s="21">
        <f t="shared" si="5"/>
        <v>0</v>
      </c>
      <c r="P24" s="24">
        <f t="shared" si="6"/>
        <v>0</v>
      </c>
      <c r="Q24" s="25">
        <v>-3600</v>
      </c>
      <c r="R24" s="5">
        <v>-25</v>
      </c>
    </row>
    <row r="25" spans="2:18" x14ac:dyDescent="0.3">
      <c r="B25" s="54"/>
      <c r="C25" s="1" t="s">
        <v>27</v>
      </c>
      <c r="D25" s="3">
        <f t="shared" si="2"/>
        <v>47132.030000000013</v>
      </c>
      <c r="E25" s="3">
        <f t="shared" si="7"/>
        <v>1750</v>
      </c>
      <c r="F25" s="20">
        <f t="shared" si="0"/>
        <v>1104.22</v>
      </c>
      <c r="G25" s="23">
        <f t="shared" si="1"/>
        <v>-125</v>
      </c>
      <c r="H25" s="7">
        <v>0</v>
      </c>
      <c r="I25" s="29">
        <v>0</v>
      </c>
      <c r="K25" s="52"/>
      <c r="L25" s="1" t="s">
        <v>26</v>
      </c>
      <c r="M25" s="3">
        <f t="shared" si="3"/>
        <v>70357.990000000034</v>
      </c>
      <c r="N25" s="3">
        <f t="shared" si="4"/>
        <v>3500</v>
      </c>
      <c r="O25" s="20">
        <v>-15000</v>
      </c>
      <c r="P25" s="23">
        <v>-7000</v>
      </c>
      <c r="Q25" s="7">
        <v>0</v>
      </c>
      <c r="R25" s="3">
        <v>0</v>
      </c>
    </row>
    <row r="26" spans="2:18" x14ac:dyDescent="0.3">
      <c r="B26" s="54"/>
      <c r="C26" s="1" t="s">
        <v>28</v>
      </c>
      <c r="D26" s="3">
        <f t="shared" si="2"/>
        <v>49861.250000000015</v>
      </c>
      <c r="E26" s="3">
        <f t="shared" si="7"/>
        <v>1750</v>
      </c>
      <c r="F26" s="20">
        <f t="shared" si="0"/>
        <v>1104.22</v>
      </c>
      <c r="G26" s="23">
        <f t="shared" si="1"/>
        <v>-125</v>
      </c>
      <c r="H26" s="7">
        <v>0</v>
      </c>
      <c r="I26" s="29">
        <v>0</v>
      </c>
      <c r="K26" s="52"/>
      <c r="L26" s="1" t="s">
        <v>27</v>
      </c>
      <c r="M26" s="3">
        <f t="shared" si="3"/>
        <v>73107.990000000034</v>
      </c>
      <c r="N26" s="3">
        <f t="shared" si="4"/>
        <v>2750</v>
      </c>
      <c r="O26" s="20">
        <v>0</v>
      </c>
      <c r="P26" s="23">
        <v>0</v>
      </c>
      <c r="Q26" s="7">
        <v>0</v>
      </c>
      <c r="R26" s="3">
        <v>0</v>
      </c>
    </row>
    <row r="27" spans="2:18" x14ac:dyDescent="0.3">
      <c r="B27" s="54"/>
      <c r="C27" s="8" t="s">
        <v>11</v>
      </c>
      <c r="D27" s="5">
        <f t="shared" si="2"/>
        <v>46261.250000000015</v>
      </c>
      <c r="E27" s="5">
        <f t="shared" si="7"/>
        <v>0</v>
      </c>
      <c r="F27" s="21">
        <f t="shared" si="0"/>
        <v>0</v>
      </c>
      <c r="G27" s="24">
        <f t="shared" si="1"/>
        <v>0</v>
      </c>
      <c r="H27" s="25">
        <v>-3600</v>
      </c>
      <c r="I27" s="30">
        <v>0</v>
      </c>
      <c r="K27" s="52"/>
      <c r="L27" s="8" t="s">
        <v>49</v>
      </c>
      <c r="M27" s="5">
        <f t="shared" si="3"/>
        <v>69507.990000000034</v>
      </c>
      <c r="N27" s="5">
        <f t="shared" si="4"/>
        <v>0</v>
      </c>
      <c r="O27" s="21">
        <v>0</v>
      </c>
      <c r="P27" s="24">
        <v>0</v>
      </c>
      <c r="Q27" s="25">
        <v>-3600</v>
      </c>
      <c r="R27" s="5">
        <v>0</v>
      </c>
    </row>
    <row r="28" spans="2:18" x14ac:dyDescent="0.3">
      <c r="B28" s="54"/>
      <c r="C28" s="1" t="s">
        <v>29</v>
      </c>
      <c r="D28" s="3">
        <f t="shared" si="2"/>
        <v>48990.470000000016</v>
      </c>
      <c r="E28" s="3">
        <f t="shared" si="7"/>
        <v>1750</v>
      </c>
      <c r="F28" s="20">
        <f t="shared" si="0"/>
        <v>1104.22</v>
      </c>
      <c r="G28" s="23">
        <f t="shared" si="1"/>
        <v>-125</v>
      </c>
      <c r="H28" s="7">
        <v>0</v>
      </c>
      <c r="I28" s="29">
        <v>0</v>
      </c>
      <c r="K28" s="52"/>
      <c r="L28" s="1" t="s">
        <v>28</v>
      </c>
      <c r="M28" s="3">
        <f t="shared" si="3"/>
        <v>72257.990000000034</v>
      </c>
      <c r="N28" s="3">
        <f t="shared" si="4"/>
        <v>2750</v>
      </c>
      <c r="O28" s="20">
        <v>0</v>
      </c>
      <c r="P28" s="23">
        <v>0</v>
      </c>
      <c r="Q28" s="7">
        <v>0</v>
      </c>
      <c r="R28" s="3">
        <v>0</v>
      </c>
    </row>
    <row r="29" spans="2:18" x14ac:dyDescent="0.3">
      <c r="B29" s="54"/>
      <c r="C29" s="1" t="s">
        <v>30</v>
      </c>
      <c r="D29" s="3">
        <f t="shared" si="2"/>
        <v>51969.690000000017</v>
      </c>
      <c r="E29" s="3">
        <f t="shared" si="7"/>
        <v>2000</v>
      </c>
      <c r="F29" s="20">
        <f t="shared" si="0"/>
        <v>1104.22</v>
      </c>
      <c r="G29" s="23">
        <f t="shared" si="1"/>
        <v>-125</v>
      </c>
      <c r="H29" s="7">
        <v>0</v>
      </c>
      <c r="I29" s="29">
        <v>0</v>
      </c>
      <c r="K29" s="52"/>
      <c r="L29" s="1" t="s">
        <v>29</v>
      </c>
      <c r="M29" s="3">
        <f t="shared" si="3"/>
        <v>75257.990000000034</v>
      </c>
      <c r="N29" s="3">
        <f t="shared" si="4"/>
        <v>3000</v>
      </c>
      <c r="O29" s="20">
        <v>0</v>
      </c>
      <c r="P29" s="23">
        <v>0</v>
      </c>
      <c r="Q29" s="7">
        <v>0</v>
      </c>
      <c r="R29" s="3">
        <v>0</v>
      </c>
    </row>
    <row r="30" spans="2:18" x14ac:dyDescent="0.3">
      <c r="B30" s="54"/>
      <c r="C30" s="8" t="s">
        <v>13</v>
      </c>
      <c r="D30" s="5">
        <f t="shared" si="2"/>
        <v>48369.690000000017</v>
      </c>
      <c r="E30" s="5">
        <f t="shared" si="7"/>
        <v>0</v>
      </c>
      <c r="F30" s="21">
        <f t="shared" si="0"/>
        <v>0</v>
      </c>
      <c r="G30" s="24">
        <f t="shared" si="1"/>
        <v>0</v>
      </c>
      <c r="H30" s="25">
        <v>-3600</v>
      </c>
      <c r="I30" s="30">
        <v>0</v>
      </c>
      <c r="K30" s="52"/>
      <c r="L30" s="1" t="s">
        <v>30</v>
      </c>
      <c r="M30" s="3">
        <f t="shared" si="3"/>
        <v>78257.990000000034</v>
      </c>
      <c r="N30" s="3">
        <f t="shared" si="4"/>
        <v>3000</v>
      </c>
      <c r="O30" s="20">
        <v>0</v>
      </c>
      <c r="P30" s="23">
        <v>0</v>
      </c>
      <c r="Q30" s="7">
        <v>0</v>
      </c>
      <c r="R30" s="3">
        <v>0</v>
      </c>
    </row>
    <row r="31" spans="2:18" x14ac:dyDescent="0.3">
      <c r="B31" s="54"/>
      <c r="C31" s="1" t="s">
        <v>31</v>
      </c>
      <c r="D31" s="3">
        <f t="shared" si="2"/>
        <v>51348.910000000018</v>
      </c>
      <c r="E31" s="3">
        <f t="shared" si="7"/>
        <v>2000</v>
      </c>
      <c r="F31" s="20">
        <f t="shared" si="0"/>
        <v>1104.22</v>
      </c>
      <c r="G31" s="23">
        <f t="shared" si="1"/>
        <v>-125</v>
      </c>
      <c r="H31" s="7">
        <v>0</v>
      </c>
      <c r="I31" s="29">
        <v>0</v>
      </c>
      <c r="K31" s="52"/>
      <c r="L31" s="1" t="s">
        <v>31</v>
      </c>
      <c r="M31" s="3">
        <f t="shared" si="3"/>
        <v>81507.990000000034</v>
      </c>
      <c r="N31" s="3">
        <f t="shared" si="4"/>
        <v>3250</v>
      </c>
      <c r="O31" s="20">
        <v>0</v>
      </c>
      <c r="P31" s="23">
        <v>0</v>
      </c>
      <c r="Q31" s="7">
        <v>0</v>
      </c>
      <c r="R31" s="3">
        <v>0</v>
      </c>
    </row>
    <row r="32" spans="2:18" x14ac:dyDescent="0.3">
      <c r="B32" s="54"/>
      <c r="C32" s="1" t="s">
        <v>32</v>
      </c>
      <c r="D32" s="3">
        <f t="shared" si="2"/>
        <v>54328.130000000019</v>
      </c>
      <c r="E32" s="3">
        <f t="shared" si="7"/>
        <v>2000</v>
      </c>
      <c r="F32" s="20">
        <f t="shared" si="0"/>
        <v>1104.22</v>
      </c>
      <c r="G32" s="23">
        <f t="shared" si="1"/>
        <v>-125</v>
      </c>
      <c r="H32" s="7">
        <v>0</v>
      </c>
      <c r="I32" s="29">
        <v>0</v>
      </c>
      <c r="K32" s="52" t="s">
        <v>36</v>
      </c>
      <c r="L32" s="8" t="s">
        <v>50</v>
      </c>
      <c r="M32" s="5">
        <f t="shared" si="3"/>
        <v>76732.990000000034</v>
      </c>
      <c r="N32" s="5">
        <f t="shared" si="4"/>
        <v>0</v>
      </c>
      <c r="O32" s="21">
        <v>0</v>
      </c>
      <c r="P32" s="24">
        <v>0</v>
      </c>
      <c r="Q32" s="25">
        <v>-4750</v>
      </c>
      <c r="R32" s="5">
        <v>-25</v>
      </c>
    </row>
    <row r="33" spans="2:18" x14ac:dyDescent="0.3">
      <c r="B33" s="54"/>
      <c r="C33" s="1" t="s">
        <v>33</v>
      </c>
      <c r="D33" s="3">
        <f t="shared" si="2"/>
        <v>57557.35000000002</v>
      </c>
      <c r="E33" s="3">
        <f t="shared" si="7"/>
        <v>2250</v>
      </c>
      <c r="F33" s="20">
        <f t="shared" si="0"/>
        <v>1104.22</v>
      </c>
      <c r="G33" s="23">
        <f t="shared" si="1"/>
        <v>-125</v>
      </c>
      <c r="H33" s="7">
        <v>0</v>
      </c>
      <c r="I33" s="29">
        <v>0</v>
      </c>
      <c r="K33" s="52"/>
      <c r="L33" s="1" t="s">
        <v>32</v>
      </c>
      <c r="M33" s="3">
        <f t="shared" si="3"/>
        <v>79732.990000000034</v>
      </c>
      <c r="N33" s="3">
        <f t="shared" si="4"/>
        <v>3000</v>
      </c>
      <c r="O33" s="20">
        <v>0</v>
      </c>
      <c r="P33" s="23">
        <v>0</v>
      </c>
      <c r="Q33" s="7">
        <v>0</v>
      </c>
      <c r="R33" s="3">
        <v>0</v>
      </c>
    </row>
    <row r="34" spans="2:18" x14ac:dyDescent="0.3">
      <c r="B34" s="55"/>
      <c r="C34" s="1" t="s">
        <v>34</v>
      </c>
      <c r="D34" s="3">
        <f t="shared" si="2"/>
        <v>60786.570000000022</v>
      </c>
      <c r="E34" s="3">
        <f t="shared" si="7"/>
        <v>2250</v>
      </c>
      <c r="F34" s="20">
        <f t="shared" si="0"/>
        <v>1104.22</v>
      </c>
      <c r="G34" s="23">
        <f t="shared" si="1"/>
        <v>-125</v>
      </c>
      <c r="H34" s="7">
        <v>0</v>
      </c>
      <c r="I34" s="29">
        <v>0</v>
      </c>
      <c r="K34" s="52"/>
      <c r="L34" s="1" t="s">
        <v>33</v>
      </c>
      <c r="M34" s="3">
        <f t="shared" si="3"/>
        <v>82982.990000000034</v>
      </c>
      <c r="N34" s="3">
        <f t="shared" si="4"/>
        <v>3250</v>
      </c>
      <c r="O34" s="20">
        <v>0</v>
      </c>
      <c r="P34" s="23">
        <v>0</v>
      </c>
      <c r="Q34" s="7">
        <v>0</v>
      </c>
      <c r="R34" s="3">
        <v>0</v>
      </c>
    </row>
    <row r="35" spans="2:18" x14ac:dyDescent="0.3">
      <c r="B35" s="10" t="s">
        <v>37</v>
      </c>
      <c r="C35" s="11" t="s">
        <v>38</v>
      </c>
      <c r="D35" s="26">
        <f>D34</f>
        <v>60786.570000000022</v>
      </c>
      <c r="E35" s="27">
        <f t="shared" ref="E35:F35" si="8">SUM(E9:E34)</f>
        <v>34500</v>
      </c>
      <c r="F35" s="27">
        <f t="shared" si="8"/>
        <v>22084.400000000001</v>
      </c>
      <c r="G35" s="27">
        <f>SUM(G9:G34)</f>
        <v>-2500</v>
      </c>
      <c r="H35" s="27">
        <f>SUM(H9:H34)</f>
        <v>-18000</v>
      </c>
      <c r="I35" s="31">
        <v>0</v>
      </c>
      <c r="K35" s="52"/>
      <c r="L35" s="1" t="s">
        <v>34</v>
      </c>
      <c r="M35" s="3">
        <f t="shared" si="3"/>
        <v>86232.990000000034</v>
      </c>
      <c r="N35" s="3">
        <f t="shared" si="4"/>
        <v>3250</v>
      </c>
      <c r="O35" s="20">
        <v>0</v>
      </c>
      <c r="P35" s="23">
        <v>0</v>
      </c>
      <c r="Q35" s="7">
        <v>0</v>
      </c>
      <c r="R35" s="3">
        <v>0</v>
      </c>
    </row>
    <row r="36" spans="2:18" x14ac:dyDescent="0.3">
      <c r="K36" s="52"/>
      <c r="L36" s="8" t="s">
        <v>51</v>
      </c>
      <c r="M36" s="5">
        <f t="shared" si="3"/>
        <v>81482.990000000034</v>
      </c>
      <c r="N36" s="5">
        <f t="shared" si="4"/>
        <v>0</v>
      </c>
      <c r="O36" s="21">
        <v>0</v>
      </c>
      <c r="P36" s="24">
        <v>0</v>
      </c>
      <c r="Q36" s="25">
        <v>-4750</v>
      </c>
      <c r="R36" s="5">
        <v>0</v>
      </c>
    </row>
    <row r="37" spans="2:18" x14ac:dyDescent="0.3">
      <c r="D37" s="4"/>
      <c r="E37" s="19"/>
      <c r="F37" s="19"/>
      <c r="K37" s="52"/>
      <c r="L37" s="1" t="s">
        <v>35</v>
      </c>
      <c r="M37" s="3">
        <f t="shared" si="3"/>
        <v>84732.990000000034</v>
      </c>
      <c r="N37" s="3">
        <f t="shared" si="4"/>
        <v>3250</v>
      </c>
      <c r="O37" s="20">
        <v>0</v>
      </c>
      <c r="P37" s="23">
        <v>0</v>
      </c>
      <c r="Q37" s="7">
        <v>0</v>
      </c>
      <c r="R37" s="3">
        <v>0</v>
      </c>
    </row>
    <row r="38" spans="2:18" x14ac:dyDescent="0.3">
      <c r="D38" s="4"/>
      <c r="K38" s="52"/>
      <c r="L38" s="1" t="s">
        <v>39</v>
      </c>
      <c r="M38" s="3">
        <f t="shared" si="3"/>
        <v>88232.990000000034</v>
      </c>
      <c r="N38" s="3">
        <f t="shared" si="4"/>
        <v>3500</v>
      </c>
      <c r="O38" s="20">
        <v>0</v>
      </c>
      <c r="P38" s="23">
        <v>0</v>
      </c>
      <c r="Q38" s="7">
        <v>0</v>
      </c>
      <c r="R38" s="3">
        <v>0</v>
      </c>
    </row>
    <row r="39" spans="2:18" x14ac:dyDescent="0.3">
      <c r="K39" s="52"/>
      <c r="L39" s="8" t="s">
        <v>52</v>
      </c>
      <c r="M39" s="5">
        <f t="shared" si="3"/>
        <v>83482.990000000034</v>
      </c>
      <c r="N39" s="5">
        <f t="shared" si="4"/>
        <v>0</v>
      </c>
      <c r="O39" s="21">
        <v>0</v>
      </c>
      <c r="P39" s="24">
        <v>0</v>
      </c>
      <c r="Q39" s="25">
        <v>-4750</v>
      </c>
      <c r="R39" s="5">
        <v>0</v>
      </c>
    </row>
    <row r="40" spans="2:18" x14ac:dyDescent="0.3">
      <c r="K40" s="52"/>
      <c r="L40" s="1" t="s">
        <v>40</v>
      </c>
      <c r="M40" s="3">
        <f t="shared" si="3"/>
        <v>86732.990000000034</v>
      </c>
      <c r="N40" s="3">
        <f t="shared" si="4"/>
        <v>3250</v>
      </c>
      <c r="O40" s="20">
        <v>0</v>
      </c>
      <c r="P40" s="23">
        <v>0</v>
      </c>
      <c r="Q40" s="7">
        <v>0</v>
      </c>
      <c r="R40" s="3">
        <v>0</v>
      </c>
    </row>
    <row r="41" spans="2:18" x14ac:dyDescent="0.3">
      <c r="K41" s="52"/>
      <c r="L41" s="1" t="s">
        <v>41</v>
      </c>
      <c r="M41" s="3">
        <f t="shared" si="3"/>
        <v>90232.990000000034</v>
      </c>
      <c r="N41" s="3">
        <f t="shared" si="4"/>
        <v>3500</v>
      </c>
      <c r="O41" s="20">
        <v>0</v>
      </c>
      <c r="P41" s="23">
        <v>0</v>
      </c>
      <c r="Q41" s="7">
        <v>0</v>
      </c>
      <c r="R41" s="3">
        <v>0</v>
      </c>
    </row>
    <row r="42" spans="2:18" x14ac:dyDescent="0.3">
      <c r="K42" s="52"/>
      <c r="L42" s="1" t="s">
        <v>42</v>
      </c>
      <c r="M42" s="3">
        <f t="shared" si="3"/>
        <v>93982.990000000034</v>
      </c>
      <c r="N42" s="3">
        <f t="shared" si="4"/>
        <v>3750</v>
      </c>
      <c r="O42" s="20">
        <v>0</v>
      </c>
      <c r="P42" s="23">
        <v>0</v>
      </c>
      <c r="Q42" s="7">
        <v>0</v>
      </c>
      <c r="R42" s="3">
        <v>0</v>
      </c>
    </row>
    <row r="43" spans="2:18" x14ac:dyDescent="0.3">
      <c r="K43" s="52"/>
      <c r="L43" s="1" t="s">
        <v>43</v>
      </c>
      <c r="M43" s="3">
        <f t="shared" si="3"/>
        <v>97732.990000000034</v>
      </c>
      <c r="N43" s="3">
        <f t="shared" si="4"/>
        <v>3750</v>
      </c>
      <c r="O43" s="20">
        <v>0</v>
      </c>
      <c r="P43" s="23">
        <v>0</v>
      </c>
      <c r="Q43" s="7">
        <v>0</v>
      </c>
      <c r="R43" s="3">
        <v>0</v>
      </c>
    </row>
    <row r="44" spans="2:18" x14ac:dyDescent="0.3">
      <c r="K44" s="10" t="s">
        <v>37</v>
      </c>
      <c r="L44" s="11" t="s">
        <v>53</v>
      </c>
      <c r="M44" s="26">
        <f>M43</f>
        <v>97732.990000000034</v>
      </c>
      <c r="N44" s="27">
        <f>SUM(N9:N43)</f>
        <v>80500</v>
      </c>
      <c r="O44" s="27">
        <f t="shared" ref="O44:Q44" si="9">SUM(O9:O43)</f>
        <v>-2853.5800000000017</v>
      </c>
      <c r="P44" s="27">
        <f t="shared" si="9"/>
        <v>-8375</v>
      </c>
      <c r="Q44" s="27">
        <f t="shared" si="9"/>
        <v>-32250</v>
      </c>
      <c r="R44" s="12">
        <v>0</v>
      </c>
    </row>
  </sheetData>
  <mergeCells count="6">
    <mergeCell ref="K32:K43"/>
    <mergeCell ref="B9:B14"/>
    <mergeCell ref="K9:K23"/>
    <mergeCell ref="B15:B22"/>
    <mergeCell ref="B23:B34"/>
    <mergeCell ref="K24:K31"/>
  </mergeCells>
  <conditionalFormatting sqref="C10:E10 C11:C14 B15:C15 C16:C34 B23 B74:I1048576 F10:I34 D11:E34 B1:I9 L10:Q43 B35:I36 K44:Q44">
    <cfRule type="notContainsBlanks" dxfId="11" priority="4">
      <formula>LEN(TRIM(B1))&gt;0</formula>
    </cfRule>
  </conditionalFormatting>
  <conditionalFormatting sqref="K9:O9 K24 O11:O44">
    <cfRule type="notContainsBlanks" dxfId="10" priority="3">
      <formula>LEN(TRIM(K9))&gt;0</formula>
    </cfRule>
  </conditionalFormatting>
  <conditionalFormatting sqref="K8:Q8">
    <cfRule type="notContainsBlanks" dxfId="9" priority="2">
      <formula>LEN(TRIM(K8))&gt;0</formula>
    </cfRule>
  </conditionalFormatting>
  <conditionalFormatting sqref="A1:XFD1048576">
    <cfRule type="notContainsBlanks" dxfId="8" priority="1">
      <formula>LEN(TRIM(A1))&gt;0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BCBA8-2176-485D-BE06-B4353709CA25}">
  <dimension ref="B1:R49"/>
  <sheetViews>
    <sheetView showGridLines="0" zoomScale="85" zoomScaleNormal="85" workbookViewId="0">
      <selection activeCell="K20" sqref="K20"/>
    </sheetView>
  </sheetViews>
  <sheetFormatPr defaultRowHeight="14.4" x14ac:dyDescent="0.3"/>
  <cols>
    <col min="1" max="1" width="5" customWidth="1"/>
    <col min="2" max="3" width="8.44140625" customWidth="1"/>
    <col min="4" max="4" width="8.44140625" style="1" customWidth="1"/>
    <col min="5" max="5" width="3.44140625" style="1" customWidth="1"/>
    <col min="6" max="6" width="34.77734375" style="33" bestFit="1" customWidth="1"/>
    <col min="7" max="8" width="12.5546875" style="34" customWidth="1"/>
    <col min="9" max="9" width="13.44140625" style="1" bestFit="1" customWidth="1"/>
    <col min="10" max="10" width="6.77734375" style="1" customWidth="1"/>
    <col min="11" max="11" width="13.44140625" style="1" customWidth="1"/>
    <col min="12" max="12" width="9.6640625" style="1" customWidth="1"/>
    <col min="13" max="13" width="38.6640625" style="33" customWidth="1"/>
    <col min="14" max="14" width="9.6640625" customWidth="1"/>
    <col min="15" max="15" width="12.5546875" customWidth="1"/>
    <col min="16" max="16" width="12" style="1" bestFit="1" customWidth="1"/>
    <col min="17" max="17" width="11.109375" bestFit="1" customWidth="1"/>
  </cols>
  <sheetData>
    <row r="1" spans="6:18" x14ac:dyDescent="0.3">
      <c r="G1" s="33"/>
      <c r="H1" s="33"/>
    </row>
    <row r="2" spans="6:18" x14ac:dyDescent="0.3">
      <c r="G2" s="1" t="s">
        <v>63</v>
      </c>
      <c r="H2" s="1" t="s">
        <v>64</v>
      </c>
      <c r="I2" s="1" t="s">
        <v>65</v>
      </c>
      <c r="M2" s="33" t="s">
        <v>66</v>
      </c>
      <c r="N2" s="59">
        <v>70000</v>
      </c>
      <c r="O2" s="59"/>
      <c r="R2" s="34"/>
    </row>
    <row r="3" spans="6:18" x14ac:dyDescent="0.3">
      <c r="F3" s="33" t="s">
        <v>67</v>
      </c>
      <c r="G3" s="34">
        <f>ROUNDUP(I3/26, 2)</f>
        <v>4223.5200000000004</v>
      </c>
      <c r="H3" s="34">
        <f>I3/12</f>
        <v>9150.9600000000009</v>
      </c>
      <c r="I3" s="6">
        <f>74880*1.0475*1.4</f>
        <v>109811.52</v>
      </c>
      <c r="J3" s="6"/>
      <c r="K3" s="6"/>
      <c r="L3" s="6"/>
      <c r="M3" s="33" t="s">
        <v>68</v>
      </c>
      <c r="N3" s="59">
        <f>90000/65804*N2</f>
        <v>95738.860859522218</v>
      </c>
      <c r="O3" s="59"/>
      <c r="R3" s="34"/>
    </row>
    <row r="4" spans="6:18" x14ac:dyDescent="0.3">
      <c r="F4" s="33" t="s">
        <v>69</v>
      </c>
      <c r="G4" s="34">
        <v>0.8</v>
      </c>
      <c r="H4" s="34">
        <f>I4/12</f>
        <v>1.7333333333333334</v>
      </c>
      <c r="I4" s="6">
        <f>G4*26</f>
        <v>20.8</v>
      </c>
      <c r="J4" s="6"/>
      <c r="K4" s="6"/>
      <c r="L4" s="6"/>
      <c r="N4" s="34"/>
      <c r="P4" s="6"/>
      <c r="Q4" s="34"/>
      <c r="R4" s="34"/>
    </row>
    <row r="5" spans="6:18" x14ac:dyDescent="0.3">
      <c r="M5" s="33" t="s">
        <v>70</v>
      </c>
      <c r="N5" s="59">
        <f>85000/145913*N6</f>
        <v>106743.61145691197</v>
      </c>
      <c r="O5" s="59"/>
      <c r="P5" s="6"/>
      <c r="Q5" s="34"/>
      <c r="R5" s="34"/>
    </row>
    <row r="6" spans="6:18" x14ac:dyDescent="0.3">
      <c r="F6" s="33" t="s">
        <v>71</v>
      </c>
      <c r="G6" s="34">
        <v>-60.34</v>
      </c>
      <c r="H6" s="34">
        <f>I6/12</f>
        <v>-130.73666666666668</v>
      </c>
      <c r="I6" s="6">
        <f>G6*26</f>
        <v>-1568.8400000000001</v>
      </c>
      <c r="J6" s="6"/>
      <c r="K6" s="6"/>
      <c r="L6" s="6"/>
      <c r="M6" s="33" t="s">
        <v>72</v>
      </c>
      <c r="N6" s="59">
        <f>316741/121000*N2</f>
        <v>183238.59504132232</v>
      </c>
      <c r="O6" s="59"/>
      <c r="P6" s="6"/>
      <c r="Q6" s="34"/>
      <c r="R6" s="34"/>
    </row>
    <row r="7" spans="6:18" x14ac:dyDescent="0.3">
      <c r="F7" s="33" t="s">
        <v>73</v>
      </c>
      <c r="G7" s="34">
        <v>-19.23</v>
      </c>
      <c r="H7" s="34">
        <f t="shared" ref="H7:H10" si="0">I7/12</f>
        <v>-41.664999999999999</v>
      </c>
      <c r="I7" s="6">
        <f t="shared" ref="I7:I10" si="1">G7*26</f>
        <v>-499.98</v>
      </c>
      <c r="J7" s="6"/>
      <c r="K7" s="6"/>
      <c r="L7" s="6"/>
      <c r="M7" s="33" t="s">
        <v>74</v>
      </c>
      <c r="N7" s="59">
        <f>N2/42736*114000</f>
        <v>186727.81729689255</v>
      </c>
      <c r="O7" s="59"/>
    </row>
    <row r="8" spans="6:18" x14ac:dyDescent="0.3">
      <c r="F8" s="33" t="s">
        <v>75</v>
      </c>
      <c r="G8" s="34">
        <v>0</v>
      </c>
      <c r="H8" s="34">
        <f t="shared" si="0"/>
        <v>0</v>
      </c>
      <c r="I8" s="6">
        <f t="shared" si="1"/>
        <v>0</v>
      </c>
      <c r="J8" s="6"/>
      <c r="K8" s="6"/>
      <c r="L8" s="6"/>
      <c r="O8" s="34"/>
    </row>
    <row r="9" spans="6:18" x14ac:dyDescent="0.3">
      <c r="F9" s="33" t="s">
        <v>76</v>
      </c>
      <c r="G9" s="34">
        <v>-6.38</v>
      </c>
      <c r="H9" s="34">
        <f t="shared" si="0"/>
        <v>-13.823333333333332</v>
      </c>
      <c r="I9" s="6">
        <f t="shared" si="1"/>
        <v>-165.88</v>
      </c>
      <c r="J9" s="6"/>
      <c r="K9" s="6"/>
      <c r="L9" s="6"/>
      <c r="O9" s="34"/>
    </row>
    <row r="10" spans="6:18" x14ac:dyDescent="0.3">
      <c r="F10" s="33" t="s">
        <v>77</v>
      </c>
      <c r="G10" s="34">
        <v>-4.6399999999999997</v>
      </c>
      <c r="H10" s="34">
        <f t="shared" si="0"/>
        <v>-10.053333333333333</v>
      </c>
      <c r="I10" s="6">
        <f t="shared" si="1"/>
        <v>-120.63999999999999</v>
      </c>
      <c r="J10" s="6"/>
      <c r="K10" s="6"/>
      <c r="L10" s="6"/>
      <c r="O10" s="34"/>
    </row>
    <row r="11" spans="6:18" x14ac:dyDescent="0.3">
      <c r="F11" s="33" t="s">
        <v>78</v>
      </c>
      <c r="G11" s="34">
        <v>-41.54</v>
      </c>
      <c r="H11" s="34">
        <f>I11/12</f>
        <v>-90.00333333333333</v>
      </c>
      <c r="I11" s="6">
        <f>G11*26</f>
        <v>-1080.04</v>
      </c>
      <c r="J11" s="6"/>
      <c r="K11" s="6"/>
      <c r="L11" s="6"/>
      <c r="O11" s="34"/>
    </row>
    <row r="12" spans="6:18" x14ac:dyDescent="0.3">
      <c r="I12" s="6"/>
      <c r="J12" s="6"/>
      <c r="K12" s="6"/>
      <c r="L12" s="6"/>
      <c r="M12" s="34"/>
      <c r="N12" s="1"/>
      <c r="O12" s="1"/>
      <c r="Q12" s="1"/>
      <c r="R12" s="1"/>
    </row>
    <row r="13" spans="6:18" x14ac:dyDescent="0.3">
      <c r="F13" s="33" t="s">
        <v>79</v>
      </c>
      <c r="G13" s="34">
        <f>I13/26</f>
        <v>0</v>
      </c>
      <c r="H13" s="34">
        <f>I13/12</f>
        <v>0</v>
      </c>
      <c r="I13" s="34"/>
      <c r="J13" s="34"/>
      <c r="K13" s="6"/>
      <c r="L13" s="6"/>
      <c r="N13" s="35"/>
      <c r="O13" s="35"/>
      <c r="Q13" s="4"/>
      <c r="R13" s="4"/>
    </row>
    <row r="14" spans="6:18" x14ac:dyDescent="0.3">
      <c r="I14" s="6"/>
      <c r="J14" s="6"/>
      <c r="K14" s="6"/>
      <c r="L14" s="6"/>
      <c r="N14" s="35"/>
      <c r="O14" s="4"/>
      <c r="Q14" s="4"/>
      <c r="R14" s="4"/>
    </row>
    <row r="15" spans="6:18" x14ac:dyDescent="0.3">
      <c r="F15" s="33" t="s">
        <v>80</v>
      </c>
      <c r="G15" s="34">
        <f>G3+G4+G7+G8+G9</f>
        <v>4198.7100000000009</v>
      </c>
      <c r="H15" s="34">
        <f t="shared" ref="H15:I15" si="2">H3+H4+H7+H8+H9</f>
        <v>9097.2049999999999</v>
      </c>
      <c r="I15" s="34">
        <f t="shared" si="2"/>
        <v>109166.46</v>
      </c>
      <c r="J15" s="34"/>
      <c r="K15" s="6"/>
      <c r="L15" s="6"/>
      <c r="N15" s="34"/>
      <c r="Q15" s="4"/>
      <c r="R15" s="4"/>
    </row>
    <row r="16" spans="6:18" x14ac:dyDescent="0.3">
      <c r="F16" s="33" t="s">
        <v>81</v>
      </c>
      <c r="G16" s="34">
        <f>G15+G6-G13</f>
        <v>4138.3700000000008</v>
      </c>
      <c r="H16" s="34">
        <f t="shared" ref="H16:I16" si="3">H15+H6-H13</f>
        <v>8966.4683333333342</v>
      </c>
      <c r="I16" s="34">
        <f t="shared" si="3"/>
        <v>107597.62000000001</v>
      </c>
      <c r="J16" s="34"/>
      <c r="K16" s="6"/>
      <c r="L16" s="6"/>
      <c r="N16" s="4"/>
    </row>
    <row r="17" spans="2:18" x14ac:dyDescent="0.3">
      <c r="N17" s="34"/>
      <c r="Q17" s="4"/>
      <c r="R17" s="4"/>
    </row>
    <row r="18" spans="2:18" x14ac:dyDescent="0.3">
      <c r="B18" s="36">
        <f>ABS(G18/$G$3)</f>
        <v>0.11068262378300565</v>
      </c>
      <c r="C18" s="36">
        <v>0.11296</v>
      </c>
      <c r="D18" s="36">
        <f>IF(N17&gt;523601, ((N17-523600)*0.37+157804.25)/N17, IF(N17&gt;209426, ((N17-209425)*0.35+47843)/N17, IF(N17&gt;164926, ((N17-164925)*0.32+33603)/N17, IF(N17&gt;86376, ((N17-86375)*0.24+14751)/N17, IF(N17&gt;40526, ((N17-40525)*0.22+4664)/N17, IF(N17&gt;9951, ((N17-9950)*0.12+995)/N17, IF(N17&gt;0, ((N17-0)*0.1+0)/N17, 0)))))))</f>
        <v>0</v>
      </c>
      <c r="E18" s="36"/>
      <c r="F18" s="33" t="s">
        <v>82</v>
      </c>
      <c r="G18" s="34">
        <f>G16*$C$18*(-1)</f>
        <v>-467.47027520000012</v>
      </c>
      <c r="H18" s="34">
        <f t="shared" ref="H18:I18" si="4">H16*$C$18*(-1)</f>
        <v>-1012.8522629333335</v>
      </c>
      <c r="I18" s="34">
        <f t="shared" si="4"/>
        <v>-12154.227155200002</v>
      </c>
      <c r="J18" s="34"/>
      <c r="K18" s="6"/>
      <c r="L18" s="34"/>
      <c r="M18" s="34"/>
    </row>
    <row r="19" spans="2:18" x14ac:dyDescent="0.3">
      <c r="B19" s="36">
        <f>ABS(G19/$G$3)</f>
        <v>4.1782788461993792E-2</v>
      </c>
      <c r="C19" s="36">
        <v>4.26425E-2</v>
      </c>
      <c r="D19" s="36">
        <f>IF(N17&gt;625370, ((N17-625369)*0.123+60789.92)/N17, IF(N17&gt;375222, ((N17-375221)*0.113+32523.2)/N17, IF(N17&gt;312687, ((N17-312686)*0.103+26082.09)/N17, IF(N17&gt;61215, ((N17-61214)*0.093+2695.19)/N17, IF(N17&gt;48436, ((N17-48435)*0.08+1672.87)/N17, IF(N17&gt;34893, ((N17-34892)*0.06+860.29)/N17, IF(N17&gt;22108, ((N17-22107)*0.04+348.89)/N17, IF(N17&gt;9326, ((N17-9325)*0.02+98.25)/N17, IF(N17&gt;0, ((N17-0)*0.01+0)/N17, )))))))))</f>
        <v>0</v>
      </c>
      <c r="E19" s="36"/>
      <c r="F19" s="33" t="s">
        <v>83</v>
      </c>
      <c r="G19" s="34">
        <f>G16*$C$19*(-1)</f>
        <v>-176.47044272500003</v>
      </c>
      <c r="H19" s="34">
        <f t="shared" ref="H19:I19" si="5">H16*$C$19*(-1)</f>
        <v>-382.3526259041667</v>
      </c>
      <c r="I19" s="34">
        <f t="shared" si="5"/>
        <v>-4588.2315108500006</v>
      </c>
      <c r="J19" s="34"/>
      <c r="K19" s="6"/>
      <c r="L19" s="34"/>
      <c r="M19" s="34"/>
      <c r="N19" s="4"/>
      <c r="P19" s="6"/>
    </row>
    <row r="20" spans="2:18" x14ac:dyDescent="0.3">
      <c r="B20" s="36">
        <f>ABS(G20/$G$3)</f>
        <v>6.1635796681441077E-2</v>
      </c>
      <c r="C20" s="36">
        <v>6.2E-2</v>
      </c>
      <c r="D20" s="36">
        <v>6.2E-2</v>
      </c>
      <c r="E20" s="36"/>
      <c r="F20" s="33" t="s">
        <v>84</v>
      </c>
      <c r="G20" s="34">
        <f>G15*$D$20*(-1)</f>
        <v>-260.32002000000006</v>
      </c>
      <c r="H20" s="34">
        <f t="shared" ref="H20:I20" si="6">H15*$D$20*(-1)</f>
        <v>-564.02670999999998</v>
      </c>
      <c r="I20" s="34">
        <f t="shared" si="6"/>
        <v>-6768.3205200000002</v>
      </c>
      <c r="J20" s="34"/>
      <c r="K20" s="6"/>
      <c r="L20" s="34"/>
      <c r="M20" s="34"/>
    </row>
    <row r="21" spans="2:18" x14ac:dyDescent="0.3">
      <c r="B21" s="36">
        <f>ABS(G21/$G$3)</f>
        <v>1.4414823417433801E-2</v>
      </c>
      <c r="C21" s="36">
        <v>1.4500000000000001E-2</v>
      </c>
      <c r="D21" s="36">
        <v>1.4500000000000001E-2</v>
      </c>
      <c r="E21" s="36"/>
      <c r="F21" s="33" t="s">
        <v>85</v>
      </c>
      <c r="G21" s="34">
        <f>G15*$D$21*(-1)</f>
        <v>-60.881295000000016</v>
      </c>
      <c r="H21" s="34">
        <f t="shared" ref="H21:I21" si="7">H15*$D$21*(-1)</f>
        <v>-131.90947249999999</v>
      </c>
      <c r="I21" s="34">
        <f t="shared" si="7"/>
        <v>-1582.9136700000001</v>
      </c>
      <c r="J21" s="34"/>
      <c r="K21" s="6"/>
      <c r="L21" s="34"/>
      <c r="M21" s="34"/>
    </row>
    <row r="22" spans="2:18" x14ac:dyDescent="0.3">
      <c r="B22" s="36"/>
      <c r="C22" s="36"/>
    </row>
    <row r="23" spans="2:18" x14ac:dyDescent="0.3">
      <c r="B23" s="36">
        <f>ABS((G3-G23)/$G$3)</f>
        <v>0.25980036389670236</v>
      </c>
      <c r="C23" s="36">
        <f>ABS((G3-G23)/$G$3)</f>
        <v>0.25980036389670236</v>
      </c>
      <c r="F23" s="33" t="s">
        <v>86</v>
      </c>
      <c r="G23" s="34">
        <f>G3+G6+G7+G8+G9+G10+G18+G19+G20+G21+G11</f>
        <v>3126.2479670749999</v>
      </c>
      <c r="H23" s="34">
        <f>H3+H6+H7+H8+H9+H10+H18+H19+H20+H21+H11</f>
        <v>6773.5372619958334</v>
      </c>
      <c r="I23" s="34">
        <f t="shared" ref="I23" si="8">I3+I6+I7+I8+I9+I10+I18+I19+I20+I21+I11</f>
        <v>81282.447143950019</v>
      </c>
      <c r="J23" s="34"/>
      <c r="K23" s="6" t="s">
        <v>111</v>
      </c>
      <c r="L23" s="34"/>
      <c r="M23" s="34"/>
      <c r="N23" s="60" t="s">
        <v>87</v>
      </c>
      <c r="O23" s="60"/>
      <c r="P23" s="60" t="s">
        <v>65</v>
      </c>
      <c r="Q23" s="60"/>
    </row>
    <row r="24" spans="2:18" x14ac:dyDescent="0.3">
      <c r="M24" s="37" t="s">
        <v>88</v>
      </c>
      <c r="N24" s="61">
        <f>-G25</f>
        <v>383.07692307692309</v>
      </c>
      <c r="O24" s="61"/>
      <c r="P24" s="62">
        <f t="shared" ref="P24" si="9">N24*26</f>
        <v>9960</v>
      </c>
      <c r="Q24" s="62"/>
    </row>
    <row r="25" spans="2:18" x14ac:dyDescent="0.3">
      <c r="F25" s="33" t="s">
        <v>89</v>
      </c>
      <c r="G25" s="34">
        <f>I25/26</f>
        <v>-383.07692307692309</v>
      </c>
      <c r="H25" s="34">
        <v>-830</v>
      </c>
      <c r="I25" s="6">
        <f>H25*12</f>
        <v>-9960</v>
      </c>
      <c r="J25" s="6"/>
      <c r="K25" s="6">
        <v>0</v>
      </c>
      <c r="L25" s="6"/>
      <c r="M25" s="37" t="s">
        <v>90</v>
      </c>
      <c r="N25" s="61">
        <f>-(G27+G30+G31+G32+G36+G38)</f>
        <v>403.62</v>
      </c>
      <c r="O25" s="61"/>
      <c r="P25" s="61">
        <f>N25*26</f>
        <v>10494.12</v>
      </c>
      <c r="Q25" s="61"/>
    </row>
    <row r="26" spans="2:18" x14ac:dyDescent="0.3">
      <c r="F26" s="33" t="s">
        <v>91</v>
      </c>
      <c r="G26" s="34">
        <f t="shared" ref="G26:G38" si="10">I26/26</f>
        <v>0</v>
      </c>
      <c r="H26" s="34">
        <v>0</v>
      </c>
      <c r="I26" s="6">
        <f t="shared" ref="I26:I38" si="11">H26*12</f>
        <v>0</v>
      </c>
      <c r="J26" s="6"/>
      <c r="K26" s="6">
        <v>2000</v>
      </c>
      <c r="L26" s="6"/>
      <c r="M26" s="37" t="s">
        <v>92</v>
      </c>
      <c r="N26" s="38">
        <f>-(G28+G29)</f>
        <v>71.569230769230771</v>
      </c>
      <c r="O26" s="56">
        <f>SUM(N26:N28)</f>
        <v>255.06923076923078</v>
      </c>
      <c r="P26" s="39">
        <f>N26*26</f>
        <v>1860.8</v>
      </c>
      <c r="Q26" s="56">
        <f>SUM(P26:P28)</f>
        <v>6631.8</v>
      </c>
    </row>
    <row r="27" spans="2:18" x14ac:dyDescent="0.3">
      <c r="F27" s="33" t="s">
        <v>93</v>
      </c>
      <c r="G27" s="34">
        <f t="shared" si="10"/>
        <v>-120</v>
      </c>
      <c r="H27" s="34">
        <v>-260</v>
      </c>
      <c r="I27" s="6">
        <f t="shared" si="11"/>
        <v>-3120</v>
      </c>
      <c r="J27" s="6"/>
      <c r="K27" s="6">
        <v>0</v>
      </c>
      <c r="L27" s="6"/>
      <c r="M27" s="37" t="s">
        <v>94</v>
      </c>
      <c r="N27" s="38">
        <v>175</v>
      </c>
      <c r="O27" s="57"/>
      <c r="P27" s="39">
        <f>N27*26</f>
        <v>4550</v>
      </c>
      <c r="Q27" s="57"/>
    </row>
    <row r="28" spans="2:18" x14ac:dyDescent="0.3">
      <c r="F28" s="33" t="s">
        <v>95</v>
      </c>
      <c r="G28" s="34">
        <f>I28/26</f>
        <v>-25.415384615384614</v>
      </c>
      <c r="H28" s="34">
        <f>(-330.4/6)</f>
        <v>-55.066666666666663</v>
      </c>
      <c r="I28" s="6">
        <f t="shared" si="11"/>
        <v>-660.8</v>
      </c>
      <c r="J28" s="6"/>
      <c r="K28" s="6">
        <v>7500</v>
      </c>
      <c r="L28" s="6"/>
      <c r="M28" s="40" t="s">
        <v>96</v>
      </c>
      <c r="N28" s="41">
        <f>-G35</f>
        <v>8.5</v>
      </c>
      <c r="O28" s="58"/>
      <c r="P28" s="39">
        <f>N28*26</f>
        <v>221</v>
      </c>
      <c r="Q28" s="58"/>
    </row>
    <row r="29" spans="2:18" x14ac:dyDescent="0.3">
      <c r="F29" s="33" t="s">
        <v>97</v>
      </c>
      <c r="G29" s="34">
        <f t="shared" si="10"/>
        <v>-46.153846153846153</v>
      </c>
      <c r="H29" s="34">
        <v>-100</v>
      </c>
      <c r="I29" s="6">
        <f t="shared" si="11"/>
        <v>-1200</v>
      </c>
      <c r="J29" s="6"/>
      <c r="K29" s="6">
        <v>0</v>
      </c>
      <c r="L29" s="6"/>
      <c r="M29" s="37" t="s">
        <v>98</v>
      </c>
      <c r="N29" s="61">
        <f>G23-N24-O26-N25</f>
        <v>2084.4818132288465</v>
      </c>
      <c r="O29" s="61"/>
      <c r="P29" s="61">
        <f>N29*26</f>
        <v>54196.527143950007</v>
      </c>
      <c r="Q29" s="61"/>
    </row>
    <row r="30" spans="2:18" x14ac:dyDescent="0.3">
      <c r="F30" s="33" t="s">
        <v>99</v>
      </c>
      <c r="G30" s="34">
        <f t="shared" si="10"/>
        <v>-35.552307692307693</v>
      </c>
      <c r="H30" s="34">
        <f>-23.2-53.83</f>
        <v>-77.03</v>
      </c>
      <c r="I30" s="6">
        <f t="shared" si="11"/>
        <v>-924.36</v>
      </c>
      <c r="J30" s="6"/>
      <c r="K30" s="6">
        <v>200</v>
      </c>
      <c r="L30" s="6"/>
    </row>
    <row r="31" spans="2:18" x14ac:dyDescent="0.3">
      <c r="F31" s="33" t="s">
        <v>100</v>
      </c>
      <c r="G31" s="34">
        <f t="shared" si="10"/>
        <v>-19.615384615384617</v>
      </c>
      <c r="H31" s="34">
        <f>-42.5</f>
        <v>-42.5</v>
      </c>
      <c r="I31" s="6">
        <f t="shared" si="11"/>
        <v>-510</v>
      </c>
      <c r="J31" s="6"/>
      <c r="K31" s="6">
        <v>200</v>
      </c>
      <c r="L31" s="6"/>
      <c r="M31" s="42" t="s">
        <v>101</v>
      </c>
      <c r="N31" s="61">
        <f>N24+O26+N25+N29</f>
        <v>3126.2479670750004</v>
      </c>
      <c r="O31" s="61"/>
      <c r="P31" s="61">
        <f>P24+Q26+P25+P29</f>
        <v>81282.447143950005</v>
      </c>
      <c r="Q31" s="61"/>
    </row>
    <row r="32" spans="2:18" x14ac:dyDescent="0.3">
      <c r="F32" s="33" t="s">
        <v>102</v>
      </c>
      <c r="G32" s="34">
        <f>I32/26</f>
        <v>-4.6107692307692307</v>
      </c>
      <c r="H32" s="34">
        <v>-9.99</v>
      </c>
      <c r="I32" s="6">
        <f t="shared" si="11"/>
        <v>-119.88</v>
      </c>
      <c r="J32" s="6"/>
      <c r="K32" s="6">
        <v>500</v>
      </c>
      <c r="L32" s="6"/>
    </row>
    <row r="33" spans="4:17" x14ac:dyDescent="0.3">
      <c r="F33" s="33" t="s">
        <v>59</v>
      </c>
      <c r="G33" s="34">
        <v>0</v>
      </c>
      <c r="H33" s="34">
        <f>I33/12</f>
        <v>0</v>
      </c>
      <c r="I33" s="6">
        <f>G33*26</f>
        <v>0</v>
      </c>
      <c r="J33" s="6"/>
      <c r="K33" s="6">
        <v>2000</v>
      </c>
      <c r="L33" s="6"/>
    </row>
    <row r="34" spans="4:17" x14ac:dyDescent="0.3">
      <c r="F34" s="33" t="s">
        <v>103</v>
      </c>
      <c r="G34" s="34">
        <f>I34/26</f>
        <v>0</v>
      </c>
      <c r="H34" s="34">
        <v>0</v>
      </c>
      <c r="I34" s="6">
        <f t="shared" si="11"/>
        <v>0</v>
      </c>
      <c r="J34" s="6"/>
      <c r="K34" s="6">
        <v>0</v>
      </c>
      <c r="L34" s="6"/>
      <c r="M34" s="34">
        <f>N29-53.62</f>
        <v>2030.8618132288466</v>
      </c>
    </row>
    <row r="35" spans="4:17" x14ac:dyDescent="0.3">
      <c r="F35" s="33" t="s">
        <v>104</v>
      </c>
      <c r="G35" s="34">
        <f t="shared" ref="G35:G37" si="12">I35/26</f>
        <v>-8.5</v>
      </c>
      <c r="H35" s="34">
        <f>-13-16/12-49/12</f>
        <v>-18.416666666666668</v>
      </c>
      <c r="I35" s="6">
        <f t="shared" si="11"/>
        <v>-221</v>
      </c>
      <c r="J35" s="6"/>
      <c r="K35" s="6">
        <v>500</v>
      </c>
      <c r="L35" s="6"/>
      <c r="M35" s="43"/>
      <c r="N35" s="34"/>
      <c r="O35" s="63"/>
      <c r="P35" s="44"/>
      <c r="Q35" s="63"/>
    </row>
    <row r="36" spans="4:17" x14ac:dyDescent="0.3">
      <c r="F36" s="33" t="s">
        <v>105</v>
      </c>
      <c r="G36" s="34">
        <f t="shared" si="12"/>
        <v>-16.149230769230769</v>
      </c>
      <c r="H36" s="34">
        <v>-34.99</v>
      </c>
      <c r="I36" s="6">
        <f t="shared" si="11"/>
        <v>-419.88</v>
      </c>
      <c r="J36" s="6"/>
      <c r="K36" s="6">
        <v>0</v>
      </c>
      <c r="L36" s="6"/>
      <c r="M36" s="43"/>
      <c r="N36" s="34"/>
      <c r="O36" s="63"/>
      <c r="P36" s="44"/>
      <c r="Q36" s="64"/>
    </row>
    <row r="37" spans="4:17" x14ac:dyDescent="0.3">
      <c r="F37" s="33" t="s">
        <v>106</v>
      </c>
      <c r="G37" s="34">
        <f t="shared" si="12"/>
        <v>0</v>
      </c>
      <c r="H37" s="34">
        <v>0</v>
      </c>
      <c r="I37" s="6">
        <f t="shared" si="11"/>
        <v>0</v>
      </c>
      <c r="J37" s="6"/>
      <c r="K37" s="6">
        <v>0</v>
      </c>
      <c r="L37" s="6"/>
      <c r="M37" s="45"/>
      <c r="N37" s="4"/>
      <c r="O37" s="63"/>
      <c r="P37" s="44"/>
      <c r="Q37" s="64"/>
    </row>
    <row r="38" spans="4:17" x14ac:dyDescent="0.3">
      <c r="F38" s="33" t="s">
        <v>107</v>
      </c>
      <c r="G38" s="34">
        <f t="shared" si="10"/>
        <v>-207.69230769230768</v>
      </c>
      <c r="H38" s="34">
        <v>-450</v>
      </c>
      <c r="I38" s="6">
        <f t="shared" si="11"/>
        <v>-5400</v>
      </c>
      <c r="J38" s="6"/>
      <c r="K38" s="6">
        <v>7500</v>
      </c>
      <c r="L38" s="6"/>
    </row>
    <row r="39" spans="4:17" x14ac:dyDescent="0.3">
      <c r="I39" s="6"/>
      <c r="J39" s="6"/>
      <c r="K39" s="6"/>
      <c r="L39" s="6"/>
    </row>
    <row r="40" spans="4:17" x14ac:dyDescent="0.3">
      <c r="F40" s="33" t="s">
        <v>108</v>
      </c>
      <c r="G40" s="34">
        <f>SUM(G23:G38)</f>
        <v>2259.4818132288465</v>
      </c>
      <c r="H40" s="34">
        <f>SUM(H23:H38)</f>
        <v>4895.5439286625005</v>
      </c>
      <c r="I40" s="34">
        <f>SUM(I23:I38)</f>
        <v>58746.527143950021</v>
      </c>
      <c r="J40" s="34"/>
      <c r="K40" s="6">
        <f>SUM(K25:K38)</f>
        <v>20400</v>
      </c>
      <c r="L40" s="34"/>
    </row>
    <row r="41" spans="4:17" x14ac:dyDescent="0.3">
      <c r="F41" s="33" t="s">
        <v>109</v>
      </c>
      <c r="G41" s="34">
        <f>I41/26</f>
        <v>211.17599999999999</v>
      </c>
      <c r="H41" s="34">
        <f>I41/12</f>
        <v>457.548</v>
      </c>
      <c r="I41" s="34">
        <f>I3*5/100</f>
        <v>5490.576</v>
      </c>
      <c r="J41" s="34"/>
      <c r="K41" s="6"/>
      <c r="L41" s="34"/>
    </row>
    <row r="42" spans="4:17" x14ac:dyDescent="0.3">
      <c r="F42" s="33" t="s">
        <v>110</v>
      </c>
      <c r="G42" s="34">
        <f t="shared" ref="G42" si="13">G40+G41</f>
        <v>2470.6578132288464</v>
      </c>
      <c r="H42" s="34">
        <f>H40+H41</f>
        <v>5353.0919286625003</v>
      </c>
      <c r="I42" s="34">
        <f>I40+I41</f>
        <v>64237.103143950022</v>
      </c>
      <c r="J42" s="34"/>
      <c r="K42" s="6"/>
      <c r="L42" s="34"/>
    </row>
    <row r="43" spans="4:17" x14ac:dyDescent="0.3">
      <c r="F43" s="33" t="s">
        <v>101</v>
      </c>
      <c r="G43" s="34">
        <f>G42-G6</f>
        <v>2530.9978132288466</v>
      </c>
      <c r="H43" s="34">
        <f>H42-H6</f>
        <v>5483.828595329167</v>
      </c>
      <c r="I43" s="34">
        <f>I42-I6</f>
        <v>65805.943143950019</v>
      </c>
      <c r="J43" s="34"/>
      <c r="K43" s="6"/>
      <c r="L43" s="6"/>
    </row>
    <row r="44" spans="4:17" x14ac:dyDescent="0.3">
      <c r="D44" s="46"/>
      <c r="E44" s="46"/>
      <c r="I44" s="34"/>
      <c r="J44" s="34"/>
      <c r="K44" s="6"/>
      <c r="L44" s="34"/>
    </row>
    <row r="45" spans="4:17" x14ac:dyDescent="0.3">
      <c r="I45" s="6"/>
      <c r="J45" s="6"/>
      <c r="K45" s="6"/>
    </row>
    <row r="46" spans="4:17" x14ac:dyDescent="0.3">
      <c r="I46" s="6"/>
      <c r="J46" s="6"/>
      <c r="K46" s="6"/>
      <c r="L46" s="6"/>
    </row>
    <row r="47" spans="4:17" x14ac:dyDescent="0.3">
      <c r="I47" s="6"/>
      <c r="J47" s="6"/>
      <c r="K47" s="6"/>
    </row>
    <row r="48" spans="4:17" x14ac:dyDescent="0.3">
      <c r="I48" s="6"/>
      <c r="J48" s="6"/>
      <c r="K48" s="6"/>
    </row>
    <row r="49" spans="9:11" x14ac:dyDescent="0.3">
      <c r="I49" s="6"/>
      <c r="J49" s="6"/>
      <c r="K49" s="6"/>
    </row>
  </sheetData>
  <mergeCells count="19">
    <mergeCell ref="N29:O29"/>
    <mergeCell ref="P29:Q29"/>
    <mergeCell ref="N31:O31"/>
    <mergeCell ref="P31:Q31"/>
    <mergeCell ref="O35:O37"/>
    <mergeCell ref="Q35:Q37"/>
    <mergeCell ref="O26:O28"/>
    <mergeCell ref="Q26:Q28"/>
    <mergeCell ref="N2:O2"/>
    <mergeCell ref="N3:O3"/>
    <mergeCell ref="N5:O5"/>
    <mergeCell ref="N6:O6"/>
    <mergeCell ref="N7:O7"/>
    <mergeCell ref="N23:O23"/>
    <mergeCell ref="P23:Q23"/>
    <mergeCell ref="N24:O24"/>
    <mergeCell ref="P24:Q24"/>
    <mergeCell ref="N25:O25"/>
    <mergeCell ref="P25:Q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F702F-6852-4518-A0BC-BD6956E90095}">
  <dimension ref="B2:R44"/>
  <sheetViews>
    <sheetView showGridLines="0" tabSelected="1" zoomScale="77" zoomScaleNormal="77" workbookViewId="0">
      <selection activeCell="E15" sqref="E15"/>
    </sheetView>
  </sheetViews>
  <sheetFormatPr defaultColWidth="8.77734375" defaultRowHeight="14.4" x14ac:dyDescent="0.3"/>
  <cols>
    <col min="1" max="1" width="3.6640625" customWidth="1"/>
    <col min="2" max="2" width="11.77734375" style="9" customWidth="1"/>
    <col min="3" max="3" width="17.109375" customWidth="1"/>
    <col min="4" max="4" width="13.88671875" customWidth="1"/>
    <col min="5" max="5" width="12.44140625" customWidth="1"/>
    <col min="6" max="6" width="11.6640625" bestFit="1" customWidth="1"/>
    <col min="7" max="7" width="12.88671875" customWidth="1"/>
    <col min="8" max="8" width="12.21875" bestFit="1" customWidth="1"/>
    <col min="9" max="9" width="12.21875" customWidth="1"/>
    <col min="10" max="10" width="3.77734375" customWidth="1"/>
    <col min="12" max="12" width="14.6640625" bestFit="1" customWidth="1"/>
    <col min="13" max="13" width="17" customWidth="1"/>
    <col min="14" max="14" width="12.6640625" bestFit="1" customWidth="1"/>
    <col min="15" max="15" width="11.88671875" bestFit="1" customWidth="1"/>
    <col min="16" max="16" width="12.21875" customWidth="1"/>
    <col min="17" max="17" width="12.21875" bestFit="1" customWidth="1"/>
    <col min="18" max="18" width="12.88671875" customWidth="1"/>
  </cols>
  <sheetData>
    <row r="2" spans="2:18" x14ac:dyDescent="0.3">
      <c r="B2" t="s">
        <v>3</v>
      </c>
      <c r="C2" s="3">
        <f>1157.84-53.62</f>
        <v>1104.22</v>
      </c>
      <c r="E2" t="s">
        <v>55</v>
      </c>
      <c r="F2" s="7">
        <f>5670+1077.17+18000+5</f>
        <v>24752.17</v>
      </c>
      <c r="G2" s="4"/>
      <c r="H2" s="3">
        <f>(1120.13+1104.23+3000+1500)+(805.2+80.07)+(1982.48+175-1000-500)+(700.79+19.23*2)</f>
        <v>9006.36</v>
      </c>
      <c r="I2" s="4"/>
    </row>
    <row r="3" spans="2:18" x14ac:dyDescent="0.3">
      <c r="B3" t="s">
        <v>2</v>
      </c>
      <c r="C3" s="3">
        <v>1500</v>
      </c>
      <c r="E3" s="15" t="s">
        <v>58</v>
      </c>
      <c r="F3" s="16">
        <v>125</v>
      </c>
    </row>
    <row r="4" spans="2:18" x14ac:dyDescent="0.3">
      <c r="B4" t="s">
        <v>0</v>
      </c>
      <c r="C4" s="3">
        <v>6000</v>
      </c>
      <c r="E4" s="17" t="s">
        <v>56</v>
      </c>
      <c r="F4" s="7">
        <f>13920</f>
        <v>13920</v>
      </c>
    </row>
    <row r="5" spans="2:18" x14ac:dyDescent="0.3">
      <c r="B5" s="14" t="s">
        <v>1</v>
      </c>
      <c r="C5" s="7">
        <v>200</v>
      </c>
      <c r="E5" s="15" t="s">
        <v>61</v>
      </c>
      <c r="F5" s="3">
        <v>3600</v>
      </c>
    </row>
    <row r="6" spans="2:18" x14ac:dyDescent="0.3">
      <c r="B6" s="14" t="s">
        <v>57</v>
      </c>
      <c r="C6" s="18">
        <f>C4/C5</f>
        <v>30</v>
      </c>
      <c r="E6" s="15" t="s">
        <v>62</v>
      </c>
      <c r="F6" s="3">
        <v>4750</v>
      </c>
    </row>
    <row r="8" spans="2:18" x14ac:dyDescent="0.3">
      <c r="B8" s="9" t="s">
        <v>4</v>
      </c>
      <c r="C8" s="6" t="s">
        <v>6</v>
      </c>
      <c r="D8" s="1" t="s">
        <v>7</v>
      </c>
      <c r="E8" s="1" t="s">
        <v>8</v>
      </c>
      <c r="F8" s="13" t="s">
        <v>2</v>
      </c>
      <c r="G8" s="1" t="s">
        <v>58</v>
      </c>
      <c r="H8" s="1" t="s">
        <v>60</v>
      </c>
      <c r="I8" s="1" t="s">
        <v>59</v>
      </c>
      <c r="K8" s="9" t="s">
        <v>4</v>
      </c>
      <c r="L8" s="6" t="s">
        <v>6</v>
      </c>
      <c r="M8" s="1" t="s">
        <v>7</v>
      </c>
      <c r="N8" s="1" t="s">
        <v>8</v>
      </c>
      <c r="O8" s="13" t="s">
        <v>2</v>
      </c>
      <c r="P8" s="1" t="s">
        <v>58</v>
      </c>
      <c r="Q8" s="1" t="s">
        <v>60</v>
      </c>
      <c r="R8" s="32" t="s">
        <v>59</v>
      </c>
    </row>
    <row r="9" spans="2:18" x14ac:dyDescent="0.3">
      <c r="B9" s="52" t="s">
        <v>5</v>
      </c>
      <c r="C9" s="1" t="s">
        <v>15</v>
      </c>
      <c r="D9" s="3">
        <f>F2</f>
        <v>24752.17</v>
      </c>
      <c r="E9" s="2">
        <v>0</v>
      </c>
      <c r="F9" s="20">
        <v>0</v>
      </c>
      <c r="G9" s="22">
        <v>0</v>
      </c>
      <c r="H9" s="20">
        <v>0</v>
      </c>
      <c r="I9" s="28">
        <v>0</v>
      </c>
      <c r="K9" s="53" t="s">
        <v>44</v>
      </c>
      <c r="L9" s="1" t="s">
        <v>15</v>
      </c>
      <c r="M9" s="3">
        <f>D35</f>
        <v>34506.36</v>
      </c>
      <c r="N9" s="2">
        <v>0</v>
      </c>
      <c r="O9" s="2">
        <v>0</v>
      </c>
      <c r="P9" s="3">
        <v>0</v>
      </c>
      <c r="Q9" s="3">
        <v>0</v>
      </c>
      <c r="R9" s="3">
        <v>0</v>
      </c>
    </row>
    <row r="10" spans="2:18" x14ac:dyDescent="0.3">
      <c r="B10" s="52"/>
      <c r="C10" s="1" t="s">
        <v>14</v>
      </c>
      <c r="D10" s="3">
        <f>D9+E10+F10+G10+H10+I10</f>
        <v>21731.39</v>
      </c>
      <c r="E10" s="3">
        <v>-4000</v>
      </c>
      <c r="F10" s="20">
        <v>1104.22</v>
      </c>
      <c r="G10" s="23">
        <v>-125</v>
      </c>
      <c r="H10" s="7">
        <v>0</v>
      </c>
      <c r="I10" s="29">
        <v>0</v>
      </c>
      <c r="K10" s="54"/>
      <c r="L10" s="1" t="s">
        <v>14</v>
      </c>
      <c r="M10" s="3">
        <f>M9+N10+O10+P10+Q10+R10</f>
        <v>36881.360000000001</v>
      </c>
      <c r="N10" s="3">
        <f>IF(LEFT(L10,8)="Biweekly", _xlfn.FLOOR.MATH(M9/$C$4)*$C$5, 0)</f>
        <v>1000</v>
      </c>
      <c r="O10" s="20">
        <f>IF(LEFT(L10,8)="Biweekly", $C$3,0)</f>
        <v>1500</v>
      </c>
      <c r="P10" s="23">
        <f>IF(LEFT(L10,8)="Biweekly", -$F$3,-350)</f>
        <v>-125</v>
      </c>
      <c r="Q10" s="7">
        <v>0</v>
      </c>
      <c r="R10" s="3">
        <v>0</v>
      </c>
    </row>
    <row r="11" spans="2:18" x14ac:dyDescent="0.3">
      <c r="B11" s="52"/>
      <c r="C11" s="1" t="s">
        <v>16</v>
      </c>
      <c r="D11" s="3">
        <f t="shared" ref="D11:D34" si="0">D10+E11+F11+G11+H11+I11</f>
        <v>22710.61</v>
      </c>
      <c r="E11" s="3">
        <v>0</v>
      </c>
      <c r="F11" s="20">
        <v>1104.22</v>
      </c>
      <c r="G11" s="23">
        <v>-125</v>
      </c>
      <c r="H11" s="7">
        <v>0</v>
      </c>
      <c r="I11" s="29">
        <v>0</v>
      </c>
      <c r="K11" s="54"/>
      <c r="L11" s="1" t="s">
        <v>16</v>
      </c>
      <c r="M11" s="3">
        <f t="shared" ref="M11:M43" si="1">M10+N11+O11+P11+Q11+R11</f>
        <v>39456.36</v>
      </c>
      <c r="N11" s="3">
        <f t="shared" ref="N11:N43" si="2">IF(LEFT(L11,8)="Biweekly", _xlfn.FLOOR.MATH(M10/$C$4)*$C$5, 0)</f>
        <v>1200</v>
      </c>
      <c r="O11" s="20">
        <f t="shared" ref="O11:O23" si="3">IF(LEFT(L11,8)="Biweekly", $C$3,0)</f>
        <v>1500</v>
      </c>
      <c r="P11" s="23">
        <f t="shared" ref="P11:P23" si="4">IF(LEFT(L11,8)="Biweekly", -$F$3,0)</f>
        <v>-125</v>
      </c>
      <c r="Q11" s="7">
        <v>0</v>
      </c>
      <c r="R11" s="3">
        <v>0</v>
      </c>
    </row>
    <row r="12" spans="2:18" x14ac:dyDescent="0.3">
      <c r="B12" s="52"/>
      <c r="C12" s="1" t="s">
        <v>17</v>
      </c>
      <c r="D12" s="3">
        <f t="shared" si="0"/>
        <v>33689.83</v>
      </c>
      <c r="E12" s="3">
        <v>10000</v>
      </c>
      <c r="F12" s="20">
        <v>1104.22</v>
      </c>
      <c r="G12" s="23">
        <v>-125</v>
      </c>
      <c r="H12" s="7">
        <v>0</v>
      </c>
      <c r="I12" s="29">
        <v>0</v>
      </c>
      <c r="K12" s="54"/>
      <c r="L12" s="8" t="s">
        <v>45</v>
      </c>
      <c r="M12" s="5">
        <f t="shared" si="1"/>
        <v>36331.360000000001</v>
      </c>
      <c r="N12" s="5">
        <f t="shared" si="2"/>
        <v>0</v>
      </c>
      <c r="O12" s="21">
        <f t="shared" si="3"/>
        <v>0</v>
      </c>
      <c r="P12" s="24">
        <f t="shared" si="4"/>
        <v>0</v>
      </c>
      <c r="Q12" s="25">
        <v>-3125</v>
      </c>
      <c r="R12" s="5">
        <v>0</v>
      </c>
    </row>
    <row r="13" spans="2:18" x14ac:dyDescent="0.3">
      <c r="B13" s="52"/>
      <c r="C13" s="1" t="s">
        <v>18</v>
      </c>
      <c r="D13" s="3">
        <f t="shared" si="0"/>
        <v>35669.050000000003</v>
      </c>
      <c r="E13" s="3">
        <f t="shared" ref="E13:E34" si="5">IF(LEFT(C13,8)="Biweekly", _xlfn.FLOOR.MATH(D12/$C$4)*$C$5, 0)</f>
        <v>1000</v>
      </c>
      <c r="F13" s="20">
        <v>1104.22</v>
      </c>
      <c r="G13" s="23">
        <v>-125</v>
      </c>
      <c r="H13" s="7">
        <v>0</v>
      </c>
      <c r="I13" s="29">
        <v>0</v>
      </c>
      <c r="K13" s="54"/>
      <c r="L13" s="1" t="s">
        <v>17</v>
      </c>
      <c r="M13" s="3">
        <f t="shared" si="1"/>
        <v>38906.36</v>
      </c>
      <c r="N13" s="3">
        <f t="shared" si="2"/>
        <v>1200</v>
      </c>
      <c r="O13" s="20">
        <f t="shared" si="3"/>
        <v>1500</v>
      </c>
      <c r="P13" s="23">
        <f t="shared" si="4"/>
        <v>-125</v>
      </c>
      <c r="Q13" s="7">
        <v>0</v>
      </c>
      <c r="R13" s="3">
        <v>0</v>
      </c>
    </row>
    <row r="14" spans="2:18" x14ac:dyDescent="0.3">
      <c r="B14" s="52"/>
      <c r="C14" s="1" t="s">
        <v>19</v>
      </c>
      <c r="D14" s="3">
        <f t="shared" si="0"/>
        <v>37648.270000000004</v>
      </c>
      <c r="E14" s="3">
        <f t="shared" si="5"/>
        <v>1000</v>
      </c>
      <c r="F14" s="20">
        <v>1104.22</v>
      </c>
      <c r="G14" s="23">
        <v>-125</v>
      </c>
      <c r="H14" s="7">
        <v>0</v>
      </c>
      <c r="I14" s="29">
        <v>0</v>
      </c>
      <c r="K14" s="54"/>
      <c r="L14" s="1" t="s">
        <v>18</v>
      </c>
      <c r="M14" s="3">
        <f t="shared" si="1"/>
        <v>41481.360000000001</v>
      </c>
      <c r="N14" s="3">
        <f t="shared" si="2"/>
        <v>1200</v>
      </c>
      <c r="O14" s="20">
        <f t="shared" si="3"/>
        <v>1500</v>
      </c>
      <c r="P14" s="23">
        <f t="shared" si="4"/>
        <v>-125</v>
      </c>
      <c r="Q14" s="7">
        <v>0</v>
      </c>
      <c r="R14" s="3">
        <v>0</v>
      </c>
    </row>
    <row r="15" spans="2:18" x14ac:dyDescent="0.3">
      <c r="B15" s="53" t="s">
        <v>9</v>
      </c>
      <c r="C15" s="8" t="s">
        <v>54</v>
      </c>
      <c r="D15" s="5">
        <f>(0)+H2</f>
        <v>9006.36</v>
      </c>
      <c r="E15" s="5">
        <f t="shared" si="5"/>
        <v>0</v>
      </c>
      <c r="F15" s="21">
        <f t="shared" ref="F15:F34" si="6">IF(LEFT(C15,8)="Biweekly", $C$3,0)</f>
        <v>0</v>
      </c>
      <c r="G15" s="24">
        <f t="shared" ref="G15:G34" si="7">IF(LEFT(C15,8)="Biweekly", -$F$3,0)</f>
        <v>0</v>
      </c>
      <c r="H15" s="25"/>
      <c r="I15" s="30">
        <v>0</v>
      </c>
      <c r="K15" s="54"/>
      <c r="L15" s="1" t="s">
        <v>19</v>
      </c>
      <c r="M15" s="3">
        <f t="shared" si="1"/>
        <v>44056.36</v>
      </c>
      <c r="N15" s="3">
        <f t="shared" si="2"/>
        <v>1200</v>
      </c>
      <c r="O15" s="20">
        <f t="shared" si="3"/>
        <v>1500</v>
      </c>
      <c r="P15" s="23">
        <f t="shared" si="4"/>
        <v>-125</v>
      </c>
      <c r="Q15" s="7">
        <v>0</v>
      </c>
      <c r="R15" s="3">
        <v>0</v>
      </c>
    </row>
    <row r="16" spans="2:18" x14ac:dyDescent="0.3">
      <c r="B16" s="54"/>
      <c r="C16" s="1" t="s">
        <v>20</v>
      </c>
      <c r="D16" s="3">
        <f t="shared" si="0"/>
        <v>10581.36</v>
      </c>
      <c r="E16" s="3">
        <f t="shared" si="5"/>
        <v>200</v>
      </c>
      <c r="F16" s="20">
        <f t="shared" si="6"/>
        <v>1500</v>
      </c>
      <c r="G16" s="23">
        <f t="shared" si="7"/>
        <v>-125</v>
      </c>
      <c r="H16" s="7">
        <v>0</v>
      </c>
      <c r="I16" s="29">
        <v>0</v>
      </c>
      <c r="K16" s="54"/>
      <c r="L16" s="8" t="s">
        <v>46</v>
      </c>
      <c r="M16" s="5">
        <f t="shared" si="1"/>
        <v>44056.36</v>
      </c>
      <c r="N16" s="5">
        <f t="shared" si="2"/>
        <v>0</v>
      </c>
      <c r="O16" s="21">
        <f t="shared" si="3"/>
        <v>0</v>
      </c>
      <c r="P16" s="24">
        <f t="shared" si="4"/>
        <v>0</v>
      </c>
      <c r="Q16" s="25">
        <v>0</v>
      </c>
      <c r="R16" s="5">
        <v>0</v>
      </c>
    </row>
    <row r="17" spans="2:18" x14ac:dyDescent="0.3">
      <c r="B17" s="54"/>
      <c r="C17" s="1" t="s">
        <v>21</v>
      </c>
      <c r="D17" s="3">
        <f t="shared" si="0"/>
        <v>12156.36</v>
      </c>
      <c r="E17" s="3">
        <f t="shared" si="5"/>
        <v>200</v>
      </c>
      <c r="F17" s="20">
        <f t="shared" si="6"/>
        <v>1500</v>
      </c>
      <c r="G17" s="23">
        <f t="shared" si="7"/>
        <v>-125</v>
      </c>
      <c r="H17" s="7">
        <v>0</v>
      </c>
      <c r="I17" s="29">
        <v>0</v>
      </c>
      <c r="K17" s="54"/>
      <c r="L17" s="1" t="s">
        <v>20</v>
      </c>
      <c r="M17" s="3">
        <f t="shared" si="1"/>
        <v>46831.360000000001</v>
      </c>
      <c r="N17" s="3">
        <f t="shared" si="2"/>
        <v>1400</v>
      </c>
      <c r="O17" s="20">
        <f t="shared" si="3"/>
        <v>1500</v>
      </c>
      <c r="P17" s="23">
        <f t="shared" si="4"/>
        <v>-125</v>
      </c>
      <c r="Q17" s="7">
        <v>0</v>
      </c>
      <c r="R17" s="3">
        <v>0</v>
      </c>
    </row>
    <row r="18" spans="2:18" x14ac:dyDescent="0.3">
      <c r="B18" s="54"/>
      <c r="C18" s="8" t="s">
        <v>12</v>
      </c>
      <c r="D18" s="5">
        <f t="shared" si="0"/>
        <v>12156.36</v>
      </c>
      <c r="E18" s="5">
        <f t="shared" si="5"/>
        <v>0</v>
      </c>
      <c r="F18" s="21">
        <f t="shared" si="6"/>
        <v>0</v>
      </c>
      <c r="G18" s="24">
        <f t="shared" si="7"/>
        <v>0</v>
      </c>
      <c r="H18" s="25">
        <v>0</v>
      </c>
      <c r="I18" s="30">
        <v>0</v>
      </c>
      <c r="K18" s="54"/>
      <c r="L18" s="1" t="s">
        <v>21</v>
      </c>
      <c r="M18" s="3">
        <f t="shared" si="1"/>
        <v>49606.36</v>
      </c>
      <c r="N18" s="3">
        <f t="shared" si="2"/>
        <v>1400</v>
      </c>
      <c r="O18" s="20">
        <f t="shared" si="3"/>
        <v>1500</v>
      </c>
      <c r="P18" s="23">
        <f t="shared" si="4"/>
        <v>-125</v>
      </c>
      <c r="Q18" s="7">
        <v>0</v>
      </c>
      <c r="R18" s="3">
        <v>0</v>
      </c>
    </row>
    <row r="19" spans="2:18" x14ac:dyDescent="0.3">
      <c r="B19" s="54"/>
      <c r="C19" s="1" t="s">
        <v>22</v>
      </c>
      <c r="D19" s="3">
        <f t="shared" si="0"/>
        <v>13931.36</v>
      </c>
      <c r="E19" s="3">
        <f t="shared" si="5"/>
        <v>400</v>
      </c>
      <c r="F19" s="20">
        <f t="shared" si="6"/>
        <v>1500</v>
      </c>
      <c r="G19" s="23">
        <f t="shared" si="7"/>
        <v>-125</v>
      </c>
      <c r="H19" s="7">
        <v>0</v>
      </c>
      <c r="I19" s="29">
        <v>0</v>
      </c>
      <c r="K19" s="54"/>
      <c r="L19" s="8" t="s">
        <v>47</v>
      </c>
      <c r="M19" s="5">
        <f t="shared" si="1"/>
        <v>49606.36</v>
      </c>
      <c r="N19" s="5">
        <f t="shared" si="2"/>
        <v>0</v>
      </c>
      <c r="O19" s="21">
        <f t="shared" si="3"/>
        <v>0</v>
      </c>
      <c r="P19" s="24">
        <f t="shared" si="4"/>
        <v>0</v>
      </c>
      <c r="Q19" s="25">
        <v>0</v>
      </c>
      <c r="R19" s="5">
        <v>0</v>
      </c>
    </row>
    <row r="20" spans="2:18" x14ac:dyDescent="0.3">
      <c r="B20" s="54"/>
      <c r="C20" s="1" t="s">
        <v>23</v>
      </c>
      <c r="D20" s="3">
        <f t="shared" si="0"/>
        <v>15706.36</v>
      </c>
      <c r="E20" s="3">
        <f t="shared" si="5"/>
        <v>400</v>
      </c>
      <c r="F20" s="20">
        <f t="shared" si="6"/>
        <v>1500</v>
      </c>
      <c r="G20" s="23">
        <f t="shared" si="7"/>
        <v>-125</v>
      </c>
      <c r="H20" s="7">
        <v>0</v>
      </c>
      <c r="I20" s="29">
        <v>0</v>
      </c>
      <c r="K20" s="54"/>
      <c r="L20" s="1" t="s">
        <v>22</v>
      </c>
      <c r="M20" s="3">
        <f t="shared" si="1"/>
        <v>52581.36</v>
      </c>
      <c r="N20" s="3">
        <f t="shared" si="2"/>
        <v>1600</v>
      </c>
      <c r="O20" s="20">
        <f t="shared" si="3"/>
        <v>1500</v>
      </c>
      <c r="P20" s="23">
        <f t="shared" si="4"/>
        <v>-125</v>
      </c>
      <c r="Q20" s="7">
        <v>0</v>
      </c>
      <c r="R20" s="3">
        <v>0</v>
      </c>
    </row>
    <row r="21" spans="2:18" x14ac:dyDescent="0.3">
      <c r="B21" s="54"/>
      <c r="C21" s="1" t="s">
        <v>24</v>
      </c>
      <c r="D21" s="3">
        <f t="shared" si="0"/>
        <v>17481.36</v>
      </c>
      <c r="E21" s="3">
        <f t="shared" si="5"/>
        <v>400</v>
      </c>
      <c r="F21" s="20">
        <f t="shared" si="6"/>
        <v>1500</v>
      </c>
      <c r="G21" s="23">
        <f t="shared" si="7"/>
        <v>-125</v>
      </c>
      <c r="H21" s="7">
        <v>0</v>
      </c>
      <c r="I21" s="29">
        <v>0</v>
      </c>
      <c r="K21" s="54"/>
      <c r="L21" s="1" t="s">
        <v>23</v>
      </c>
      <c r="M21" s="3">
        <f t="shared" si="1"/>
        <v>55556.36</v>
      </c>
      <c r="N21" s="3">
        <f t="shared" si="2"/>
        <v>1600</v>
      </c>
      <c r="O21" s="20">
        <f t="shared" si="3"/>
        <v>1500</v>
      </c>
      <c r="P21" s="23">
        <f t="shared" si="4"/>
        <v>-125</v>
      </c>
      <c r="Q21" s="7">
        <v>0</v>
      </c>
      <c r="R21" s="3">
        <v>0</v>
      </c>
    </row>
    <row r="22" spans="2:18" x14ac:dyDescent="0.3">
      <c r="B22" s="55"/>
      <c r="C22" s="1" t="s">
        <v>25</v>
      </c>
      <c r="D22" s="3">
        <f t="shared" si="0"/>
        <v>19256.36</v>
      </c>
      <c r="E22" s="3">
        <f t="shared" si="5"/>
        <v>400</v>
      </c>
      <c r="F22" s="20">
        <f t="shared" si="6"/>
        <v>1500</v>
      </c>
      <c r="G22" s="23">
        <f t="shared" si="7"/>
        <v>-125</v>
      </c>
      <c r="H22" s="7">
        <v>0</v>
      </c>
      <c r="I22" s="29">
        <v>0</v>
      </c>
      <c r="K22" s="54"/>
      <c r="L22" s="1" t="s">
        <v>24</v>
      </c>
      <c r="M22" s="3">
        <f t="shared" si="1"/>
        <v>58731.360000000001</v>
      </c>
      <c r="N22" s="3">
        <f t="shared" si="2"/>
        <v>1800</v>
      </c>
      <c r="O22" s="20">
        <f t="shared" si="3"/>
        <v>1500</v>
      </c>
      <c r="P22" s="23">
        <f t="shared" si="4"/>
        <v>-125</v>
      </c>
      <c r="Q22" s="7">
        <v>0</v>
      </c>
      <c r="R22" s="3">
        <v>0</v>
      </c>
    </row>
    <row r="23" spans="2:18" x14ac:dyDescent="0.3">
      <c r="B23" s="53" t="s">
        <v>36</v>
      </c>
      <c r="C23" s="8" t="s">
        <v>10</v>
      </c>
      <c r="D23" s="5">
        <f t="shared" si="0"/>
        <v>16131.36</v>
      </c>
      <c r="E23" s="5">
        <f t="shared" si="5"/>
        <v>0</v>
      </c>
      <c r="F23" s="21">
        <f t="shared" si="6"/>
        <v>0</v>
      </c>
      <c r="G23" s="24">
        <f t="shared" si="7"/>
        <v>0</v>
      </c>
      <c r="H23" s="25">
        <v>-3125</v>
      </c>
      <c r="I23" s="30">
        <v>0</v>
      </c>
      <c r="K23" s="54"/>
      <c r="L23" s="1" t="s">
        <v>25</v>
      </c>
      <c r="M23" s="3">
        <f t="shared" si="1"/>
        <v>61906.36</v>
      </c>
      <c r="N23" s="3">
        <f t="shared" si="2"/>
        <v>1800</v>
      </c>
      <c r="O23" s="20">
        <f t="shared" si="3"/>
        <v>1500</v>
      </c>
      <c r="P23" s="23">
        <f t="shared" si="4"/>
        <v>-125</v>
      </c>
      <c r="Q23" s="7">
        <v>0</v>
      </c>
      <c r="R23" s="3">
        <v>0</v>
      </c>
    </row>
    <row r="24" spans="2:18" x14ac:dyDescent="0.3">
      <c r="B24" s="54"/>
      <c r="C24" s="1" t="s">
        <v>26</v>
      </c>
      <c r="D24" s="3">
        <f t="shared" si="0"/>
        <v>17906.36</v>
      </c>
      <c r="E24" s="3">
        <f t="shared" si="5"/>
        <v>400</v>
      </c>
      <c r="F24" s="20">
        <f t="shared" si="6"/>
        <v>1500</v>
      </c>
      <c r="G24" s="23">
        <f t="shared" si="7"/>
        <v>-125</v>
      </c>
      <c r="H24" s="7">
        <v>0</v>
      </c>
      <c r="I24" s="29">
        <v>0</v>
      </c>
      <c r="K24" s="52" t="s">
        <v>9</v>
      </c>
      <c r="L24" s="8" t="s">
        <v>48</v>
      </c>
      <c r="M24" s="5">
        <f t="shared" si="1"/>
        <v>61906.36</v>
      </c>
      <c r="N24" s="5">
        <f t="shared" si="2"/>
        <v>0</v>
      </c>
      <c r="O24" s="21">
        <f t="shared" ref="O24:O43" si="8">IF(LEFT(L24,8)="Biweekly", $C$3,0)</f>
        <v>0</v>
      </c>
      <c r="P24" s="24">
        <f t="shared" ref="P24:P43" si="9">IF(LEFT(L24,8)="Biweekly", -$F$3,0)</f>
        <v>0</v>
      </c>
      <c r="Q24" s="25">
        <v>0</v>
      </c>
      <c r="R24" s="5">
        <v>0</v>
      </c>
    </row>
    <row r="25" spans="2:18" x14ac:dyDescent="0.3">
      <c r="B25" s="54"/>
      <c r="C25" s="1" t="s">
        <v>27</v>
      </c>
      <c r="D25" s="3">
        <f t="shared" si="0"/>
        <v>19681.36</v>
      </c>
      <c r="E25" s="3">
        <f t="shared" si="5"/>
        <v>400</v>
      </c>
      <c r="F25" s="20">
        <f t="shared" si="6"/>
        <v>1500</v>
      </c>
      <c r="G25" s="23">
        <f t="shared" si="7"/>
        <v>-125</v>
      </c>
      <c r="H25" s="7">
        <v>0</v>
      </c>
      <c r="I25" s="29">
        <v>0</v>
      </c>
      <c r="K25" s="52"/>
      <c r="L25" s="1" t="s">
        <v>26</v>
      </c>
      <c r="M25" s="3">
        <f t="shared" si="1"/>
        <v>65281.36</v>
      </c>
      <c r="N25" s="3">
        <f t="shared" si="2"/>
        <v>2000</v>
      </c>
      <c r="O25" s="20">
        <f t="shared" si="8"/>
        <v>1500</v>
      </c>
      <c r="P25" s="23">
        <f t="shared" si="9"/>
        <v>-125</v>
      </c>
      <c r="Q25" s="7">
        <v>0</v>
      </c>
      <c r="R25" s="3">
        <v>0</v>
      </c>
    </row>
    <row r="26" spans="2:18" x14ac:dyDescent="0.3">
      <c r="B26" s="54"/>
      <c r="C26" s="1" t="s">
        <v>28</v>
      </c>
      <c r="D26" s="3">
        <f t="shared" si="0"/>
        <v>21656.36</v>
      </c>
      <c r="E26" s="3">
        <f t="shared" si="5"/>
        <v>600</v>
      </c>
      <c r="F26" s="20">
        <f t="shared" si="6"/>
        <v>1500</v>
      </c>
      <c r="G26" s="23">
        <f t="shared" si="7"/>
        <v>-125</v>
      </c>
      <c r="H26" s="7">
        <v>0</v>
      </c>
      <c r="I26" s="29">
        <v>0</v>
      </c>
      <c r="K26" s="52"/>
      <c r="L26" s="1" t="s">
        <v>27</v>
      </c>
      <c r="M26" s="3">
        <f t="shared" si="1"/>
        <v>68656.36</v>
      </c>
      <c r="N26" s="3">
        <f t="shared" si="2"/>
        <v>2000</v>
      </c>
      <c r="O26" s="20">
        <f t="shared" si="8"/>
        <v>1500</v>
      </c>
      <c r="P26" s="23">
        <f t="shared" si="9"/>
        <v>-125</v>
      </c>
      <c r="Q26" s="7">
        <v>0</v>
      </c>
      <c r="R26" s="3">
        <v>0</v>
      </c>
    </row>
    <row r="27" spans="2:18" x14ac:dyDescent="0.3">
      <c r="B27" s="54"/>
      <c r="C27" s="8" t="s">
        <v>11</v>
      </c>
      <c r="D27" s="5">
        <f t="shared" si="0"/>
        <v>21656.36</v>
      </c>
      <c r="E27" s="5">
        <f t="shared" si="5"/>
        <v>0</v>
      </c>
      <c r="F27" s="21">
        <f t="shared" si="6"/>
        <v>0</v>
      </c>
      <c r="G27" s="24">
        <f t="shared" si="7"/>
        <v>0</v>
      </c>
      <c r="H27" s="25">
        <v>0</v>
      </c>
      <c r="I27" s="30">
        <v>0</v>
      </c>
      <c r="K27" s="52"/>
      <c r="L27" s="8" t="s">
        <v>49</v>
      </c>
      <c r="M27" s="5">
        <f t="shared" si="1"/>
        <v>68656.36</v>
      </c>
      <c r="N27" s="5">
        <f t="shared" si="2"/>
        <v>0</v>
      </c>
      <c r="O27" s="21">
        <f t="shared" si="8"/>
        <v>0</v>
      </c>
      <c r="P27" s="24">
        <f t="shared" si="9"/>
        <v>0</v>
      </c>
      <c r="Q27" s="25">
        <v>0</v>
      </c>
      <c r="R27" s="5">
        <v>0</v>
      </c>
    </row>
    <row r="28" spans="2:18" x14ac:dyDescent="0.3">
      <c r="B28" s="54"/>
      <c r="C28" s="1" t="s">
        <v>29</v>
      </c>
      <c r="D28" s="3">
        <f t="shared" si="0"/>
        <v>23631.360000000001</v>
      </c>
      <c r="E28" s="3">
        <f t="shared" si="5"/>
        <v>600</v>
      </c>
      <c r="F28" s="20">
        <f t="shared" si="6"/>
        <v>1500</v>
      </c>
      <c r="G28" s="23">
        <f t="shared" si="7"/>
        <v>-125</v>
      </c>
      <c r="H28" s="7">
        <v>0</v>
      </c>
      <c r="I28" s="29">
        <v>0</v>
      </c>
      <c r="K28" s="52"/>
      <c r="L28" s="1" t="s">
        <v>28</v>
      </c>
      <c r="M28" s="3">
        <f t="shared" si="1"/>
        <v>72231.360000000001</v>
      </c>
      <c r="N28" s="3">
        <f t="shared" si="2"/>
        <v>2200</v>
      </c>
      <c r="O28" s="20">
        <f t="shared" si="8"/>
        <v>1500</v>
      </c>
      <c r="P28" s="23">
        <f t="shared" si="9"/>
        <v>-125</v>
      </c>
      <c r="Q28" s="7">
        <v>0</v>
      </c>
      <c r="R28" s="3">
        <v>0</v>
      </c>
    </row>
    <row r="29" spans="2:18" x14ac:dyDescent="0.3">
      <c r="B29" s="54"/>
      <c r="C29" s="1" t="s">
        <v>30</v>
      </c>
      <c r="D29" s="3">
        <f t="shared" si="0"/>
        <v>25606.36</v>
      </c>
      <c r="E29" s="3">
        <f t="shared" si="5"/>
        <v>600</v>
      </c>
      <c r="F29" s="20">
        <f t="shared" si="6"/>
        <v>1500</v>
      </c>
      <c r="G29" s="23">
        <f t="shared" si="7"/>
        <v>-125</v>
      </c>
      <c r="H29" s="7">
        <v>0</v>
      </c>
      <c r="I29" s="29">
        <v>0</v>
      </c>
      <c r="K29" s="52"/>
      <c r="L29" s="1" t="s">
        <v>29</v>
      </c>
      <c r="M29" s="3">
        <f t="shared" si="1"/>
        <v>76006.36</v>
      </c>
      <c r="N29" s="3">
        <f t="shared" si="2"/>
        <v>2400</v>
      </c>
      <c r="O29" s="20">
        <f t="shared" si="8"/>
        <v>1500</v>
      </c>
      <c r="P29" s="23">
        <f t="shared" si="9"/>
        <v>-125</v>
      </c>
      <c r="Q29" s="7">
        <v>0</v>
      </c>
      <c r="R29" s="3">
        <v>0</v>
      </c>
    </row>
    <row r="30" spans="2:18" x14ac:dyDescent="0.3">
      <c r="B30" s="54"/>
      <c r="C30" s="8" t="s">
        <v>13</v>
      </c>
      <c r="D30" s="5">
        <f t="shared" si="0"/>
        <v>25606.36</v>
      </c>
      <c r="E30" s="5">
        <f t="shared" si="5"/>
        <v>0</v>
      </c>
      <c r="F30" s="21">
        <f t="shared" si="6"/>
        <v>0</v>
      </c>
      <c r="G30" s="24">
        <f t="shared" si="7"/>
        <v>0</v>
      </c>
      <c r="H30" s="25">
        <v>0</v>
      </c>
      <c r="I30" s="30">
        <v>0</v>
      </c>
      <c r="K30" s="52"/>
      <c r="L30" s="1" t="s">
        <v>30</v>
      </c>
      <c r="M30" s="3">
        <f t="shared" si="1"/>
        <v>79781.36</v>
      </c>
      <c r="N30" s="3">
        <f t="shared" si="2"/>
        <v>2400</v>
      </c>
      <c r="O30" s="20">
        <f t="shared" si="8"/>
        <v>1500</v>
      </c>
      <c r="P30" s="23">
        <f t="shared" si="9"/>
        <v>-125</v>
      </c>
      <c r="Q30" s="7">
        <v>0</v>
      </c>
      <c r="R30" s="3">
        <v>0</v>
      </c>
    </row>
    <row r="31" spans="2:18" x14ac:dyDescent="0.3">
      <c r="B31" s="54"/>
      <c r="C31" s="1" t="s">
        <v>31</v>
      </c>
      <c r="D31" s="3">
        <f t="shared" si="0"/>
        <v>27781.360000000001</v>
      </c>
      <c r="E31" s="3">
        <f t="shared" si="5"/>
        <v>800</v>
      </c>
      <c r="F31" s="20">
        <f t="shared" si="6"/>
        <v>1500</v>
      </c>
      <c r="G31" s="23">
        <f t="shared" si="7"/>
        <v>-125</v>
      </c>
      <c r="H31" s="7">
        <v>0</v>
      </c>
      <c r="I31" s="29">
        <v>0</v>
      </c>
      <c r="K31" s="52"/>
      <c r="L31" s="1" t="s">
        <v>31</v>
      </c>
      <c r="M31" s="3">
        <f t="shared" si="1"/>
        <v>83756.36</v>
      </c>
      <c r="N31" s="3">
        <f t="shared" si="2"/>
        <v>2600</v>
      </c>
      <c r="O31" s="20">
        <f t="shared" si="8"/>
        <v>1500</v>
      </c>
      <c r="P31" s="23">
        <f t="shared" si="9"/>
        <v>-125</v>
      </c>
      <c r="Q31" s="7">
        <v>0</v>
      </c>
      <c r="R31" s="3">
        <v>0</v>
      </c>
    </row>
    <row r="32" spans="2:18" x14ac:dyDescent="0.3">
      <c r="B32" s="54"/>
      <c r="C32" s="1" t="s">
        <v>32</v>
      </c>
      <c r="D32" s="3">
        <f t="shared" si="0"/>
        <v>29956.36</v>
      </c>
      <c r="E32" s="3">
        <f t="shared" si="5"/>
        <v>800</v>
      </c>
      <c r="F32" s="20">
        <f t="shared" si="6"/>
        <v>1500</v>
      </c>
      <c r="G32" s="23">
        <f t="shared" si="7"/>
        <v>-125</v>
      </c>
      <c r="H32" s="7">
        <v>0</v>
      </c>
      <c r="I32" s="29">
        <v>0</v>
      </c>
      <c r="K32" s="52" t="s">
        <v>36</v>
      </c>
      <c r="L32" s="8" t="s">
        <v>50</v>
      </c>
      <c r="M32" s="5">
        <f t="shared" si="1"/>
        <v>79631.360000000001</v>
      </c>
      <c r="N32" s="5">
        <f t="shared" si="2"/>
        <v>0</v>
      </c>
      <c r="O32" s="21">
        <f t="shared" si="8"/>
        <v>0</v>
      </c>
      <c r="P32" s="24">
        <f t="shared" si="9"/>
        <v>0</v>
      </c>
      <c r="Q32" s="25">
        <v>-4125</v>
      </c>
      <c r="R32" s="5">
        <v>0</v>
      </c>
    </row>
    <row r="33" spans="2:18" x14ac:dyDescent="0.3">
      <c r="B33" s="54"/>
      <c r="C33" s="1" t="s">
        <v>33</v>
      </c>
      <c r="D33" s="3">
        <f t="shared" si="0"/>
        <v>32131.360000000001</v>
      </c>
      <c r="E33" s="3">
        <f t="shared" si="5"/>
        <v>800</v>
      </c>
      <c r="F33" s="20">
        <f t="shared" si="6"/>
        <v>1500</v>
      </c>
      <c r="G33" s="23">
        <f t="shared" si="7"/>
        <v>-125</v>
      </c>
      <c r="H33" s="7">
        <v>0</v>
      </c>
      <c r="I33" s="29">
        <v>0</v>
      </c>
      <c r="K33" s="52"/>
      <c r="L33" s="1" t="s">
        <v>32</v>
      </c>
      <c r="M33" s="3">
        <f t="shared" si="1"/>
        <v>83606.36</v>
      </c>
      <c r="N33" s="3">
        <f t="shared" si="2"/>
        <v>2600</v>
      </c>
      <c r="O33" s="20">
        <f t="shared" si="8"/>
        <v>1500</v>
      </c>
      <c r="P33" s="23">
        <f t="shared" si="9"/>
        <v>-125</v>
      </c>
      <c r="Q33" s="7">
        <v>0</v>
      </c>
      <c r="R33" s="3">
        <v>0</v>
      </c>
    </row>
    <row r="34" spans="2:18" x14ac:dyDescent="0.3">
      <c r="B34" s="55"/>
      <c r="C34" s="1" t="s">
        <v>34</v>
      </c>
      <c r="D34" s="3">
        <f t="shared" si="0"/>
        <v>34506.36</v>
      </c>
      <c r="E34" s="3">
        <f t="shared" si="5"/>
        <v>1000</v>
      </c>
      <c r="F34" s="20">
        <f t="shared" si="6"/>
        <v>1500</v>
      </c>
      <c r="G34" s="23">
        <f t="shared" si="7"/>
        <v>-125</v>
      </c>
      <c r="H34" s="7">
        <v>0</v>
      </c>
      <c r="I34" s="29">
        <v>0</v>
      </c>
      <c r="K34" s="52"/>
      <c r="L34" s="1" t="s">
        <v>33</v>
      </c>
      <c r="M34" s="3">
        <f t="shared" si="1"/>
        <v>87581.36</v>
      </c>
      <c r="N34" s="3">
        <f t="shared" si="2"/>
        <v>2600</v>
      </c>
      <c r="O34" s="20">
        <f t="shared" si="8"/>
        <v>1500</v>
      </c>
      <c r="P34" s="23">
        <f t="shared" si="9"/>
        <v>-125</v>
      </c>
      <c r="Q34" s="7">
        <v>0</v>
      </c>
      <c r="R34" s="3">
        <v>0</v>
      </c>
    </row>
    <row r="35" spans="2:18" x14ac:dyDescent="0.3">
      <c r="B35" s="10" t="s">
        <v>37</v>
      </c>
      <c r="C35" s="11" t="s">
        <v>38</v>
      </c>
      <c r="D35" s="26">
        <f>D34</f>
        <v>34506.36</v>
      </c>
      <c r="E35" s="27">
        <f t="shared" ref="E35:F35" si="10">SUM(E9:E34)</f>
        <v>16000</v>
      </c>
      <c r="F35" s="27">
        <f t="shared" si="10"/>
        <v>28021.1</v>
      </c>
      <c r="G35" s="27">
        <f>SUM(G9:G34)</f>
        <v>-2500</v>
      </c>
      <c r="H35" s="27">
        <f>SUM(H9:H34)</f>
        <v>-3125</v>
      </c>
      <c r="I35" s="31">
        <v>0</v>
      </c>
      <c r="K35" s="52"/>
      <c r="L35" s="1" t="s">
        <v>34</v>
      </c>
      <c r="M35" s="3">
        <f t="shared" si="1"/>
        <v>91756.36</v>
      </c>
      <c r="N35" s="3">
        <f t="shared" si="2"/>
        <v>2800</v>
      </c>
      <c r="O35" s="20">
        <f t="shared" si="8"/>
        <v>1500</v>
      </c>
      <c r="P35" s="23">
        <f t="shared" si="9"/>
        <v>-125</v>
      </c>
      <c r="Q35" s="7">
        <v>0</v>
      </c>
      <c r="R35" s="3">
        <v>0</v>
      </c>
    </row>
    <row r="36" spans="2:18" x14ac:dyDescent="0.3">
      <c r="K36" s="52"/>
      <c r="L36" s="8" t="s">
        <v>51</v>
      </c>
      <c r="M36" s="5">
        <f t="shared" si="1"/>
        <v>91756.36</v>
      </c>
      <c r="N36" s="5">
        <f t="shared" si="2"/>
        <v>0</v>
      </c>
      <c r="O36" s="21">
        <f t="shared" si="8"/>
        <v>0</v>
      </c>
      <c r="P36" s="24">
        <f t="shared" si="9"/>
        <v>0</v>
      </c>
      <c r="Q36" s="25">
        <v>0</v>
      </c>
      <c r="R36" s="5">
        <v>0</v>
      </c>
    </row>
    <row r="37" spans="2:18" x14ac:dyDescent="0.3">
      <c r="D37" s="4"/>
      <c r="E37" s="19"/>
      <c r="F37" s="19"/>
      <c r="K37" s="52"/>
      <c r="L37" s="1" t="s">
        <v>35</v>
      </c>
      <c r="M37" s="3">
        <f t="shared" si="1"/>
        <v>96131.36</v>
      </c>
      <c r="N37" s="3">
        <f t="shared" si="2"/>
        <v>3000</v>
      </c>
      <c r="O37" s="20">
        <f t="shared" si="8"/>
        <v>1500</v>
      </c>
      <c r="P37" s="23">
        <f t="shared" si="9"/>
        <v>-125</v>
      </c>
      <c r="Q37" s="7">
        <v>0</v>
      </c>
      <c r="R37" s="3">
        <v>0</v>
      </c>
    </row>
    <row r="38" spans="2:18" x14ac:dyDescent="0.3">
      <c r="D38" s="4"/>
      <c r="K38" s="52"/>
      <c r="L38" s="1" t="s">
        <v>39</v>
      </c>
      <c r="M38" s="3">
        <f t="shared" si="1"/>
        <v>100706.36</v>
      </c>
      <c r="N38" s="3">
        <f t="shared" si="2"/>
        <v>3200</v>
      </c>
      <c r="O38" s="20">
        <f t="shared" si="8"/>
        <v>1500</v>
      </c>
      <c r="P38" s="23">
        <f t="shared" si="9"/>
        <v>-125</v>
      </c>
      <c r="Q38" s="7">
        <v>0</v>
      </c>
      <c r="R38" s="3">
        <v>0</v>
      </c>
    </row>
    <row r="39" spans="2:18" x14ac:dyDescent="0.3">
      <c r="K39" s="52"/>
      <c r="L39" s="8" t="s">
        <v>52</v>
      </c>
      <c r="M39" s="5">
        <f t="shared" si="1"/>
        <v>100706.36</v>
      </c>
      <c r="N39" s="5">
        <f t="shared" si="2"/>
        <v>0</v>
      </c>
      <c r="O39" s="21">
        <f t="shared" si="8"/>
        <v>0</v>
      </c>
      <c r="P39" s="24">
        <f t="shared" si="9"/>
        <v>0</v>
      </c>
      <c r="Q39" s="25">
        <v>0</v>
      </c>
      <c r="R39" s="5">
        <v>0</v>
      </c>
    </row>
    <row r="40" spans="2:18" x14ac:dyDescent="0.3">
      <c r="K40" s="52"/>
      <c r="L40" s="1" t="s">
        <v>40</v>
      </c>
      <c r="M40" s="3">
        <f t="shared" si="1"/>
        <v>105281.36</v>
      </c>
      <c r="N40" s="3">
        <f t="shared" si="2"/>
        <v>3200</v>
      </c>
      <c r="O40" s="20">
        <f t="shared" si="8"/>
        <v>1500</v>
      </c>
      <c r="P40" s="23">
        <f t="shared" si="9"/>
        <v>-125</v>
      </c>
      <c r="Q40" s="7">
        <v>0</v>
      </c>
      <c r="R40" s="3">
        <v>0</v>
      </c>
    </row>
    <row r="41" spans="2:18" x14ac:dyDescent="0.3">
      <c r="K41" s="52"/>
      <c r="L41" s="1" t="s">
        <v>41</v>
      </c>
      <c r="M41" s="3">
        <f t="shared" si="1"/>
        <v>110056.36</v>
      </c>
      <c r="N41" s="3">
        <f t="shared" si="2"/>
        <v>3400</v>
      </c>
      <c r="O41" s="20">
        <f t="shared" si="8"/>
        <v>1500</v>
      </c>
      <c r="P41" s="23">
        <f t="shared" si="9"/>
        <v>-125</v>
      </c>
      <c r="Q41" s="7">
        <v>0</v>
      </c>
      <c r="R41" s="3">
        <v>0</v>
      </c>
    </row>
    <row r="42" spans="2:18" x14ac:dyDescent="0.3">
      <c r="K42" s="52"/>
      <c r="L42" s="1" t="s">
        <v>42</v>
      </c>
      <c r="M42" s="3">
        <f t="shared" si="1"/>
        <v>115031.36</v>
      </c>
      <c r="N42" s="3">
        <f t="shared" si="2"/>
        <v>3600</v>
      </c>
      <c r="O42" s="20">
        <f t="shared" si="8"/>
        <v>1500</v>
      </c>
      <c r="P42" s="23">
        <f t="shared" si="9"/>
        <v>-125</v>
      </c>
      <c r="Q42" s="7">
        <v>0</v>
      </c>
      <c r="R42" s="3">
        <v>0</v>
      </c>
    </row>
    <row r="43" spans="2:18" x14ac:dyDescent="0.3">
      <c r="K43" s="52"/>
      <c r="L43" s="1" t="s">
        <v>43</v>
      </c>
      <c r="M43" s="3">
        <f t="shared" si="1"/>
        <v>120206.36</v>
      </c>
      <c r="N43" s="3">
        <f t="shared" si="2"/>
        <v>3800</v>
      </c>
      <c r="O43" s="20">
        <f t="shared" si="8"/>
        <v>1500</v>
      </c>
      <c r="P43" s="23">
        <f t="shared" si="9"/>
        <v>-125</v>
      </c>
      <c r="Q43" s="7">
        <v>0</v>
      </c>
      <c r="R43" s="3">
        <v>0</v>
      </c>
    </row>
    <row r="44" spans="2:18" x14ac:dyDescent="0.3">
      <c r="K44" s="10" t="s">
        <v>37</v>
      </c>
      <c r="L44" s="11" t="s">
        <v>53</v>
      </c>
      <c r="M44" s="26">
        <f>M43</f>
        <v>120206.36</v>
      </c>
      <c r="N44" s="27">
        <f>SUM(N9:N43)</f>
        <v>57200</v>
      </c>
      <c r="O44" s="27">
        <f t="shared" ref="O44:Q44" si="11">SUM(O9:O43)</f>
        <v>39000</v>
      </c>
      <c r="P44" s="27">
        <f t="shared" si="11"/>
        <v>-3250</v>
      </c>
      <c r="Q44" s="27">
        <f t="shared" si="11"/>
        <v>-7250</v>
      </c>
      <c r="R44" s="12">
        <v>0</v>
      </c>
    </row>
  </sheetData>
  <mergeCells count="6">
    <mergeCell ref="B9:B14"/>
    <mergeCell ref="K9:K23"/>
    <mergeCell ref="B15:B22"/>
    <mergeCell ref="B23:B34"/>
    <mergeCell ref="K24:K31"/>
    <mergeCell ref="K32:K43"/>
  </mergeCells>
  <conditionalFormatting sqref="C16:C34 B74:I1048576 D11:E34 B35:I36 K44:Q44 L26:Q43 L25:N25 Q25 F10:I34 A6:XFD24 A5:G5 I5:XFD5 A1:XFD4">
    <cfRule type="notContainsBlanks" dxfId="7" priority="7">
      <formula>LEN(TRIM(A1))&gt;0</formula>
    </cfRule>
  </conditionalFormatting>
  <conditionalFormatting sqref="K9:O9 K24 O11:O24 O26:O44">
    <cfRule type="notContainsBlanks" dxfId="6" priority="6">
      <formula>LEN(TRIM(K9))&gt;0</formula>
    </cfRule>
  </conditionalFormatting>
  <conditionalFormatting sqref="K8:Q8">
    <cfRule type="notContainsBlanks" dxfId="5" priority="5">
      <formula>LEN(TRIM(K8))&gt;0</formula>
    </cfRule>
  </conditionalFormatting>
  <conditionalFormatting sqref="A26:XFD1048576 A25:N25 Q25:XFD25">
    <cfRule type="notContainsBlanks" dxfId="4" priority="4">
      <formula>LEN(TRIM(A25))&gt;0</formula>
    </cfRule>
  </conditionalFormatting>
  <conditionalFormatting sqref="O25:P25">
    <cfRule type="notContainsBlanks" dxfId="3" priority="3">
      <formula>LEN(TRIM(O25))&gt;0</formula>
    </cfRule>
  </conditionalFormatting>
  <conditionalFormatting sqref="O25">
    <cfRule type="notContainsBlanks" dxfId="2" priority="2">
      <formula>LEN(TRIM(O25))&gt;0</formula>
    </cfRule>
  </conditionalFormatting>
  <conditionalFormatting sqref="O25:P25">
    <cfRule type="notContainsBlanks" dxfId="1" priority="1">
      <formula>LEN(TRIM(O25))&gt;0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9A0F3-C386-4C3E-B734-AF543D081ED9}">
  <dimension ref="B1:L29"/>
  <sheetViews>
    <sheetView showGridLines="0" workbookViewId="0">
      <selection activeCell="F29" sqref="F29"/>
    </sheetView>
  </sheetViews>
  <sheetFormatPr defaultRowHeight="14.4" x14ac:dyDescent="0.3"/>
  <cols>
    <col min="1" max="1" width="3" customWidth="1"/>
    <col min="2" max="2" width="14.6640625" style="48" customWidth="1"/>
    <col min="3" max="3" width="8.88671875" style="1"/>
    <col min="4" max="4" width="3" style="1" customWidth="1"/>
    <col min="6" max="6" width="15.6640625" customWidth="1"/>
    <col min="7" max="7" width="11.33203125" customWidth="1"/>
    <col min="8" max="8" width="16" customWidth="1"/>
    <col min="9" max="9" width="11" style="1" customWidth="1"/>
    <col min="10" max="10" width="9.5546875" style="1" bestFit="1" customWidth="1"/>
    <col min="12" max="12" width="12.109375" bestFit="1" customWidth="1"/>
  </cols>
  <sheetData>
    <row r="1" spans="2:12" x14ac:dyDescent="0.3">
      <c r="B1" s="1"/>
    </row>
    <row r="2" spans="2:12" x14ac:dyDescent="0.3">
      <c r="B2" s="1" t="s">
        <v>112</v>
      </c>
      <c r="C2" s="48">
        <v>100</v>
      </c>
      <c r="E2" s="1" t="s">
        <v>113</v>
      </c>
      <c r="F2" s="1" t="s">
        <v>7</v>
      </c>
      <c r="G2" s="1" t="s">
        <v>114</v>
      </c>
      <c r="H2" s="1" t="s">
        <v>37</v>
      </c>
      <c r="I2" s="1" t="s">
        <v>8</v>
      </c>
      <c r="J2" s="1" t="s">
        <v>119</v>
      </c>
      <c r="L2" s="1" t="s">
        <v>37</v>
      </c>
    </row>
    <row r="3" spans="2:12" x14ac:dyDescent="0.3">
      <c r="B3" s="1" t="s">
        <v>115</v>
      </c>
      <c r="C3" s="48">
        <v>60</v>
      </c>
      <c r="E3" s="1">
        <v>1</v>
      </c>
      <c r="F3" s="48">
        <v>900</v>
      </c>
      <c r="G3" s="49">
        <f t="shared" ref="G3:G12" si="0">_xlfn.FLOOR.MATH(F3/$C$5)</f>
        <v>14</v>
      </c>
      <c r="H3" s="47">
        <f>F3+G3*$C$6</f>
        <v>1460</v>
      </c>
      <c r="I3" s="50">
        <f>(H3-F3)/F3</f>
        <v>0.62222222222222223</v>
      </c>
      <c r="J3" s="51">
        <f>F3/$F$3</f>
        <v>1</v>
      </c>
      <c r="L3" s="4">
        <f>H3-18300+9296.15</f>
        <v>-7543.85</v>
      </c>
    </row>
    <row r="4" spans="2:12" x14ac:dyDescent="0.3">
      <c r="B4" s="1" t="s">
        <v>116</v>
      </c>
      <c r="C4" s="48">
        <v>3</v>
      </c>
      <c r="E4" s="1">
        <v>2</v>
      </c>
      <c r="F4" s="48">
        <f>H3</f>
        <v>1460</v>
      </c>
      <c r="G4" s="49">
        <f t="shared" si="0"/>
        <v>23</v>
      </c>
      <c r="H4" s="47">
        <f>F4+G4*$C$6</f>
        <v>2380</v>
      </c>
      <c r="I4" s="50">
        <f t="shared" ref="I4:I12" si="1">(H4-F4)/F4</f>
        <v>0.63013698630136983</v>
      </c>
      <c r="J4" s="51">
        <f t="shared" ref="J4:J12" si="2">F4/$F$3</f>
        <v>1.6222222222222222</v>
      </c>
      <c r="L4" s="4">
        <f t="shared" ref="L4:L12" si="3">H4-18300+9296.15</f>
        <v>-6623.85</v>
      </c>
    </row>
    <row r="5" spans="2:12" x14ac:dyDescent="0.3">
      <c r="B5" s="1" t="s">
        <v>117</v>
      </c>
      <c r="C5" s="48">
        <f>C3+C4</f>
        <v>63</v>
      </c>
      <c r="E5" s="1">
        <v>3</v>
      </c>
      <c r="F5" s="48">
        <f t="shared" ref="F5:F12" si="4">H4</f>
        <v>2380</v>
      </c>
      <c r="G5" s="49">
        <f t="shared" si="0"/>
        <v>37</v>
      </c>
      <c r="H5" s="47">
        <f t="shared" ref="H5:H12" si="5">F5+G5*$C$6</f>
        <v>3860</v>
      </c>
      <c r="I5" s="50">
        <f t="shared" si="1"/>
        <v>0.62184873949579833</v>
      </c>
      <c r="J5" s="51">
        <f t="shared" si="2"/>
        <v>2.6444444444444444</v>
      </c>
      <c r="L5" s="4">
        <f t="shared" si="3"/>
        <v>-5143.8500000000004</v>
      </c>
    </row>
    <row r="6" spans="2:12" x14ac:dyDescent="0.3">
      <c r="B6" s="1" t="s">
        <v>8</v>
      </c>
      <c r="C6" s="48">
        <f>C2-C3</f>
        <v>40</v>
      </c>
      <c r="E6" s="1">
        <v>4</v>
      </c>
      <c r="F6" s="48">
        <f t="shared" si="4"/>
        <v>3860</v>
      </c>
      <c r="G6" s="49">
        <f t="shared" si="0"/>
        <v>61</v>
      </c>
      <c r="H6" s="47">
        <f t="shared" si="5"/>
        <v>6300</v>
      </c>
      <c r="I6" s="50">
        <f t="shared" si="1"/>
        <v>0.63212435233160624</v>
      </c>
      <c r="J6" s="51">
        <f t="shared" si="2"/>
        <v>4.2888888888888888</v>
      </c>
      <c r="L6" s="4">
        <f t="shared" si="3"/>
        <v>-2703.8500000000004</v>
      </c>
    </row>
    <row r="7" spans="2:12" x14ac:dyDescent="0.3">
      <c r="B7" s="1" t="s">
        <v>118</v>
      </c>
      <c r="C7" s="50">
        <f>C6/C5</f>
        <v>0.63492063492063489</v>
      </c>
      <c r="E7" s="1">
        <v>5</v>
      </c>
      <c r="F7" s="48">
        <f t="shared" si="4"/>
        <v>6300</v>
      </c>
      <c r="G7" s="49">
        <f t="shared" si="0"/>
        <v>100</v>
      </c>
      <c r="H7" s="47">
        <f t="shared" si="5"/>
        <v>10300</v>
      </c>
      <c r="I7" s="50">
        <f t="shared" si="1"/>
        <v>0.63492063492063489</v>
      </c>
      <c r="J7" s="51">
        <f t="shared" si="2"/>
        <v>7</v>
      </c>
      <c r="L7" s="4">
        <f t="shared" si="3"/>
        <v>1296.1499999999996</v>
      </c>
    </row>
    <row r="8" spans="2:12" x14ac:dyDescent="0.3">
      <c r="E8" s="1">
        <v>6</v>
      </c>
      <c r="F8" s="48">
        <f t="shared" si="4"/>
        <v>10300</v>
      </c>
      <c r="G8" s="49">
        <f t="shared" si="0"/>
        <v>163</v>
      </c>
      <c r="H8" s="47">
        <f t="shared" si="5"/>
        <v>16820</v>
      </c>
      <c r="I8" s="50">
        <f t="shared" si="1"/>
        <v>0.63300970873786411</v>
      </c>
      <c r="J8" s="51">
        <f t="shared" si="2"/>
        <v>11.444444444444445</v>
      </c>
      <c r="L8" s="4">
        <f t="shared" si="3"/>
        <v>7816.15</v>
      </c>
    </row>
    <row r="9" spans="2:12" x14ac:dyDescent="0.3">
      <c r="E9" s="1">
        <v>7</v>
      </c>
      <c r="F9" s="48">
        <f t="shared" si="4"/>
        <v>16820</v>
      </c>
      <c r="G9" s="49">
        <f t="shared" si="0"/>
        <v>266</v>
      </c>
      <c r="H9" s="47">
        <f t="shared" si="5"/>
        <v>27460</v>
      </c>
      <c r="I9" s="50">
        <f t="shared" si="1"/>
        <v>0.63258026159334124</v>
      </c>
      <c r="J9" s="51">
        <f t="shared" si="2"/>
        <v>18.68888888888889</v>
      </c>
      <c r="L9" s="4">
        <f t="shared" si="3"/>
        <v>18456.150000000001</v>
      </c>
    </row>
    <row r="10" spans="2:12" x14ac:dyDescent="0.3">
      <c r="E10" s="1">
        <v>8</v>
      </c>
      <c r="F10" s="48">
        <f t="shared" si="4"/>
        <v>27460</v>
      </c>
      <c r="G10" s="49">
        <f t="shared" si="0"/>
        <v>435</v>
      </c>
      <c r="H10" s="47">
        <f t="shared" si="5"/>
        <v>44860</v>
      </c>
      <c r="I10" s="50">
        <f t="shared" si="1"/>
        <v>0.63364894391842685</v>
      </c>
      <c r="J10" s="51">
        <f t="shared" si="2"/>
        <v>30.511111111111113</v>
      </c>
      <c r="L10" s="4">
        <f t="shared" si="3"/>
        <v>35856.15</v>
      </c>
    </row>
    <row r="11" spans="2:12" x14ac:dyDescent="0.3">
      <c r="E11" s="1">
        <v>9</v>
      </c>
      <c r="F11" s="48">
        <f t="shared" si="4"/>
        <v>44860</v>
      </c>
      <c r="G11" s="49">
        <f t="shared" si="0"/>
        <v>712</v>
      </c>
      <c r="H11" s="47">
        <f t="shared" si="5"/>
        <v>73340</v>
      </c>
      <c r="I11" s="50">
        <f t="shared" si="1"/>
        <v>0.63486402139991083</v>
      </c>
      <c r="J11" s="51">
        <f t="shared" si="2"/>
        <v>49.844444444444441</v>
      </c>
      <c r="L11" s="4">
        <f t="shared" si="3"/>
        <v>64336.15</v>
      </c>
    </row>
    <row r="12" spans="2:12" x14ac:dyDescent="0.3">
      <c r="E12" s="1">
        <v>10</v>
      </c>
      <c r="F12" s="48">
        <f t="shared" si="4"/>
        <v>73340</v>
      </c>
      <c r="G12" s="49">
        <f t="shared" si="0"/>
        <v>1164</v>
      </c>
      <c r="H12" s="47">
        <f t="shared" si="5"/>
        <v>119900</v>
      </c>
      <c r="I12" s="50">
        <f t="shared" si="1"/>
        <v>0.63485137714753204</v>
      </c>
      <c r="J12" s="51">
        <f t="shared" si="2"/>
        <v>81.488888888888894</v>
      </c>
      <c r="L12" s="4">
        <f t="shared" si="3"/>
        <v>110896.15</v>
      </c>
    </row>
    <row r="13" spans="2:12" x14ac:dyDescent="0.3">
      <c r="E13" s="1"/>
      <c r="F13" s="48"/>
      <c r="G13" s="49"/>
      <c r="H13" s="47"/>
      <c r="I13" s="50"/>
      <c r="J13" s="51"/>
    </row>
    <row r="14" spans="2:12" x14ac:dyDescent="0.3">
      <c r="E14" s="1"/>
      <c r="F14" s="48"/>
      <c r="G14" s="49"/>
      <c r="H14" s="47"/>
      <c r="I14" s="50"/>
      <c r="J14" s="51"/>
    </row>
    <row r="15" spans="2:12" x14ac:dyDescent="0.3">
      <c r="E15" s="1"/>
      <c r="F15" s="48"/>
      <c r="G15" s="49"/>
      <c r="H15" s="47"/>
      <c r="I15" s="50"/>
      <c r="J15" s="51"/>
    </row>
    <row r="16" spans="2:12" x14ac:dyDescent="0.3">
      <c r="E16" s="1"/>
      <c r="F16" s="48"/>
      <c r="G16" s="49"/>
      <c r="H16" s="47"/>
      <c r="I16" s="50"/>
      <c r="J16" s="51"/>
    </row>
    <row r="17" spans="3:10" x14ac:dyDescent="0.3">
      <c r="E17" s="1"/>
      <c r="F17" s="48"/>
      <c r="G17" s="49"/>
      <c r="H17" s="47"/>
      <c r="I17" s="50"/>
      <c r="J17" s="51"/>
    </row>
    <row r="18" spans="3:10" x14ac:dyDescent="0.3">
      <c r="E18" s="1"/>
      <c r="F18" s="48"/>
      <c r="G18" s="49"/>
      <c r="H18" s="47"/>
      <c r="I18" s="50"/>
      <c r="J18" s="51"/>
    </row>
    <row r="19" spans="3:10" x14ac:dyDescent="0.3">
      <c r="E19" s="1"/>
      <c r="F19" s="48"/>
      <c r="G19" s="49"/>
      <c r="H19" s="47"/>
      <c r="I19" s="50"/>
      <c r="J19" s="51"/>
    </row>
    <row r="20" spans="3:10" x14ac:dyDescent="0.3">
      <c r="E20" s="1"/>
      <c r="F20" s="48"/>
      <c r="G20" s="49"/>
      <c r="H20" s="47"/>
      <c r="I20" s="50"/>
      <c r="J20" s="51"/>
    </row>
    <row r="27" spans="3:10" x14ac:dyDescent="0.3">
      <c r="C27" s="49"/>
      <c r="D27" s="47"/>
    </row>
    <row r="28" spans="3:10" x14ac:dyDescent="0.3">
      <c r="C28" s="49"/>
      <c r="D28" s="47"/>
    </row>
    <row r="29" spans="3:10" x14ac:dyDescent="0.3">
      <c r="C29" s="49"/>
      <c r="D29" s="47"/>
    </row>
  </sheetData>
  <conditionalFormatting sqref="A8:A26 A1:XFD1 A27:XFD1048576 A2:D7 E2:XFD26">
    <cfRule type="notContainsBlanks" dxfId="0" priority="1">
      <formula>LEN(TRIM(A1))&gt;0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Naked Put</vt:lpstr>
      <vt:lpstr>Finance 2024</vt:lpstr>
      <vt:lpstr>Improv</vt:lpstr>
      <vt:lpstr>Plan</vt:lpstr>
    </vt:vector>
  </TitlesOfParts>
  <Company>Office 365 Apps for Enterprise 2008 - CAGI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Widyanto, Hendry</dc:creator>
  <cp:lastModifiedBy>Widyanto, Hendry</cp:lastModifiedBy>
  <dcterms:created xsi:type="dcterms:W3CDTF">2023-05-27T02:12:39Z</dcterms:created>
  <dcterms:modified xsi:type="dcterms:W3CDTF">2024-05-20T16:04:15Z</dcterms:modified>
</cp:coreProperties>
</file>