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cer\Desktop\JaJa\FN312\"/>
    </mc:Choice>
  </mc:AlternateContent>
  <xr:revisionPtr revIDLastSave="0" documentId="13_ncr:1_{4826E3A3-DF5D-4A86-A204-A7DA9EDC0D36}" xr6:coauthVersionLast="45" xr6:coauthVersionMax="45" xr10:uidLastSave="{00000000-0000-0000-0000-000000000000}"/>
  <bookViews>
    <workbookView xWindow="-110" yWindow="-110" windowWidth="19420" windowHeight="10420" firstSheet="14" activeTab="20" xr2:uid="{00000000-000D-0000-FFFF-FFFF00000000}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AMD" sheetId="25" r:id="rId16"/>
    <sheet name="CVX" sheetId="26" r:id="rId17"/>
    <sheet name="QCOM" sheetId="28" r:id="rId18"/>
    <sheet name="F" sheetId="29" r:id="rId19"/>
    <sheet name="LTHM" sheetId="31" r:id="rId20"/>
    <sheet name="Dashboard" sheetId="15" r:id="rId21"/>
    <sheet name="Dashboard_backend" sheetId="16" r:id="rId22"/>
    <sheet name="Format Control" sheetId="22" r:id="rId23"/>
    <sheet name="New Stock" sheetId="23" r:id="rId24"/>
  </sheets>
  <definedNames>
    <definedName name="Adj_Close_HD" localSheetId="15">tbl_HD[Adj Close]</definedName>
    <definedName name="Adj_Close_HD" localSheetId="16">tbl_HD[Adj Close]</definedName>
    <definedName name="Adj_Close_HD" localSheetId="18">tbl_HD[Adj Close]</definedName>
    <definedName name="Adj_Close_HD" localSheetId="19">tbl_HD[Adj Close]</definedName>
    <definedName name="Adj_Close_HD" localSheetId="17">tbl_HD[Adj Close]</definedName>
    <definedName name="Adj_Close_HD">tbl_HD[Adj Close]</definedName>
    <definedName name="BB_Periods">Lookup!$I$5</definedName>
    <definedName name="BB_Width">Lookup!$I$6</definedName>
    <definedName name="Date_List" localSheetId="15">tbl_HD[Date]</definedName>
    <definedName name="Date_List" localSheetId="16">tbl_HD[Date]</definedName>
    <definedName name="Date_List" localSheetId="18">tbl_HD[Date]</definedName>
    <definedName name="Date_List" localSheetId="19">tbl_HD[Date]</definedName>
    <definedName name="Date_List" localSheetId="17">tbl_HD[Date]</definedName>
    <definedName name="Date_List">tbl_HD[Date]</definedName>
    <definedName name="EMA_Beta">Lookup!$I$3</definedName>
    <definedName name="Metrics">Lookup!$E$4:$E$6</definedName>
    <definedName name="pos_header" localSheetId="15">tbl_position[#Headers]</definedName>
    <definedName name="pos_header" localSheetId="16">tbl_position[#Headers]</definedName>
    <definedName name="pos_header" localSheetId="18">tbl_position[#Headers]</definedName>
    <definedName name="pos_header" localSheetId="19">tbl_position[#Headers]</definedName>
    <definedName name="pos_header" localSheetId="17">tbl_position[#Headers]</definedName>
    <definedName name="pos_header">tbl_position[#Headers]</definedName>
    <definedName name="Price_AAPL" localSheetId="15">tbl_AAPL[Adj Close]</definedName>
    <definedName name="Price_AAPL" localSheetId="16">tbl_AAPL[Adj Close]</definedName>
    <definedName name="Price_AAPL" localSheetId="18">tbl_AAPL[Adj Close]</definedName>
    <definedName name="Price_AAPL" localSheetId="19">tbl_AAPL[Adj Close]</definedName>
    <definedName name="Price_AAPL" localSheetId="17">tbl_AAPL[Adj Close]</definedName>
    <definedName name="Price_AAPL">tbl_AAPL[Adj Close]</definedName>
    <definedName name="Price_HD" localSheetId="15">tbl_HD[Adj Close]</definedName>
    <definedName name="Price_HD" localSheetId="16">tbl_HD[Adj Close]</definedName>
    <definedName name="Price_HD" localSheetId="18">tbl_HD[Adj Close]</definedName>
    <definedName name="Price_HD" localSheetId="19">tbl_HD[Adj Close]</definedName>
    <definedName name="Price_HD" localSheetId="17">tbl_HD[Adj Close]</definedName>
    <definedName name="Price_HD">tbl_HD[Adj Close]</definedName>
    <definedName name="Price_Header" localSheetId="15">tbl_HD[#Headers]</definedName>
    <definedName name="Price_Header" localSheetId="16">tbl_HD[#Headers]</definedName>
    <definedName name="Price_Header" localSheetId="18">tbl_HD[#Headers]</definedName>
    <definedName name="Price_Header" localSheetId="19">tbl_HD[#Headers]</definedName>
    <definedName name="Price_Header" localSheetId="17">tbl_HD[#Headers]</definedName>
    <definedName name="Price_Header">tbl_HD[#Headers]</definedName>
    <definedName name="RSI_Periods">Lookup!$I$4</definedName>
    <definedName name="Symbol" localSheetId="15">tbl_symbol[Symbol]</definedName>
    <definedName name="Symbol" localSheetId="16">tbl_symbol[Symbol]</definedName>
    <definedName name="Symbol" localSheetId="18">tbl_symbol[Symbol]</definedName>
    <definedName name="Symbol" localSheetId="19">tbl_symbol[Symbol]</definedName>
    <definedName name="Symbol" localSheetId="17">tbl_symbol[Symbol]</definedName>
    <definedName name="Symbol">tbl_symbol[Symbol]</definedName>
    <definedName name="Test" localSheetId="15">IF(#REF!="HD", AMD!Price_HD, AMD!Price_AAPL)</definedName>
    <definedName name="Test" localSheetId="16">IF(#REF!="HD", CVX!Price_HD, CVX!Price_AAPL)</definedName>
    <definedName name="Test" localSheetId="18">IF(#REF!="HD", F!Price_HD, F!Price_AAPL)</definedName>
    <definedName name="Test" localSheetId="19">IF(#REF!="HD", LTHM!Price_HD, LTHM!Price_AAPL)</definedName>
    <definedName name="Test" localSheetId="17">IF(#REF!="HD", QCOM!Price_HD, QCOM!Price_AAPL)</definedName>
    <definedName name="Test">IF(#REF!="HD", Price_HD, Price_AAPL)</definedName>
    <definedName name="Total_filtered">#REF!</definedName>
    <definedName name="Transactions">Lookup!$C$4:$C$7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9" i="16" l="1"/>
  <c r="AK29" i="16" s="1"/>
  <c r="AG11" i="16"/>
  <c r="G3" i="15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H75" i="2"/>
  <c r="I75" i="2"/>
  <c r="J75" i="2"/>
  <c r="K75" i="2"/>
  <c r="L75" i="2"/>
  <c r="M75" i="2"/>
  <c r="P75" i="2"/>
  <c r="Q75" i="2"/>
  <c r="R75" i="2"/>
  <c r="S75" i="2"/>
  <c r="AH30" i="16"/>
  <c r="AK30" i="16" s="1"/>
  <c r="AH31" i="16"/>
  <c r="AK31" i="16" s="1"/>
  <c r="C19" i="16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H74" i="2"/>
  <c r="I74" i="2"/>
  <c r="J74" i="2"/>
  <c r="K74" i="2"/>
  <c r="L74" i="2"/>
  <c r="M74" i="2"/>
  <c r="P74" i="2"/>
  <c r="Q74" i="2"/>
  <c r="R74" i="2"/>
  <c r="S74" i="2"/>
  <c r="H73" i="2"/>
  <c r="I73" i="2"/>
  <c r="J73" i="2"/>
  <c r="N73" i="2" s="1"/>
  <c r="K73" i="2"/>
  <c r="L73" i="2"/>
  <c r="M73" i="2"/>
  <c r="P73" i="2"/>
  <c r="Q73" i="2"/>
  <c r="R73" i="2"/>
  <c r="S73" i="2"/>
  <c r="O28" i="4"/>
  <c r="M59" i="31"/>
  <c r="N59" i="31" s="1"/>
  <c r="M58" i="31"/>
  <c r="N58" i="31" s="1"/>
  <c r="M57" i="31"/>
  <c r="N57" i="31" s="1"/>
  <c r="M56" i="31"/>
  <c r="N56" i="31" s="1"/>
  <c r="M55" i="31"/>
  <c r="N55" i="31" s="1"/>
  <c r="M59" i="29"/>
  <c r="N59" i="29" s="1"/>
  <c r="O59" i="29"/>
  <c r="M58" i="29"/>
  <c r="N58" i="29" s="1"/>
  <c r="M57" i="29"/>
  <c r="O57" i="29" s="1"/>
  <c r="M56" i="29"/>
  <c r="N56" i="29" s="1"/>
  <c r="M55" i="29"/>
  <c r="N55" i="29"/>
  <c r="O55" i="29"/>
  <c r="M59" i="28"/>
  <c r="N59" i="28" s="1"/>
  <c r="M58" i="28"/>
  <c r="O58" i="28" s="1"/>
  <c r="N58" i="28"/>
  <c r="M57" i="28"/>
  <c r="N57" i="28" s="1"/>
  <c r="M56" i="28"/>
  <c r="N56" i="28" s="1"/>
  <c r="M55" i="28"/>
  <c r="O55" i="28" s="1"/>
  <c r="M59" i="26"/>
  <c r="N59" i="26" s="1"/>
  <c r="M58" i="26"/>
  <c r="O58" i="26" s="1"/>
  <c r="M57" i="26"/>
  <c r="N57" i="26" s="1"/>
  <c r="M56" i="26"/>
  <c r="N56" i="26" s="1"/>
  <c r="M55" i="26"/>
  <c r="N55" i="26" s="1"/>
  <c r="M59" i="25"/>
  <c r="N59" i="25" s="1"/>
  <c r="M58" i="25"/>
  <c r="N58" i="25" s="1"/>
  <c r="M57" i="25"/>
  <c r="O57" i="25" s="1"/>
  <c r="M56" i="25"/>
  <c r="N56" i="25" s="1"/>
  <c r="M55" i="25"/>
  <c r="N55" i="25" s="1"/>
  <c r="O55" i="25"/>
  <c r="M59" i="20"/>
  <c r="N59" i="20" s="1"/>
  <c r="M58" i="20"/>
  <c r="N58" i="20" s="1"/>
  <c r="M57" i="20"/>
  <c r="O57" i="20" s="1"/>
  <c r="M56" i="20"/>
  <c r="N56" i="20" s="1"/>
  <c r="M55" i="20"/>
  <c r="N55" i="20" s="1"/>
  <c r="M59" i="19"/>
  <c r="N59" i="19" s="1"/>
  <c r="M58" i="19"/>
  <c r="O58" i="19" s="1"/>
  <c r="N58" i="19"/>
  <c r="M57" i="19"/>
  <c r="O57" i="19" s="1"/>
  <c r="M56" i="19"/>
  <c r="N56" i="19" s="1"/>
  <c r="M55" i="19"/>
  <c r="N55" i="19" s="1"/>
  <c r="M59" i="18"/>
  <c r="N59" i="18" s="1"/>
  <c r="M58" i="18"/>
  <c r="N58" i="18" s="1"/>
  <c r="M57" i="18"/>
  <c r="N57" i="18" s="1"/>
  <c r="M56" i="18"/>
  <c r="O56" i="18" s="1"/>
  <c r="M55" i="18"/>
  <c r="N55" i="18" s="1"/>
  <c r="M59" i="17"/>
  <c r="N59" i="17" s="1"/>
  <c r="M58" i="17"/>
  <c r="N58" i="17" s="1"/>
  <c r="M57" i="17"/>
  <c r="N57" i="17" s="1"/>
  <c r="M56" i="17"/>
  <c r="N56" i="17" s="1"/>
  <c r="D19" i="16"/>
  <c r="J59" i="31"/>
  <c r="S59" i="31"/>
  <c r="J58" i="31"/>
  <c r="S58" i="31"/>
  <c r="J57" i="31"/>
  <c r="S57" i="31"/>
  <c r="J56" i="31"/>
  <c r="S56" i="31"/>
  <c r="S55" i="31"/>
  <c r="J55" i="31"/>
  <c r="S59" i="29"/>
  <c r="J59" i="29"/>
  <c r="J58" i="29"/>
  <c r="S58" i="29"/>
  <c r="J57" i="29"/>
  <c r="S57" i="29"/>
  <c r="J56" i="29"/>
  <c r="S56" i="29"/>
  <c r="J55" i="29"/>
  <c r="S55" i="29"/>
  <c r="J59" i="28"/>
  <c r="S59" i="28"/>
  <c r="S58" i="28"/>
  <c r="J58" i="28"/>
  <c r="J57" i="28"/>
  <c r="S57" i="28"/>
  <c r="J56" i="28"/>
  <c r="S56" i="28"/>
  <c r="J55" i="28"/>
  <c r="S55" i="28"/>
  <c r="J59" i="26"/>
  <c r="S59" i="26"/>
  <c r="J58" i="26"/>
  <c r="S58" i="26"/>
  <c r="S57" i="26"/>
  <c r="J57" i="26"/>
  <c r="S56" i="26"/>
  <c r="J56" i="26"/>
  <c r="J55" i="26"/>
  <c r="S55" i="26"/>
  <c r="J59" i="25"/>
  <c r="S59" i="25"/>
  <c r="J58" i="25"/>
  <c r="S58" i="25"/>
  <c r="J57" i="25"/>
  <c r="S57" i="25"/>
  <c r="J56" i="25"/>
  <c r="S56" i="25"/>
  <c r="J55" i="25"/>
  <c r="S55" i="25"/>
  <c r="J59" i="20"/>
  <c r="S59" i="20"/>
  <c r="J58" i="20"/>
  <c r="S58" i="20"/>
  <c r="S57" i="20"/>
  <c r="J57" i="20"/>
  <c r="J56" i="20"/>
  <c r="S56" i="20"/>
  <c r="J55" i="20"/>
  <c r="S55" i="20"/>
  <c r="J59" i="19"/>
  <c r="S59" i="19"/>
  <c r="J58" i="19"/>
  <c r="S58" i="19"/>
  <c r="S57" i="19"/>
  <c r="J57" i="19"/>
  <c r="J56" i="19"/>
  <c r="S56" i="19"/>
  <c r="S55" i="19"/>
  <c r="J55" i="19"/>
  <c r="J59" i="18"/>
  <c r="S59" i="18"/>
  <c r="J58" i="18"/>
  <c r="S58" i="18"/>
  <c r="J57" i="18"/>
  <c r="S57" i="18"/>
  <c r="J56" i="18"/>
  <c r="S56" i="18"/>
  <c r="J55" i="18"/>
  <c r="S55" i="18"/>
  <c r="J59" i="17"/>
  <c r="S59" i="17"/>
  <c r="J58" i="17"/>
  <c r="S58" i="17"/>
  <c r="J57" i="17"/>
  <c r="S57" i="17"/>
  <c r="S56" i="17"/>
  <c r="J56" i="17"/>
  <c r="O75" i="2" l="1"/>
  <c r="N75" i="2"/>
  <c r="O74" i="2"/>
  <c r="N74" i="2"/>
  <c r="O73" i="2"/>
  <c r="O59" i="31"/>
  <c r="O58" i="31"/>
  <c r="L59" i="31"/>
  <c r="K59" i="31"/>
  <c r="O55" i="31"/>
  <c r="O57" i="31"/>
  <c r="L58" i="31"/>
  <c r="K58" i="31"/>
  <c r="L57" i="31"/>
  <c r="K57" i="31"/>
  <c r="L56" i="31"/>
  <c r="K56" i="31"/>
  <c r="O56" i="31"/>
  <c r="L55" i="31"/>
  <c r="K55" i="31"/>
  <c r="N57" i="29"/>
  <c r="L59" i="29"/>
  <c r="K59" i="29"/>
  <c r="L58" i="29"/>
  <c r="K58" i="29"/>
  <c r="O58" i="29"/>
  <c r="L57" i="29"/>
  <c r="K57" i="29"/>
  <c r="L56" i="29"/>
  <c r="K56" i="29"/>
  <c r="O56" i="29"/>
  <c r="L55" i="29"/>
  <c r="K55" i="29"/>
  <c r="O57" i="28"/>
  <c r="L59" i="28"/>
  <c r="K59" i="28"/>
  <c r="O59" i="28"/>
  <c r="N55" i="28"/>
  <c r="L58" i="28"/>
  <c r="K58" i="28"/>
  <c r="K57" i="28"/>
  <c r="L57" i="28"/>
  <c r="O56" i="28"/>
  <c r="L56" i="28"/>
  <c r="K56" i="28"/>
  <c r="L55" i="28"/>
  <c r="K55" i="28"/>
  <c r="O59" i="26"/>
  <c r="N58" i="26"/>
  <c r="L59" i="26"/>
  <c r="K59" i="26"/>
  <c r="O57" i="26"/>
  <c r="L58" i="26"/>
  <c r="K58" i="26"/>
  <c r="O56" i="26"/>
  <c r="L57" i="26"/>
  <c r="K57" i="26"/>
  <c r="O55" i="26"/>
  <c r="L56" i="26"/>
  <c r="K56" i="26"/>
  <c r="L55" i="26"/>
  <c r="K55" i="26"/>
  <c r="O59" i="25"/>
  <c r="O58" i="25"/>
  <c r="N57" i="25"/>
  <c r="O56" i="25"/>
  <c r="L59" i="25"/>
  <c r="K59" i="25"/>
  <c r="L58" i="25"/>
  <c r="K58" i="25"/>
  <c r="L57" i="25"/>
  <c r="K57" i="25"/>
  <c r="L56" i="25"/>
  <c r="K56" i="25"/>
  <c r="L55" i="25"/>
  <c r="K55" i="25"/>
  <c r="O59" i="20"/>
  <c r="O58" i="20"/>
  <c r="N57" i="20"/>
  <c r="L59" i="20"/>
  <c r="K59" i="20"/>
  <c r="L58" i="20"/>
  <c r="K58" i="20"/>
  <c r="O56" i="20"/>
  <c r="L57" i="20"/>
  <c r="K57" i="20"/>
  <c r="O55" i="20"/>
  <c r="L56" i="20"/>
  <c r="K56" i="20"/>
  <c r="L55" i="20"/>
  <c r="K55" i="20"/>
  <c r="O59" i="19"/>
  <c r="N57" i="19"/>
  <c r="O56" i="19"/>
  <c r="L59" i="19"/>
  <c r="K59" i="19"/>
  <c r="L58" i="19"/>
  <c r="K58" i="19"/>
  <c r="L57" i="19"/>
  <c r="K57" i="19"/>
  <c r="O55" i="19"/>
  <c r="L56" i="19"/>
  <c r="K56" i="19"/>
  <c r="L55" i="19"/>
  <c r="K55" i="19"/>
  <c r="O59" i="18"/>
  <c r="O57" i="18"/>
  <c r="N56" i="18"/>
  <c r="L59" i="18"/>
  <c r="K59" i="18"/>
  <c r="O58" i="18"/>
  <c r="L58" i="18"/>
  <c r="K58" i="18"/>
  <c r="L57" i="18"/>
  <c r="K57" i="18"/>
  <c r="K56" i="18"/>
  <c r="L56" i="18"/>
  <c r="O55" i="18"/>
  <c r="L55" i="18"/>
  <c r="K55" i="18"/>
  <c r="O58" i="17"/>
  <c r="L59" i="17"/>
  <c r="K59" i="17"/>
  <c r="O59" i="17"/>
  <c r="O57" i="17"/>
  <c r="L58" i="17"/>
  <c r="K58" i="17"/>
  <c r="O56" i="17"/>
  <c r="L57" i="17"/>
  <c r="K57" i="17"/>
  <c r="K56" i="17"/>
  <c r="L56" i="17"/>
  <c r="M55" i="17"/>
  <c r="O55" i="17" s="1"/>
  <c r="M59" i="13"/>
  <c r="N59" i="13" s="1"/>
  <c r="M58" i="13"/>
  <c r="N58" i="13" s="1"/>
  <c r="M57" i="13"/>
  <c r="N57" i="13" s="1"/>
  <c r="M56" i="13"/>
  <c r="N56" i="13" s="1"/>
  <c r="M55" i="13"/>
  <c r="N55" i="13" s="1"/>
  <c r="M59" i="12"/>
  <c r="N59" i="12" s="1"/>
  <c r="M58" i="12"/>
  <c r="O58" i="12" s="1"/>
  <c r="M57" i="12"/>
  <c r="N57" i="12" s="1"/>
  <c r="M56" i="12"/>
  <c r="O56" i="12" s="1"/>
  <c r="M55" i="12"/>
  <c r="N55" i="12" s="1"/>
  <c r="M59" i="11"/>
  <c r="N59" i="11" s="1"/>
  <c r="M58" i="11"/>
  <c r="N58" i="11" s="1"/>
  <c r="O58" i="11"/>
  <c r="M57" i="11"/>
  <c r="N57" i="11" s="1"/>
  <c r="M56" i="11"/>
  <c r="N56" i="11" s="1"/>
  <c r="M55" i="11"/>
  <c r="N55" i="11" s="1"/>
  <c r="M59" i="10"/>
  <c r="N59" i="10" s="1"/>
  <c r="M58" i="10"/>
  <c r="O58" i="10" s="1"/>
  <c r="M57" i="10"/>
  <c r="N57" i="10" s="1"/>
  <c r="M56" i="10"/>
  <c r="O56" i="10" s="1"/>
  <c r="M55" i="10"/>
  <c r="N55" i="10" s="1"/>
  <c r="M59" i="5"/>
  <c r="N59" i="5" s="1"/>
  <c r="M58" i="5"/>
  <c r="O58" i="5" s="1"/>
  <c r="M57" i="5"/>
  <c r="N57" i="5" s="1"/>
  <c r="M56" i="5"/>
  <c r="N56" i="5" s="1"/>
  <c r="M55" i="5"/>
  <c r="N55" i="5" s="1"/>
  <c r="J55" i="17"/>
  <c r="S55" i="17"/>
  <c r="J58" i="13"/>
  <c r="J56" i="13"/>
  <c r="S59" i="12"/>
  <c r="S57" i="12"/>
  <c r="J55" i="12"/>
  <c r="J58" i="11"/>
  <c r="S56" i="11"/>
  <c r="S59" i="10"/>
  <c r="S57" i="10"/>
  <c r="S55" i="10"/>
  <c r="S58" i="5"/>
  <c r="J56" i="5"/>
  <c r="S55" i="5"/>
  <c r="J59" i="12"/>
  <c r="S58" i="11"/>
  <c r="J57" i="10"/>
  <c r="S56" i="5"/>
  <c r="J59" i="13"/>
  <c r="S57" i="13"/>
  <c r="S55" i="13"/>
  <c r="S58" i="12"/>
  <c r="J56" i="12"/>
  <c r="S59" i="11"/>
  <c r="S57" i="11"/>
  <c r="J55" i="11"/>
  <c r="J58" i="10"/>
  <c r="J56" i="10"/>
  <c r="J59" i="5"/>
  <c r="S57" i="5"/>
  <c r="S56" i="13"/>
  <c r="S55" i="12"/>
  <c r="J59" i="10"/>
  <c r="J58" i="5"/>
  <c r="S59" i="13"/>
  <c r="J57" i="13"/>
  <c r="J55" i="13"/>
  <c r="J58" i="12"/>
  <c r="S56" i="12"/>
  <c r="J59" i="11"/>
  <c r="J57" i="11"/>
  <c r="S55" i="11"/>
  <c r="S58" i="10"/>
  <c r="S56" i="10"/>
  <c r="S59" i="5"/>
  <c r="J57" i="5"/>
  <c r="J55" i="5"/>
  <c r="S58" i="13"/>
  <c r="J57" i="12"/>
  <c r="J56" i="11"/>
  <c r="J55" i="10"/>
  <c r="AE5" i="4" l="1"/>
  <c r="N55" i="17"/>
  <c r="L55" i="17"/>
  <c r="K55" i="17"/>
  <c r="O59" i="13"/>
  <c r="O58" i="13"/>
  <c r="L59" i="13"/>
  <c r="K59" i="13"/>
  <c r="O57" i="13"/>
  <c r="L58" i="13"/>
  <c r="K58" i="13"/>
  <c r="O56" i="13"/>
  <c r="L57" i="13"/>
  <c r="K57" i="13"/>
  <c r="O55" i="13"/>
  <c r="L56" i="13"/>
  <c r="K56" i="13"/>
  <c r="L55" i="13"/>
  <c r="K55" i="13"/>
  <c r="N58" i="12"/>
  <c r="O59" i="12"/>
  <c r="N56" i="12"/>
  <c r="L59" i="12"/>
  <c r="K59" i="12"/>
  <c r="L58" i="12"/>
  <c r="K58" i="12"/>
  <c r="O55" i="12"/>
  <c r="L57" i="12"/>
  <c r="K57" i="12"/>
  <c r="O57" i="12"/>
  <c r="L56" i="12"/>
  <c r="K56" i="12"/>
  <c r="L55" i="12"/>
  <c r="K55" i="12"/>
  <c r="O59" i="11"/>
  <c r="L59" i="11"/>
  <c r="K59" i="11"/>
  <c r="O57" i="11"/>
  <c r="L58" i="11"/>
  <c r="K58" i="11"/>
  <c r="O56" i="11"/>
  <c r="L57" i="11"/>
  <c r="K57" i="11"/>
  <c r="L56" i="11"/>
  <c r="K56" i="11"/>
  <c r="O55" i="11"/>
  <c r="L55" i="11"/>
  <c r="K55" i="11"/>
  <c r="N58" i="10"/>
  <c r="N56" i="10"/>
  <c r="O59" i="10"/>
  <c r="L59" i="10"/>
  <c r="K59" i="10"/>
  <c r="K58" i="10"/>
  <c r="L58" i="10"/>
  <c r="O57" i="10"/>
  <c r="L57" i="10"/>
  <c r="K57" i="10"/>
  <c r="O55" i="10"/>
  <c r="L56" i="10"/>
  <c r="K56" i="10"/>
  <c r="L55" i="10"/>
  <c r="K55" i="10"/>
  <c r="N58" i="5"/>
  <c r="O59" i="5"/>
  <c r="L59" i="5"/>
  <c r="K59" i="5"/>
  <c r="O57" i="5"/>
  <c r="L58" i="5"/>
  <c r="K58" i="5"/>
  <c r="O56" i="5"/>
  <c r="L57" i="5"/>
  <c r="K57" i="5"/>
  <c r="O55" i="5"/>
  <c r="L56" i="5"/>
  <c r="K56" i="5"/>
  <c r="L55" i="5"/>
  <c r="K55" i="5"/>
  <c r="M59" i="7"/>
  <c r="N59" i="7" s="1"/>
  <c r="M58" i="7"/>
  <c r="O58" i="7" s="1"/>
  <c r="M57" i="7"/>
  <c r="N57" i="7" s="1"/>
  <c r="M56" i="7"/>
  <c r="N56" i="7" s="1"/>
  <c r="M55" i="7"/>
  <c r="N55" i="7" s="1"/>
  <c r="M54" i="31"/>
  <c r="N54" i="31" s="1"/>
  <c r="M53" i="31"/>
  <c r="O53" i="31" s="1"/>
  <c r="M52" i="31"/>
  <c r="O52" i="31" s="1"/>
  <c r="M51" i="31"/>
  <c r="O51" i="31" s="1"/>
  <c r="M50" i="31"/>
  <c r="N50" i="31" s="1"/>
  <c r="M49" i="31"/>
  <c r="O49" i="31" s="1"/>
  <c r="M48" i="31"/>
  <c r="O48" i="31" s="1"/>
  <c r="M47" i="31"/>
  <c r="O47" i="31" s="1"/>
  <c r="M46" i="31"/>
  <c r="N46" i="31" s="1"/>
  <c r="M45" i="31"/>
  <c r="O45" i="31" s="1"/>
  <c r="M44" i="31"/>
  <c r="O44" i="31" s="1"/>
  <c r="M43" i="31"/>
  <c r="O43" i="31" s="1"/>
  <c r="M42" i="31"/>
  <c r="N42" i="31" s="1"/>
  <c r="M41" i="31"/>
  <c r="O41" i="31" s="1"/>
  <c r="M40" i="31"/>
  <c r="O40" i="31" s="1"/>
  <c r="M39" i="31"/>
  <c r="O39" i="31" s="1"/>
  <c r="M38" i="31"/>
  <c r="N38" i="31" s="1"/>
  <c r="M37" i="31"/>
  <c r="O37" i="31" s="1"/>
  <c r="M36" i="31"/>
  <c r="O36" i="31" s="1"/>
  <c r="M35" i="31"/>
  <c r="O35" i="31" s="1"/>
  <c r="M34" i="31"/>
  <c r="O34" i="31" s="1"/>
  <c r="M33" i="31"/>
  <c r="O33" i="31" s="1"/>
  <c r="M32" i="31"/>
  <c r="O32" i="31" s="1"/>
  <c r="M31" i="31"/>
  <c r="O31" i="31" s="1"/>
  <c r="M30" i="31"/>
  <c r="O30" i="31" s="1"/>
  <c r="M29" i="31"/>
  <c r="O29" i="31" s="1"/>
  <c r="M28" i="31"/>
  <c r="O28" i="31" s="1"/>
  <c r="M27" i="31"/>
  <c r="O27" i="31" s="1"/>
  <c r="M26" i="31"/>
  <c r="O26" i="31" s="1"/>
  <c r="M25" i="31"/>
  <c r="O25" i="31" s="1"/>
  <c r="M24" i="31"/>
  <c r="O24" i="31" s="1"/>
  <c r="M23" i="31"/>
  <c r="O23" i="31" s="1"/>
  <c r="M22" i="31"/>
  <c r="O22" i="31" s="1"/>
  <c r="M21" i="31"/>
  <c r="O21" i="31" s="1"/>
  <c r="M20" i="31"/>
  <c r="N20" i="31" s="1"/>
  <c r="M19" i="31"/>
  <c r="O19" i="31" s="1"/>
  <c r="Q18" i="31"/>
  <c r="P18" i="31"/>
  <c r="R18" i="31" s="1"/>
  <c r="I18" i="31" s="1"/>
  <c r="M18" i="31"/>
  <c r="N18" i="31" s="1"/>
  <c r="S17" i="31"/>
  <c r="Q17" i="31"/>
  <c r="P17" i="31"/>
  <c r="R17" i="31" s="1"/>
  <c r="I17" i="31" s="1"/>
  <c r="M17" i="31"/>
  <c r="O17" i="31" s="1"/>
  <c r="J17" i="31"/>
  <c r="L17" i="31" s="1"/>
  <c r="S16" i="31"/>
  <c r="Q16" i="31"/>
  <c r="P16" i="31"/>
  <c r="R16" i="31" s="1"/>
  <c r="I16" i="31" s="1"/>
  <c r="M16" i="31"/>
  <c r="O16" i="31" s="1"/>
  <c r="J16" i="31"/>
  <c r="L16" i="31" s="1"/>
  <c r="S15" i="31"/>
  <c r="Q15" i="31"/>
  <c r="P15" i="31"/>
  <c r="R15" i="31" s="1"/>
  <c r="I15" i="31" s="1"/>
  <c r="M15" i="31"/>
  <c r="O15" i="31" s="1"/>
  <c r="J15" i="31"/>
  <c r="L15" i="31" s="1"/>
  <c r="S14" i="31"/>
  <c r="Q14" i="31"/>
  <c r="P14" i="31"/>
  <c r="R14" i="31" s="1"/>
  <c r="I14" i="31" s="1"/>
  <c r="M14" i="31"/>
  <c r="O14" i="31" s="1"/>
  <c r="J14" i="31"/>
  <c r="K14" i="31" s="1"/>
  <c r="S13" i="31"/>
  <c r="Q13" i="31"/>
  <c r="P13" i="31"/>
  <c r="R13" i="31" s="1"/>
  <c r="I13" i="31" s="1"/>
  <c r="M13" i="31"/>
  <c r="O13" i="31" s="1"/>
  <c r="J13" i="31"/>
  <c r="L13" i="31" s="1"/>
  <c r="S12" i="31"/>
  <c r="Q12" i="31"/>
  <c r="P12" i="31"/>
  <c r="R12" i="31" s="1"/>
  <c r="I12" i="31" s="1"/>
  <c r="M12" i="31"/>
  <c r="N12" i="31" s="1"/>
  <c r="J12" i="31"/>
  <c r="L12" i="31" s="1"/>
  <c r="S11" i="31"/>
  <c r="Q11" i="31"/>
  <c r="P11" i="31"/>
  <c r="R11" i="31" s="1"/>
  <c r="I11" i="31" s="1"/>
  <c r="M11" i="31"/>
  <c r="O11" i="31" s="1"/>
  <c r="J11" i="31"/>
  <c r="L11" i="31" s="1"/>
  <c r="S10" i="31"/>
  <c r="Q10" i="31"/>
  <c r="P10" i="31"/>
  <c r="R10" i="31" s="1"/>
  <c r="I10" i="31" s="1"/>
  <c r="M10" i="31"/>
  <c r="O10" i="31" s="1"/>
  <c r="J10" i="31"/>
  <c r="K10" i="31" s="1"/>
  <c r="S9" i="31"/>
  <c r="Q9" i="31"/>
  <c r="P9" i="31"/>
  <c r="R9" i="31" s="1"/>
  <c r="I9" i="31" s="1"/>
  <c r="M9" i="31"/>
  <c r="O9" i="31" s="1"/>
  <c r="J9" i="31"/>
  <c r="L9" i="31" s="1"/>
  <c r="S8" i="31"/>
  <c r="Q8" i="31"/>
  <c r="P8" i="31"/>
  <c r="R8" i="31" s="1"/>
  <c r="I8" i="31" s="1"/>
  <c r="M8" i="31"/>
  <c r="N8" i="31" s="1"/>
  <c r="J8" i="31"/>
  <c r="L8" i="31" s="1"/>
  <c r="S7" i="31"/>
  <c r="Q7" i="31"/>
  <c r="P7" i="31"/>
  <c r="R7" i="31" s="1"/>
  <c r="I7" i="31" s="1"/>
  <c r="M7" i="31"/>
  <c r="O7" i="31" s="1"/>
  <c r="J7" i="31"/>
  <c r="L7" i="31" s="1"/>
  <c r="S6" i="31"/>
  <c r="Q6" i="31"/>
  <c r="P6" i="31"/>
  <c r="R6" i="31" s="1"/>
  <c r="I6" i="31" s="1"/>
  <c r="M6" i="31"/>
  <c r="O6" i="31" s="1"/>
  <c r="J6" i="31"/>
  <c r="K6" i="31" s="1"/>
  <c r="S5" i="31"/>
  <c r="Q5" i="31"/>
  <c r="P5" i="31"/>
  <c r="R5" i="31" s="1"/>
  <c r="I5" i="31" s="1"/>
  <c r="M5" i="31"/>
  <c r="O5" i="31" s="1"/>
  <c r="J5" i="31"/>
  <c r="L5" i="31" s="1"/>
  <c r="H5" i="31"/>
  <c r="H72" i="2"/>
  <c r="I72" i="2"/>
  <c r="J72" i="2"/>
  <c r="K72" i="2"/>
  <c r="L72" i="2"/>
  <c r="M72" i="2"/>
  <c r="P72" i="2"/>
  <c r="Q72" i="2"/>
  <c r="R72" i="2"/>
  <c r="S72" i="2"/>
  <c r="S50" i="31"/>
  <c r="S18" i="31"/>
  <c r="J49" i="31"/>
  <c r="J59" i="7"/>
  <c r="J28" i="31"/>
  <c r="J35" i="31"/>
  <c r="Q34" i="31"/>
  <c r="J25" i="31"/>
  <c r="J52" i="31"/>
  <c r="J21" i="31"/>
  <c r="J24" i="31"/>
  <c r="J27" i="31"/>
  <c r="J47" i="31"/>
  <c r="J48" i="31"/>
  <c r="S20" i="31"/>
  <c r="J55" i="7"/>
  <c r="J20" i="31"/>
  <c r="S54" i="31"/>
  <c r="J18" i="31"/>
  <c r="S23" i="31"/>
  <c r="S37" i="31"/>
  <c r="J40" i="31"/>
  <c r="S57" i="7"/>
  <c r="S56" i="7"/>
  <c r="S27" i="31"/>
  <c r="S40" i="31"/>
  <c r="S38" i="31"/>
  <c r="J31" i="31"/>
  <c r="S59" i="7"/>
  <c r="J41" i="31"/>
  <c r="J57" i="7"/>
  <c r="Q35" i="31"/>
  <c r="S55" i="7"/>
  <c r="J51" i="31"/>
  <c r="S51" i="31"/>
  <c r="J46" i="31"/>
  <c r="S34" i="31"/>
  <c r="J33" i="31"/>
  <c r="S49" i="31"/>
  <c r="S48" i="31"/>
  <c r="J50" i="31"/>
  <c r="J58" i="7"/>
  <c r="J26" i="31"/>
  <c r="J36" i="31"/>
  <c r="S58" i="7"/>
  <c r="J53" i="31"/>
  <c r="J22" i="31"/>
  <c r="J56" i="7"/>
  <c r="J37" i="31"/>
  <c r="J44" i="31"/>
  <c r="S52" i="31"/>
  <c r="J30" i="31"/>
  <c r="S32" i="31"/>
  <c r="J42" i="31"/>
  <c r="S44" i="31"/>
  <c r="J45" i="31"/>
  <c r="S24" i="31"/>
  <c r="J43" i="31"/>
  <c r="S47" i="31"/>
  <c r="S21" i="31"/>
  <c r="J23" i="31"/>
  <c r="J29" i="31"/>
  <c r="Q36" i="31"/>
  <c r="S43" i="31"/>
  <c r="S30" i="31"/>
  <c r="S29" i="31"/>
  <c r="J19" i="31"/>
  <c r="S25" i="31"/>
  <c r="S28" i="31"/>
  <c r="S39" i="31"/>
  <c r="S26" i="31"/>
  <c r="Q37" i="31"/>
  <c r="S22" i="31"/>
  <c r="S19" i="31"/>
  <c r="J39" i="31"/>
  <c r="S35" i="31"/>
  <c r="J34" i="31"/>
  <c r="J38" i="31"/>
  <c r="S53" i="31"/>
  <c r="J32" i="31"/>
  <c r="S31" i="31"/>
  <c r="S33" i="31"/>
  <c r="S46" i="31"/>
  <c r="S45" i="31"/>
  <c r="S42" i="31"/>
  <c r="S41" i="31"/>
  <c r="J54" i="31"/>
  <c r="S36" i="31"/>
  <c r="O72" i="2" l="1"/>
  <c r="N49" i="31"/>
  <c r="N47" i="31"/>
  <c r="N34" i="31"/>
  <c r="N15" i="31"/>
  <c r="O12" i="31"/>
  <c r="H6" i="3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N43" i="31"/>
  <c r="N58" i="7"/>
  <c r="O38" i="31"/>
  <c r="N41" i="31"/>
  <c r="N51" i="31"/>
  <c r="N53" i="31"/>
  <c r="N32" i="31"/>
  <c r="O8" i="31"/>
  <c r="N11" i="31"/>
  <c r="N30" i="31"/>
  <c r="O20" i="31"/>
  <c r="N45" i="31"/>
  <c r="O18" i="31"/>
  <c r="N19" i="31"/>
  <c r="N28" i="31"/>
  <c r="N37" i="31"/>
  <c r="N39" i="31"/>
  <c r="O46" i="31"/>
  <c r="O50" i="31"/>
  <c r="N7" i="31"/>
  <c r="N26" i="31"/>
  <c r="N31" i="31"/>
  <c r="N33" i="31"/>
  <c r="N35" i="31"/>
  <c r="O42" i="31"/>
  <c r="O59" i="7"/>
  <c r="L59" i="7"/>
  <c r="K59" i="7"/>
  <c r="O57" i="7"/>
  <c r="L58" i="7"/>
  <c r="K58" i="7"/>
  <c r="O56" i="7"/>
  <c r="L57" i="7"/>
  <c r="K57" i="7"/>
  <c r="O55" i="7"/>
  <c r="L56" i="7"/>
  <c r="K56" i="7"/>
  <c r="L55" i="7"/>
  <c r="K55" i="7"/>
  <c r="K15" i="31"/>
  <c r="L14" i="31"/>
  <c r="N10" i="31"/>
  <c r="N17" i="31"/>
  <c r="N22" i="31"/>
  <c r="N36" i="31"/>
  <c r="N40" i="31"/>
  <c r="N44" i="31"/>
  <c r="N48" i="31"/>
  <c r="N52" i="31"/>
  <c r="N6" i="31"/>
  <c r="N5" i="31"/>
  <c r="N9" i="31"/>
  <c r="N13" i="31"/>
  <c r="N14" i="31"/>
  <c r="N16" i="31"/>
  <c r="N21" i="31"/>
  <c r="N25" i="31"/>
  <c r="N27" i="31"/>
  <c r="N29" i="31"/>
  <c r="O54" i="31"/>
  <c r="L10" i="31"/>
  <c r="K11" i="31"/>
  <c r="L6" i="31"/>
  <c r="K7" i="31"/>
  <c r="K8" i="31"/>
  <c r="K12" i="31"/>
  <c r="K16" i="31"/>
  <c r="K9" i="31"/>
  <c r="K13" i="31"/>
  <c r="K17" i="31"/>
  <c r="K5" i="31"/>
  <c r="L36" i="31"/>
  <c r="K36" i="31"/>
  <c r="L44" i="31"/>
  <c r="K44" i="31"/>
  <c r="L52" i="31"/>
  <c r="K52" i="31"/>
  <c r="L37" i="31"/>
  <c r="K37" i="31"/>
  <c r="L41" i="31"/>
  <c r="K41" i="31"/>
  <c r="L45" i="31"/>
  <c r="K45" i="31"/>
  <c r="L49" i="31"/>
  <c r="K49" i="31"/>
  <c r="L53" i="31"/>
  <c r="K53" i="31"/>
  <c r="L38" i="31"/>
  <c r="K38" i="31"/>
  <c r="L42" i="31"/>
  <c r="K42" i="31"/>
  <c r="L46" i="31"/>
  <c r="K46" i="31"/>
  <c r="L50" i="31"/>
  <c r="K50" i="31"/>
  <c r="L40" i="31"/>
  <c r="K40" i="31"/>
  <c r="L48" i="31"/>
  <c r="K48" i="31"/>
  <c r="L18" i="31"/>
  <c r="K18" i="31"/>
  <c r="L19" i="31"/>
  <c r="K19" i="31"/>
  <c r="L20" i="31"/>
  <c r="K20" i="31"/>
  <c r="L21" i="31"/>
  <c r="K21" i="31"/>
  <c r="L22" i="31"/>
  <c r="K22" i="31"/>
  <c r="L23" i="31"/>
  <c r="K23" i="31"/>
  <c r="L24" i="31"/>
  <c r="K24" i="31"/>
  <c r="L25" i="31"/>
  <c r="K25" i="31"/>
  <c r="L26" i="31"/>
  <c r="K26" i="31"/>
  <c r="L27" i="31"/>
  <c r="K27" i="31"/>
  <c r="L28" i="31"/>
  <c r="K28" i="31"/>
  <c r="L29" i="31"/>
  <c r="K29" i="31"/>
  <c r="L30" i="31"/>
  <c r="K30" i="31"/>
  <c r="L31" i="31"/>
  <c r="K31" i="31"/>
  <c r="L32" i="31"/>
  <c r="K32" i="31"/>
  <c r="L33" i="31"/>
  <c r="K33" i="31"/>
  <c r="L34" i="31"/>
  <c r="K34" i="31"/>
  <c r="L35" i="31"/>
  <c r="K35" i="31"/>
  <c r="L39" i="31"/>
  <c r="K39" i="31"/>
  <c r="L43" i="31"/>
  <c r="K43" i="31"/>
  <c r="L47" i="31"/>
  <c r="K47" i="31"/>
  <c r="L51" i="31"/>
  <c r="K51" i="31"/>
  <c r="L54" i="31"/>
  <c r="K54" i="31"/>
  <c r="N23" i="31"/>
  <c r="S60" i="31"/>
  <c r="N24" i="31"/>
  <c r="N72" i="2"/>
  <c r="J10" i="29"/>
  <c r="L10" i="29" s="1"/>
  <c r="J11" i="29"/>
  <c r="J12" i="29"/>
  <c r="K12" i="29" s="1"/>
  <c r="J13" i="29"/>
  <c r="K13" i="29" s="1"/>
  <c r="J14" i="29"/>
  <c r="L14" i="29" s="1"/>
  <c r="J15" i="29"/>
  <c r="J16" i="29"/>
  <c r="L16" i="29" s="1"/>
  <c r="J17" i="29"/>
  <c r="K17" i="29" s="1"/>
  <c r="M10" i="29"/>
  <c r="N10" i="29" s="1"/>
  <c r="M11" i="29"/>
  <c r="M12" i="29"/>
  <c r="M13" i="29"/>
  <c r="O13" i="29" s="1"/>
  <c r="M14" i="29"/>
  <c r="N14" i="29" s="1"/>
  <c r="M15" i="29"/>
  <c r="O15" i="29" s="1"/>
  <c r="M16" i="29"/>
  <c r="M17" i="29"/>
  <c r="M18" i="29"/>
  <c r="O18" i="29" s="1"/>
  <c r="M19" i="29"/>
  <c r="M20" i="29"/>
  <c r="M21" i="29"/>
  <c r="O21" i="29" s="1"/>
  <c r="M22" i="29"/>
  <c r="N22" i="29" s="1"/>
  <c r="M23" i="29"/>
  <c r="M24" i="29"/>
  <c r="M25" i="29"/>
  <c r="N25" i="29" s="1"/>
  <c r="M26" i="29"/>
  <c r="N26" i="29" s="1"/>
  <c r="M27" i="29"/>
  <c r="M28" i="29"/>
  <c r="M29" i="29"/>
  <c r="O29" i="29" s="1"/>
  <c r="M30" i="29"/>
  <c r="N30" i="29" s="1"/>
  <c r="M31" i="29"/>
  <c r="O31" i="29" s="1"/>
  <c r="M32" i="29"/>
  <c r="M33" i="29"/>
  <c r="N33" i="29" s="1"/>
  <c r="M34" i="29"/>
  <c r="N34" i="29" s="1"/>
  <c r="M35" i="29"/>
  <c r="M36" i="29"/>
  <c r="M37" i="29"/>
  <c r="O37" i="29" s="1"/>
  <c r="M38" i="29"/>
  <c r="O38" i="29" s="1"/>
  <c r="M39" i="29"/>
  <c r="M40" i="29"/>
  <c r="M41" i="29"/>
  <c r="N41" i="29" s="1"/>
  <c r="M42" i="29"/>
  <c r="N42" i="29" s="1"/>
  <c r="M43" i="29"/>
  <c r="M44" i="29"/>
  <c r="M45" i="29"/>
  <c r="O45" i="29" s="1"/>
  <c r="M46" i="29"/>
  <c r="N46" i="29" s="1"/>
  <c r="M47" i="29"/>
  <c r="O47" i="29" s="1"/>
  <c r="M48" i="29"/>
  <c r="M49" i="29"/>
  <c r="M50" i="29"/>
  <c r="O50" i="29" s="1"/>
  <c r="M51" i="29"/>
  <c r="M52" i="29"/>
  <c r="M53" i="29"/>
  <c r="O53" i="29" s="1"/>
  <c r="M54" i="29"/>
  <c r="N54" i="29" s="1"/>
  <c r="N38" i="29"/>
  <c r="O22" i="29"/>
  <c r="P10" i="29"/>
  <c r="R10" i="29" s="1"/>
  <c r="I10" i="29" s="1"/>
  <c r="P11" i="29"/>
  <c r="R11" i="29" s="1"/>
  <c r="I11" i="29" s="1"/>
  <c r="P12" i="29"/>
  <c r="R12" i="29" s="1"/>
  <c r="I12" i="29" s="1"/>
  <c r="P13" i="29"/>
  <c r="R13" i="29" s="1"/>
  <c r="I13" i="29" s="1"/>
  <c r="P14" i="29"/>
  <c r="R14" i="29" s="1"/>
  <c r="I14" i="29" s="1"/>
  <c r="P15" i="29"/>
  <c r="R15" i="29" s="1"/>
  <c r="I15" i="29" s="1"/>
  <c r="P16" i="29"/>
  <c r="R16" i="29" s="1"/>
  <c r="I16" i="29" s="1"/>
  <c r="P17" i="29"/>
  <c r="R17" i="29" s="1"/>
  <c r="I17" i="29" s="1"/>
  <c r="P18" i="29"/>
  <c r="R18" i="29" s="1"/>
  <c r="I18" i="29" s="1"/>
  <c r="Q10" i="29"/>
  <c r="Q11" i="29"/>
  <c r="Q12" i="29"/>
  <c r="Q13" i="29"/>
  <c r="Q14" i="29"/>
  <c r="Q15" i="29"/>
  <c r="Q16" i="29"/>
  <c r="Q17" i="29"/>
  <c r="Q18" i="29"/>
  <c r="S10" i="29"/>
  <c r="S11" i="29"/>
  <c r="S12" i="29"/>
  <c r="S13" i="29"/>
  <c r="S14" i="29"/>
  <c r="S15" i="29"/>
  <c r="S16" i="29"/>
  <c r="S17" i="29"/>
  <c r="J10" i="28"/>
  <c r="L10" i="28" s="1"/>
  <c r="J11" i="28"/>
  <c r="J12" i="28"/>
  <c r="L12" i="28" s="1"/>
  <c r="J13" i="28"/>
  <c r="K13" i="28" s="1"/>
  <c r="J14" i="28"/>
  <c r="K14" i="28" s="1"/>
  <c r="J15" i="28"/>
  <c r="J16" i="28"/>
  <c r="K16" i="28" s="1"/>
  <c r="J17" i="28"/>
  <c r="K17" i="28" s="1"/>
  <c r="M10" i="28"/>
  <c r="N10" i="28" s="1"/>
  <c r="M11" i="28"/>
  <c r="O11" i="28" s="1"/>
  <c r="M12" i="28"/>
  <c r="M13" i="28"/>
  <c r="N13" i="28" s="1"/>
  <c r="M14" i="28"/>
  <c r="N14" i="28" s="1"/>
  <c r="M15" i="28"/>
  <c r="N15" i="28" s="1"/>
  <c r="M16" i="28"/>
  <c r="M17" i="28"/>
  <c r="O17" i="28" s="1"/>
  <c r="M18" i="28"/>
  <c r="N18" i="28" s="1"/>
  <c r="M19" i="28"/>
  <c r="M20" i="28"/>
  <c r="M21" i="28"/>
  <c r="N21" i="28" s="1"/>
  <c r="M22" i="28"/>
  <c r="N22" i="28" s="1"/>
  <c r="M23" i="28"/>
  <c r="M24" i="28"/>
  <c r="M25" i="28"/>
  <c r="N25" i="28" s="1"/>
  <c r="M26" i="28"/>
  <c r="N26" i="28" s="1"/>
  <c r="M27" i="28"/>
  <c r="M28" i="28"/>
  <c r="M29" i="28"/>
  <c r="O29" i="28" s="1"/>
  <c r="M30" i="28"/>
  <c r="N30" i="28" s="1"/>
  <c r="M31" i="28"/>
  <c r="N31" i="28" s="1"/>
  <c r="M32" i="28"/>
  <c r="M33" i="28"/>
  <c r="N33" i="28" s="1"/>
  <c r="M34" i="28"/>
  <c r="N34" i="28" s="1"/>
  <c r="M35" i="28"/>
  <c r="N35" i="28" s="1"/>
  <c r="M36" i="28"/>
  <c r="M37" i="28"/>
  <c r="O37" i="28" s="1"/>
  <c r="M38" i="28"/>
  <c r="N38" i="28" s="1"/>
  <c r="M39" i="28"/>
  <c r="M40" i="28"/>
  <c r="M41" i="28"/>
  <c r="O41" i="28" s="1"/>
  <c r="M42" i="28"/>
  <c r="N42" i="28" s="1"/>
  <c r="M43" i="28"/>
  <c r="O43" i="28" s="1"/>
  <c r="M44" i="28"/>
  <c r="M45" i="28"/>
  <c r="N45" i="28" s="1"/>
  <c r="M46" i="28"/>
  <c r="N46" i="28" s="1"/>
  <c r="M47" i="28"/>
  <c r="N47" i="28" s="1"/>
  <c r="M48" i="28"/>
  <c r="M49" i="28"/>
  <c r="O49" i="28" s="1"/>
  <c r="M50" i="28"/>
  <c r="N50" i="28" s="1"/>
  <c r="M51" i="28"/>
  <c r="N51" i="28" s="1"/>
  <c r="M52" i="28"/>
  <c r="M53" i="28"/>
  <c r="N53" i="28" s="1"/>
  <c r="M54" i="28"/>
  <c r="N54" i="28" s="1"/>
  <c r="N11" i="28"/>
  <c r="N43" i="28"/>
  <c r="O46" i="28"/>
  <c r="P10" i="28"/>
  <c r="R10" i="28" s="1"/>
  <c r="I10" i="28" s="1"/>
  <c r="P11" i="28"/>
  <c r="R11" i="28" s="1"/>
  <c r="I11" i="28" s="1"/>
  <c r="P12" i="28"/>
  <c r="R12" i="28" s="1"/>
  <c r="I12" i="28" s="1"/>
  <c r="P13" i="28"/>
  <c r="R13" i="28" s="1"/>
  <c r="I13" i="28" s="1"/>
  <c r="P14" i="28"/>
  <c r="R14" i="28" s="1"/>
  <c r="I14" i="28" s="1"/>
  <c r="P15" i="28"/>
  <c r="R15" i="28" s="1"/>
  <c r="I15" i="28" s="1"/>
  <c r="P16" i="28"/>
  <c r="R16" i="28" s="1"/>
  <c r="I16" i="28" s="1"/>
  <c r="P17" i="28"/>
  <c r="R17" i="28" s="1"/>
  <c r="I17" i="28" s="1"/>
  <c r="P18" i="28"/>
  <c r="R18" i="28" s="1"/>
  <c r="I18" i="28" s="1"/>
  <c r="Q10" i="28"/>
  <c r="Q11" i="28"/>
  <c r="Q12" i="28"/>
  <c r="Q13" i="28"/>
  <c r="Q14" i="28"/>
  <c r="Q15" i="28"/>
  <c r="Q16" i="28"/>
  <c r="Q17" i="28"/>
  <c r="Q18" i="28"/>
  <c r="S10" i="28"/>
  <c r="S11" i="28"/>
  <c r="S12" i="28"/>
  <c r="S13" i="28"/>
  <c r="S14" i="28"/>
  <c r="S15" i="28"/>
  <c r="S16" i="28"/>
  <c r="S17" i="28"/>
  <c r="J11" i="26"/>
  <c r="L11" i="26" s="1"/>
  <c r="J12" i="26"/>
  <c r="J13" i="26"/>
  <c r="K13" i="26" s="1"/>
  <c r="J14" i="26"/>
  <c r="K14" i="26" s="1"/>
  <c r="J15" i="26"/>
  <c r="L15" i="26" s="1"/>
  <c r="J16" i="26"/>
  <c r="J17" i="26"/>
  <c r="K17" i="26" s="1"/>
  <c r="M11" i="26"/>
  <c r="O11" i="26" s="1"/>
  <c r="M12" i="26"/>
  <c r="O12" i="26" s="1"/>
  <c r="M13" i="26"/>
  <c r="M14" i="26"/>
  <c r="N14" i="26" s="1"/>
  <c r="M15" i="26"/>
  <c r="N15" i="26" s="1"/>
  <c r="M16" i="26"/>
  <c r="O16" i="26" s="1"/>
  <c r="M17" i="26"/>
  <c r="M18" i="26"/>
  <c r="N18" i="26" s="1"/>
  <c r="M19" i="26"/>
  <c r="O19" i="26" s="1"/>
  <c r="M20" i="26"/>
  <c r="O20" i="26" s="1"/>
  <c r="M21" i="26"/>
  <c r="M22" i="26"/>
  <c r="O22" i="26" s="1"/>
  <c r="M23" i="26"/>
  <c r="N23" i="26" s="1"/>
  <c r="M24" i="26"/>
  <c r="O24" i="26" s="1"/>
  <c r="M25" i="26"/>
  <c r="M26" i="26"/>
  <c r="O26" i="26" s="1"/>
  <c r="M27" i="26"/>
  <c r="O27" i="26" s="1"/>
  <c r="M28" i="26"/>
  <c r="O28" i="26" s="1"/>
  <c r="M29" i="26"/>
  <c r="M30" i="26"/>
  <c r="N30" i="26" s="1"/>
  <c r="M31" i="26"/>
  <c r="N31" i="26" s="1"/>
  <c r="M32" i="26"/>
  <c r="O32" i="26" s="1"/>
  <c r="M33" i="26"/>
  <c r="M34" i="26"/>
  <c r="N34" i="26" s="1"/>
  <c r="M35" i="26"/>
  <c r="O35" i="26" s="1"/>
  <c r="M36" i="26"/>
  <c r="O36" i="26" s="1"/>
  <c r="M37" i="26"/>
  <c r="M38" i="26"/>
  <c r="O38" i="26" s="1"/>
  <c r="M39" i="26"/>
  <c r="N39" i="26" s="1"/>
  <c r="M40" i="26"/>
  <c r="O40" i="26" s="1"/>
  <c r="M41" i="26"/>
  <c r="M42" i="26"/>
  <c r="O42" i="26" s="1"/>
  <c r="M43" i="26"/>
  <c r="O43" i="26" s="1"/>
  <c r="M44" i="26"/>
  <c r="O44" i="26" s="1"/>
  <c r="M45" i="26"/>
  <c r="M46" i="26"/>
  <c r="O46" i="26" s="1"/>
  <c r="M47" i="26"/>
  <c r="N47" i="26" s="1"/>
  <c r="M48" i="26"/>
  <c r="O48" i="26" s="1"/>
  <c r="M49" i="26"/>
  <c r="M50" i="26"/>
  <c r="N50" i="26" s="1"/>
  <c r="M51" i="26"/>
  <c r="O51" i="26" s="1"/>
  <c r="M52" i="26"/>
  <c r="O52" i="26" s="1"/>
  <c r="M53" i="26"/>
  <c r="M54" i="26"/>
  <c r="O54" i="26" s="1"/>
  <c r="N11" i="26"/>
  <c r="N12" i="26"/>
  <c r="P11" i="26"/>
  <c r="R11" i="26" s="1"/>
  <c r="I11" i="26" s="1"/>
  <c r="P12" i="26"/>
  <c r="R12" i="26" s="1"/>
  <c r="I12" i="26" s="1"/>
  <c r="P13" i="26"/>
  <c r="R13" i="26" s="1"/>
  <c r="I13" i="26" s="1"/>
  <c r="P14" i="26"/>
  <c r="R14" i="26" s="1"/>
  <c r="I14" i="26" s="1"/>
  <c r="P15" i="26"/>
  <c r="R15" i="26" s="1"/>
  <c r="I15" i="26" s="1"/>
  <c r="P16" i="26"/>
  <c r="R16" i="26" s="1"/>
  <c r="I16" i="26" s="1"/>
  <c r="P17" i="26"/>
  <c r="R17" i="26" s="1"/>
  <c r="I17" i="26" s="1"/>
  <c r="P18" i="26"/>
  <c r="R18" i="26" s="1"/>
  <c r="I18" i="26" s="1"/>
  <c r="Q11" i="26"/>
  <c r="Q12" i="26"/>
  <c r="Q13" i="26"/>
  <c r="Q14" i="26"/>
  <c r="Q15" i="26"/>
  <c r="Q16" i="26"/>
  <c r="Q17" i="26"/>
  <c r="Q18" i="26"/>
  <c r="S11" i="26"/>
  <c r="S12" i="26"/>
  <c r="S13" i="26"/>
  <c r="S14" i="26"/>
  <c r="S15" i="26"/>
  <c r="S16" i="26"/>
  <c r="S17" i="26"/>
  <c r="J14" i="25"/>
  <c r="L14" i="25" s="1"/>
  <c r="J15" i="25"/>
  <c r="K15" i="25" s="1"/>
  <c r="J16" i="25"/>
  <c r="K16" i="25" s="1"/>
  <c r="J17" i="25"/>
  <c r="K17" i="25" s="1"/>
  <c r="M14" i="25"/>
  <c r="N14" i="25" s="1"/>
  <c r="M15" i="25"/>
  <c r="M16" i="25"/>
  <c r="N16" i="25" s="1"/>
  <c r="M17" i="25"/>
  <c r="N17" i="25" s="1"/>
  <c r="M18" i="25"/>
  <c r="O18" i="25" s="1"/>
  <c r="M19" i="25"/>
  <c r="O19" i="25" s="1"/>
  <c r="M20" i="25"/>
  <c r="N20" i="25" s="1"/>
  <c r="M21" i="25"/>
  <c r="O21" i="25" s="1"/>
  <c r="M22" i="25"/>
  <c r="O22" i="25" s="1"/>
  <c r="M23" i="25"/>
  <c r="M24" i="25"/>
  <c r="N24" i="25" s="1"/>
  <c r="M25" i="25"/>
  <c r="N25" i="25" s="1"/>
  <c r="M26" i="25"/>
  <c r="N26" i="25" s="1"/>
  <c r="M27" i="25"/>
  <c r="M28" i="25"/>
  <c r="N28" i="25" s="1"/>
  <c r="M29" i="25"/>
  <c r="N29" i="25" s="1"/>
  <c r="M30" i="25"/>
  <c r="M31" i="25"/>
  <c r="M32" i="25"/>
  <c r="N32" i="25" s="1"/>
  <c r="M33" i="25"/>
  <c r="O33" i="25" s="1"/>
  <c r="M34" i="25"/>
  <c r="M35" i="25"/>
  <c r="O35" i="25" s="1"/>
  <c r="M36" i="25"/>
  <c r="N36" i="25" s="1"/>
  <c r="M37" i="25"/>
  <c r="N37" i="25" s="1"/>
  <c r="M38" i="25"/>
  <c r="O38" i="25" s="1"/>
  <c r="M39" i="25"/>
  <c r="M40" i="25"/>
  <c r="N40" i="25" s="1"/>
  <c r="M41" i="25"/>
  <c r="O41" i="25" s="1"/>
  <c r="M42" i="25"/>
  <c r="N42" i="25" s="1"/>
  <c r="M43" i="25"/>
  <c r="M44" i="25"/>
  <c r="N44" i="25" s="1"/>
  <c r="M45" i="25"/>
  <c r="N45" i="25" s="1"/>
  <c r="M46" i="25"/>
  <c r="N46" i="25" s="1"/>
  <c r="M47" i="25"/>
  <c r="M48" i="25"/>
  <c r="N48" i="25" s="1"/>
  <c r="M49" i="25"/>
  <c r="N49" i="25" s="1"/>
  <c r="M50" i="25"/>
  <c r="O50" i="25" s="1"/>
  <c r="M51" i="25"/>
  <c r="O51" i="25" s="1"/>
  <c r="M52" i="25"/>
  <c r="N52" i="25" s="1"/>
  <c r="M53" i="25"/>
  <c r="O53" i="25" s="1"/>
  <c r="M54" i="25"/>
  <c r="O54" i="25" s="1"/>
  <c r="O32" i="25"/>
  <c r="O48" i="25"/>
  <c r="P14" i="25"/>
  <c r="R14" i="25" s="1"/>
  <c r="I14" i="25" s="1"/>
  <c r="P15" i="25"/>
  <c r="R15" i="25" s="1"/>
  <c r="I15" i="25" s="1"/>
  <c r="P16" i="25"/>
  <c r="R16" i="25" s="1"/>
  <c r="I16" i="25" s="1"/>
  <c r="P17" i="25"/>
  <c r="R17" i="25" s="1"/>
  <c r="I17" i="25" s="1"/>
  <c r="P18" i="25"/>
  <c r="R18" i="25" s="1"/>
  <c r="I18" i="25" s="1"/>
  <c r="Q14" i="25"/>
  <c r="Q15" i="25"/>
  <c r="Q16" i="25"/>
  <c r="Q17" i="25"/>
  <c r="Q18" i="25"/>
  <c r="S14" i="25"/>
  <c r="S15" i="25"/>
  <c r="S16" i="25"/>
  <c r="S17" i="25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J5" i="25"/>
  <c r="M5" i="25"/>
  <c r="N5" i="25" s="1"/>
  <c r="P5" i="25"/>
  <c r="R5" i="25" s="1"/>
  <c r="I5" i="25" s="1"/>
  <c r="Q5" i="25"/>
  <c r="S5" i="25"/>
  <c r="J6" i="25"/>
  <c r="L6" i="25" s="1"/>
  <c r="M6" i="25"/>
  <c r="P6" i="25"/>
  <c r="R6" i="25" s="1"/>
  <c r="I6" i="25" s="1"/>
  <c r="Q6" i="25"/>
  <c r="S6" i="25"/>
  <c r="J7" i="25"/>
  <c r="M7" i="25"/>
  <c r="N7" i="25" s="1"/>
  <c r="P7" i="25"/>
  <c r="R7" i="25" s="1"/>
  <c r="I7" i="25" s="1"/>
  <c r="Q7" i="25"/>
  <c r="S7" i="25"/>
  <c r="J8" i="25"/>
  <c r="L8" i="25" s="1"/>
  <c r="M8" i="25"/>
  <c r="P8" i="25"/>
  <c r="R8" i="25" s="1"/>
  <c r="I8" i="25" s="1"/>
  <c r="Q8" i="25"/>
  <c r="S8" i="25"/>
  <c r="J9" i="25"/>
  <c r="M9" i="25"/>
  <c r="N9" i="25" s="1"/>
  <c r="P9" i="25"/>
  <c r="R9" i="25" s="1"/>
  <c r="I9" i="25" s="1"/>
  <c r="Q9" i="25"/>
  <c r="S9" i="25"/>
  <c r="J10" i="25"/>
  <c r="L10" i="25" s="1"/>
  <c r="M10" i="25"/>
  <c r="P10" i="25"/>
  <c r="R10" i="25" s="1"/>
  <c r="I10" i="25" s="1"/>
  <c r="Q10" i="25"/>
  <c r="S10" i="25"/>
  <c r="J11" i="25"/>
  <c r="M11" i="25"/>
  <c r="N11" i="25" s="1"/>
  <c r="P11" i="25"/>
  <c r="R11" i="25" s="1"/>
  <c r="I11" i="25" s="1"/>
  <c r="Q11" i="25"/>
  <c r="S11" i="25"/>
  <c r="J12" i="25"/>
  <c r="L12" i="25" s="1"/>
  <c r="M12" i="25"/>
  <c r="P12" i="25"/>
  <c r="R12" i="25" s="1"/>
  <c r="I12" i="25" s="1"/>
  <c r="Q12" i="25"/>
  <c r="S12" i="25"/>
  <c r="J13" i="25"/>
  <c r="M13" i="25"/>
  <c r="P13" i="25"/>
  <c r="R13" i="25" s="1"/>
  <c r="I13" i="25" s="1"/>
  <c r="Q13" i="25"/>
  <c r="S13" i="25"/>
  <c r="P59" i="31"/>
  <c r="Q59" i="31"/>
  <c r="P58" i="31"/>
  <c r="Q58" i="31"/>
  <c r="P57" i="31"/>
  <c r="Q57" i="31"/>
  <c r="P56" i="31"/>
  <c r="Q56" i="31"/>
  <c r="P55" i="31"/>
  <c r="Q55" i="31"/>
  <c r="R59" i="31" l="1"/>
  <c r="I59" i="31" s="1"/>
  <c r="R58" i="31"/>
  <c r="I58" i="31" s="1"/>
  <c r="R57" i="31"/>
  <c r="I57" i="31" s="1"/>
  <c r="R56" i="31"/>
  <c r="I56" i="31" s="1"/>
  <c r="R55" i="31"/>
  <c r="I55" i="31" s="1"/>
  <c r="O54" i="29"/>
  <c r="O10" i="29"/>
  <c r="N18" i="29"/>
  <c r="O34" i="29"/>
  <c r="N50" i="29"/>
  <c r="O42" i="29"/>
  <c r="O26" i="29"/>
  <c r="N37" i="28"/>
  <c r="O21" i="28"/>
  <c r="N32" i="26"/>
  <c r="N48" i="26"/>
  <c r="N28" i="26"/>
  <c r="O30" i="26"/>
  <c r="N16" i="26"/>
  <c r="O11" i="25"/>
  <c r="O7" i="25"/>
  <c r="O5" i="25"/>
  <c r="O9" i="25"/>
  <c r="O16" i="25"/>
  <c r="O49" i="25"/>
  <c r="N41" i="25"/>
  <c r="N49" i="29"/>
  <c r="O49" i="29"/>
  <c r="N17" i="29"/>
  <c r="O17" i="29"/>
  <c r="N13" i="25"/>
  <c r="O13" i="25"/>
  <c r="N44" i="26"/>
  <c r="N24" i="26"/>
  <c r="O42" i="25"/>
  <c r="O14" i="25"/>
  <c r="N40" i="26"/>
  <c r="N20" i="26"/>
  <c r="O34" i="28"/>
  <c r="O14" i="28"/>
  <c r="N39" i="28"/>
  <c r="O39" i="28"/>
  <c r="N23" i="28"/>
  <c r="O23" i="28"/>
  <c r="O19" i="28"/>
  <c r="N19" i="28"/>
  <c r="O27" i="28"/>
  <c r="N27" i="28"/>
  <c r="O35" i="28"/>
  <c r="O34" i="25"/>
  <c r="N34" i="25"/>
  <c r="N30" i="25"/>
  <c r="O30" i="25"/>
  <c r="O51" i="28"/>
  <c r="O37" i="25"/>
  <c r="O17" i="25"/>
  <c r="N46" i="26"/>
  <c r="O25" i="25"/>
  <c r="O53" i="28"/>
  <c r="O26" i="28"/>
  <c r="N49" i="28"/>
  <c r="N17" i="28"/>
  <c r="O46" i="29"/>
  <c r="O30" i="29"/>
  <c r="K10" i="29"/>
  <c r="K10" i="28"/>
  <c r="O33" i="29"/>
  <c r="O38" i="28"/>
  <c r="O41" i="29"/>
  <c r="O46" i="25"/>
  <c r="N50" i="25"/>
  <c r="O14" i="26"/>
  <c r="N43" i="26"/>
  <c r="O50" i="28"/>
  <c r="O42" i="28"/>
  <c r="O30" i="28"/>
  <c r="O18" i="28"/>
  <c r="O10" i="28"/>
  <c r="L12" i="29"/>
  <c r="O26" i="25"/>
  <c r="N18" i="25"/>
  <c r="N27" i="26"/>
  <c r="O54" i="28"/>
  <c r="O22" i="28"/>
  <c r="O25" i="29"/>
  <c r="O14" i="29"/>
  <c r="K16" i="29"/>
  <c r="O45" i="25"/>
  <c r="N53" i="25"/>
  <c r="N33" i="25"/>
  <c r="N21" i="25"/>
  <c r="O50" i="26"/>
  <c r="O34" i="26"/>
  <c r="O18" i="26"/>
  <c r="N42" i="26"/>
  <c r="N26" i="26"/>
  <c r="O47" i="28"/>
  <c r="O31" i="28"/>
  <c r="O15" i="28"/>
  <c r="O29" i="25"/>
  <c r="N54" i="26"/>
  <c r="N38" i="26"/>
  <c r="N22" i="26"/>
  <c r="N53" i="29"/>
  <c r="N45" i="29"/>
  <c r="N37" i="29"/>
  <c r="N29" i="29"/>
  <c r="N21" i="29"/>
  <c r="N13" i="29"/>
  <c r="L14" i="28"/>
  <c r="K14" i="29"/>
  <c r="L13" i="29"/>
  <c r="L16" i="28"/>
  <c r="L17" i="29"/>
  <c r="O23" i="29"/>
  <c r="N23" i="29"/>
  <c r="O19" i="29"/>
  <c r="N19" i="29"/>
  <c r="O11" i="29"/>
  <c r="N11" i="29"/>
  <c r="N15" i="29"/>
  <c r="N31" i="29"/>
  <c r="O51" i="29"/>
  <c r="N51" i="29"/>
  <c r="O43" i="29"/>
  <c r="N43" i="29"/>
  <c r="O39" i="29"/>
  <c r="N39" i="29"/>
  <c r="O35" i="29"/>
  <c r="N35" i="29"/>
  <c r="O27" i="29"/>
  <c r="N27" i="29"/>
  <c r="N47" i="29"/>
  <c r="K15" i="29"/>
  <c r="L15" i="29"/>
  <c r="K11" i="29"/>
  <c r="L11" i="29"/>
  <c r="N52" i="29"/>
  <c r="O52" i="29"/>
  <c r="N48" i="29"/>
  <c r="O48" i="29"/>
  <c r="N44" i="29"/>
  <c r="O44" i="29"/>
  <c r="N40" i="29"/>
  <c r="O40" i="29"/>
  <c r="N36" i="29"/>
  <c r="O36" i="29"/>
  <c r="N32" i="29"/>
  <c r="O32" i="29"/>
  <c r="N28" i="29"/>
  <c r="O28" i="29"/>
  <c r="N24" i="29"/>
  <c r="O24" i="29"/>
  <c r="N20" i="29"/>
  <c r="O20" i="29"/>
  <c r="N16" i="29"/>
  <c r="O16" i="29"/>
  <c r="N12" i="29"/>
  <c r="O12" i="29"/>
  <c r="L13" i="28"/>
  <c r="K12" i="28"/>
  <c r="O47" i="26"/>
  <c r="O39" i="26"/>
  <c r="O31" i="26"/>
  <c r="O23" i="26"/>
  <c r="O15" i="26"/>
  <c r="N52" i="26"/>
  <c r="N36" i="26"/>
  <c r="K11" i="26"/>
  <c r="L17" i="28"/>
  <c r="N51" i="26"/>
  <c r="N35" i="26"/>
  <c r="N19" i="26"/>
  <c r="K15" i="28"/>
  <c r="L15" i="28"/>
  <c r="K11" i="28"/>
  <c r="L11" i="28"/>
  <c r="L17" i="26"/>
  <c r="N52" i="28"/>
  <c r="O52" i="28"/>
  <c r="N48" i="28"/>
  <c r="O48" i="28"/>
  <c r="N44" i="28"/>
  <c r="O44" i="28"/>
  <c r="N40" i="28"/>
  <c r="O40" i="28"/>
  <c r="N36" i="28"/>
  <c r="O36" i="28"/>
  <c r="N32" i="28"/>
  <c r="O32" i="28"/>
  <c r="N28" i="28"/>
  <c r="O28" i="28"/>
  <c r="N24" i="28"/>
  <c r="O24" i="28"/>
  <c r="N20" i="28"/>
  <c r="O20" i="28"/>
  <c r="N16" i="28"/>
  <c r="O16" i="28"/>
  <c r="N12" i="28"/>
  <c r="O12" i="28"/>
  <c r="K8" i="25"/>
  <c r="L14" i="26"/>
  <c r="K15" i="26"/>
  <c r="K14" i="25"/>
  <c r="L13" i="26"/>
  <c r="L16" i="25"/>
  <c r="K12" i="26"/>
  <c r="L12" i="26"/>
  <c r="K16" i="26"/>
  <c r="L16" i="26"/>
  <c r="N53" i="26"/>
  <c r="O53" i="26"/>
  <c r="N49" i="26"/>
  <c r="O49" i="26"/>
  <c r="N45" i="26"/>
  <c r="O45" i="26"/>
  <c r="N41" i="26"/>
  <c r="O41" i="26"/>
  <c r="N37" i="26"/>
  <c r="O37" i="26"/>
  <c r="N33" i="26"/>
  <c r="O33" i="26"/>
  <c r="N29" i="26"/>
  <c r="O29" i="26"/>
  <c r="N25" i="26"/>
  <c r="O25" i="26"/>
  <c r="N21" i="26"/>
  <c r="O21" i="26"/>
  <c r="N17" i="26"/>
  <c r="O17" i="26"/>
  <c r="N13" i="26"/>
  <c r="O13" i="26"/>
  <c r="L17" i="25"/>
  <c r="K12" i="25"/>
  <c r="K6" i="25"/>
  <c r="K10" i="25"/>
  <c r="N8" i="25"/>
  <c r="O8" i="25"/>
  <c r="O43" i="25"/>
  <c r="N43" i="25"/>
  <c r="O27" i="25"/>
  <c r="N27" i="25"/>
  <c r="O23" i="25"/>
  <c r="N23" i="25"/>
  <c r="O15" i="25"/>
  <c r="N15" i="25"/>
  <c r="L13" i="25"/>
  <c r="K13" i="25"/>
  <c r="N10" i="25"/>
  <c r="O10" i="25"/>
  <c r="L5" i="25"/>
  <c r="K5" i="25"/>
  <c r="N12" i="25"/>
  <c r="O12" i="25"/>
  <c r="L7" i="25"/>
  <c r="K7" i="25"/>
  <c r="N35" i="25"/>
  <c r="L11" i="25"/>
  <c r="K11" i="25"/>
  <c r="O47" i="25"/>
  <c r="N47" i="25"/>
  <c r="O39" i="25"/>
  <c r="N39" i="25"/>
  <c r="O31" i="25"/>
  <c r="N31" i="25"/>
  <c r="N19" i="25"/>
  <c r="L9" i="25"/>
  <c r="K9" i="25"/>
  <c r="N6" i="25"/>
  <c r="O6" i="25"/>
  <c r="N51" i="25"/>
  <c r="N54" i="25"/>
  <c r="N38" i="25"/>
  <c r="N22" i="25"/>
  <c r="L15" i="25"/>
  <c r="H71" i="2"/>
  <c r="I71" i="2"/>
  <c r="J71" i="2"/>
  <c r="K71" i="2"/>
  <c r="L71" i="2"/>
  <c r="M71" i="2"/>
  <c r="P71" i="2"/>
  <c r="Q71" i="2"/>
  <c r="R71" i="2"/>
  <c r="S71" i="2"/>
  <c r="H70" i="2"/>
  <c r="I70" i="2"/>
  <c r="J70" i="2"/>
  <c r="K70" i="2"/>
  <c r="L70" i="2"/>
  <c r="M70" i="2"/>
  <c r="P70" i="2"/>
  <c r="Q70" i="2"/>
  <c r="R70" i="2"/>
  <c r="S70" i="2"/>
  <c r="H69" i="2"/>
  <c r="I69" i="2"/>
  <c r="J69" i="2"/>
  <c r="K69" i="2"/>
  <c r="L69" i="2"/>
  <c r="M69" i="2"/>
  <c r="P69" i="2"/>
  <c r="Q69" i="2"/>
  <c r="R69" i="2"/>
  <c r="S69" i="2"/>
  <c r="C18" i="16"/>
  <c r="O29" i="4"/>
  <c r="O30" i="4"/>
  <c r="O31" i="4"/>
  <c r="O32" i="4"/>
  <c r="S9" i="29"/>
  <c r="Q9" i="29"/>
  <c r="P9" i="29"/>
  <c r="R9" i="29" s="1"/>
  <c r="I9" i="29" s="1"/>
  <c r="M9" i="29"/>
  <c r="O9" i="29" s="1"/>
  <c r="J9" i="29"/>
  <c r="L9" i="29" s="1"/>
  <c r="S8" i="29"/>
  <c r="Q8" i="29"/>
  <c r="P8" i="29"/>
  <c r="R8" i="29" s="1"/>
  <c r="I8" i="29" s="1"/>
  <c r="M8" i="29"/>
  <c r="O8" i="29" s="1"/>
  <c r="J8" i="29"/>
  <c r="K8" i="29" s="1"/>
  <c r="S7" i="29"/>
  <c r="Q7" i="29"/>
  <c r="P7" i="29"/>
  <c r="R7" i="29" s="1"/>
  <c r="I7" i="29" s="1"/>
  <c r="M7" i="29"/>
  <c r="O7" i="29" s="1"/>
  <c r="J7" i="29"/>
  <c r="K7" i="29" s="1"/>
  <c r="S6" i="29"/>
  <c r="Q6" i="29"/>
  <c r="P6" i="29"/>
  <c r="R6" i="29" s="1"/>
  <c r="I6" i="29" s="1"/>
  <c r="M6" i="29"/>
  <c r="O6" i="29" s="1"/>
  <c r="J6" i="29"/>
  <c r="K6" i="29" s="1"/>
  <c r="S5" i="29"/>
  <c r="Q5" i="29"/>
  <c r="P5" i="29"/>
  <c r="R5" i="29" s="1"/>
  <c r="I5" i="29" s="1"/>
  <c r="M5" i="29"/>
  <c r="O5" i="29" s="1"/>
  <c r="J5" i="29"/>
  <c r="K5" i="29" s="1"/>
  <c r="H5" i="29"/>
  <c r="H6" i="29" s="1"/>
  <c r="H7" i="29" s="1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8" i="2"/>
  <c r="I68" i="2"/>
  <c r="J68" i="2"/>
  <c r="K68" i="2"/>
  <c r="L68" i="2"/>
  <c r="M68" i="2"/>
  <c r="P68" i="2"/>
  <c r="Q68" i="2"/>
  <c r="R68" i="2"/>
  <c r="S68" i="2"/>
  <c r="AH28" i="16"/>
  <c r="AK28" i="16" s="1"/>
  <c r="AH24" i="16"/>
  <c r="AK24" i="16" s="1"/>
  <c r="AH25" i="16"/>
  <c r="AK25" i="16" s="1"/>
  <c r="AH26" i="16"/>
  <c r="AK26" i="16" s="1"/>
  <c r="AH27" i="16"/>
  <c r="AK27" i="16" s="1"/>
  <c r="C17" i="16"/>
  <c r="N28" i="4"/>
  <c r="N29" i="4"/>
  <c r="N30" i="4"/>
  <c r="N31" i="4"/>
  <c r="N32" i="4"/>
  <c r="M27" i="4"/>
  <c r="K5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B32" i="4"/>
  <c r="C32" i="4"/>
  <c r="D32" i="4"/>
  <c r="E32" i="4"/>
  <c r="F32" i="4"/>
  <c r="G32" i="4"/>
  <c r="H32" i="4"/>
  <c r="I32" i="4"/>
  <c r="J32" i="4"/>
  <c r="L32" i="4"/>
  <c r="M32" i="4"/>
  <c r="B31" i="4"/>
  <c r="C31" i="4"/>
  <c r="D31" i="4"/>
  <c r="E31" i="4"/>
  <c r="F31" i="4"/>
  <c r="G31" i="4"/>
  <c r="H31" i="4"/>
  <c r="I31" i="4"/>
  <c r="J31" i="4"/>
  <c r="L31" i="4"/>
  <c r="M31" i="4"/>
  <c r="B30" i="4"/>
  <c r="C30" i="4"/>
  <c r="D30" i="4"/>
  <c r="E30" i="4"/>
  <c r="F30" i="4"/>
  <c r="G30" i="4"/>
  <c r="H30" i="4"/>
  <c r="I30" i="4"/>
  <c r="J30" i="4"/>
  <c r="L30" i="4"/>
  <c r="M30" i="4"/>
  <c r="B29" i="4"/>
  <c r="C29" i="4"/>
  <c r="D29" i="4"/>
  <c r="E29" i="4"/>
  <c r="F29" i="4"/>
  <c r="G29" i="4"/>
  <c r="H29" i="4"/>
  <c r="I29" i="4"/>
  <c r="J29" i="4"/>
  <c r="L29" i="4"/>
  <c r="M29" i="4"/>
  <c r="B28" i="4"/>
  <c r="C28" i="4"/>
  <c r="D28" i="4"/>
  <c r="E28" i="4"/>
  <c r="F28" i="4"/>
  <c r="G28" i="4"/>
  <c r="H28" i="4"/>
  <c r="I28" i="4"/>
  <c r="J28" i="4"/>
  <c r="L28" i="4"/>
  <c r="M28" i="4"/>
  <c r="J9" i="28"/>
  <c r="L9" i="28" s="1"/>
  <c r="M9" i="28"/>
  <c r="N9" i="28" s="1"/>
  <c r="P9" i="28"/>
  <c r="R9" i="28" s="1"/>
  <c r="I9" i="28" s="1"/>
  <c r="Q9" i="28"/>
  <c r="S9" i="28"/>
  <c r="J8" i="28"/>
  <c r="L8" i="28" s="1"/>
  <c r="M8" i="28"/>
  <c r="N8" i="28" s="1"/>
  <c r="P8" i="28"/>
  <c r="R8" i="28" s="1"/>
  <c r="I8" i="28" s="1"/>
  <c r="Q8" i="28"/>
  <c r="S8" i="28"/>
  <c r="J7" i="28"/>
  <c r="K7" i="28" s="1"/>
  <c r="M7" i="28"/>
  <c r="N7" i="28" s="1"/>
  <c r="P7" i="28"/>
  <c r="R7" i="28" s="1"/>
  <c r="I7" i="28" s="1"/>
  <c r="Q7" i="28"/>
  <c r="S7" i="28"/>
  <c r="J6" i="28"/>
  <c r="L6" i="28" s="1"/>
  <c r="M6" i="28"/>
  <c r="N6" i="28" s="1"/>
  <c r="P6" i="28"/>
  <c r="R6" i="28" s="1"/>
  <c r="I6" i="28" s="1"/>
  <c r="Q6" i="28"/>
  <c r="S6" i="28"/>
  <c r="J10" i="26"/>
  <c r="L10" i="26" s="1"/>
  <c r="M10" i="26"/>
  <c r="O10" i="26" s="1"/>
  <c r="P10" i="26"/>
  <c r="R10" i="26" s="1"/>
  <c r="I10" i="26" s="1"/>
  <c r="Q10" i="26"/>
  <c r="S10" i="26"/>
  <c r="J9" i="26"/>
  <c r="L9" i="26" s="1"/>
  <c r="M9" i="26"/>
  <c r="O9" i="26" s="1"/>
  <c r="P9" i="26"/>
  <c r="R9" i="26" s="1"/>
  <c r="I9" i="26" s="1"/>
  <c r="Q9" i="26"/>
  <c r="S9" i="26"/>
  <c r="J8" i="26"/>
  <c r="K8" i="26" s="1"/>
  <c r="M8" i="26"/>
  <c r="N8" i="26" s="1"/>
  <c r="P8" i="26"/>
  <c r="R8" i="26" s="1"/>
  <c r="I8" i="26" s="1"/>
  <c r="Q8" i="26"/>
  <c r="S8" i="26"/>
  <c r="J7" i="26"/>
  <c r="L7" i="26" s="1"/>
  <c r="M7" i="26"/>
  <c r="N7" i="26" s="1"/>
  <c r="P7" i="26"/>
  <c r="R7" i="26" s="1"/>
  <c r="I7" i="26" s="1"/>
  <c r="Q7" i="26"/>
  <c r="S7" i="26"/>
  <c r="J6" i="26"/>
  <c r="L6" i="26" s="1"/>
  <c r="M6" i="26"/>
  <c r="N6" i="26" s="1"/>
  <c r="P6" i="26"/>
  <c r="R6" i="26" s="1"/>
  <c r="I6" i="26" s="1"/>
  <c r="Q6" i="26"/>
  <c r="S6" i="26"/>
  <c r="P59" i="29"/>
  <c r="Q59" i="29"/>
  <c r="Q58" i="29"/>
  <c r="P58" i="29"/>
  <c r="P57" i="29"/>
  <c r="Q57" i="29"/>
  <c r="Q56" i="29"/>
  <c r="P56" i="29"/>
  <c r="Q55" i="29"/>
  <c r="P55" i="29"/>
  <c r="Q59" i="28"/>
  <c r="P59" i="28"/>
  <c r="P58" i="28"/>
  <c r="P57" i="28"/>
  <c r="P56" i="28"/>
  <c r="P55" i="28"/>
  <c r="Q59" i="26"/>
  <c r="P59" i="26"/>
  <c r="P58" i="26"/>
  <c r="Q58" i="26"/>
  <c r="Q57" i="26"/>
  <c r="P57" i="26"/>
  <c r="P56" i="26"/>
  <c r="Q56" i="26"/>
  <c r="Q55" i="26"/>
  <c r="P55" i="26"/>
  <c r="P59" i="25"/>
  <c r="P58" i="25"/>
  <c r="P57" i="25"/>
  <c r="P56" i="25"/>
  <c r="P55" i="25"/>
  <c r="Q40" i="31"/>
  <c r="Q27" i="31"/>
  <c r="Q52" i="31"/>
  <c r="P30" i="31"/>
  <c r="J48" i="25"/>
  <c r="S49" i="29"/>
  <c r="J48" i="29"/>
  <c r="S26" i="26"/>
  <c r="P32" i="31"/>
  <c r="S33" i="29"/>
  <c r="J51" i="26"/>
  <c r="S20" i="29"/>
  <c r="S25" i="25"/>
  <c r="S42" i="26"/>
  <c r="J26" i="26"/>
  <c r="J31" i="26"/>
  <c r="S54" i="28"/>
  <c r="J31" i="25"/>
  <c r="J40" i="29"/>
  <c r="J30" i="25"/>
  <c r="S34" i="25"/>
  <c r="S28" i="25"/>
  <c r="S37" i="26"/>
  <c r="S30" i="26"/>
  <c r="S23" i="29"/>
  <c r="P50" i="31"/>
  <c r="J21" i="26"/>
  <c r="J41" i="26"/>
  <c r="P42" i="31"/>
  <c r="J22" i="25"/>
  <c r="Q32" i="31"/>
  <c r="Q43" i="31"/>
  <c r="P20" i="31"/>
  <c r="J20" i="26"/>
  <c r="J45" i="25"/>
  <c r="J51" i="28"/>
  <c r="S39" i="29"/>
  <c r="P41" i="31"/>
  <c r="J43" i="29"/>
  <c r="J38" i="26"/>
  <c r="S40" i="25"/>
  <c r="S24" i="26"/>
  <c r="J24" i="29"/>
  <c r="Q22" i="31"/>
  <c r="Q47" i="31"/>
  <c r="J18" i="29"/>
  <c r="J35" i="25"/>
  <c r="S18" i="29"/>
  <c r="S18" i="25"/>
  <c r="S27" i="28"/>
  <c r="S19" i="26"/>
  <c r="P53" i="31"/>
  <c r="S36" i="28"/>
  <c r="J50" i="29"/>
  <c r="J39" i="25"/>
  <c r="J43" i="28"/>
  <c r="S40" i="26"/>
  <c r="P45" i="31"/>
  <c r="S26" i="29"/>
  <c r="J32" i="29"/>
  <c r="J42" i="25"/>
  <c r="S30" i="28"/>
  <c r="S29" i="25"/>
  <c r="J34" i="28"/>
  <c r="S45" i="28"/>
  <c r="P38" i="31"/>
  <c r="S19" i="28"/>
  <c r="P54" i="31"/>
  <c r="J48" i="26"/>
  <c r="P29" i="31"/>
  <c r="S22" i="26"/>
  <c r="J42" i="29"/>
  <c r="S38" i="26"/>
  <c r="Q24" i="31"/>
  <c r="J21" i="28"/>
  <c r="J29" i="28"/>
  <c r="S21" i="29"/>
  <c r="J23" i="26"/>
  <c r="S37" i="29"/>
  <c r="J33" i="29"/>
  <c r="Q21" i="31"/>
  <c r="S31" i="26"/>
  <c r="P23" i="31"/>
  <c r="S29" i="28"/>
  <c r="J53" i="28"/>
  <c r="S26" i="28"/>
  <c r="J47" i="28"/>
  <c r="J32" i="26"/>
  <c r="S18" i="26"/>
  <c r="J23" i="29"/>
  <c r="S20" i="28"/>
  <c r="P47" i="31"/>
  <c r="S32" i="26"/>
  <c r="S35" i="25"/>
  <c r="J32" i="28"/>
  <c r="S53" i="29"/>
  <c r="S36" i="29"/>
  <c r="J43" i="26"/>
  <c r="J34" i="26"/>
  <c r="S34" i="29"/>
  <c r="Q33" i="31"/>
  <c r="J37" i="28"/>
  <c r="J40" i="28"/>
  <c r="P31" i="31"/>
  <c r="S42" i="29"/>
  <c r="P37" i="31"/>
  <c r="S48" i="26"/>
  <c r="S23" i="28"/>
  <c r="J34" i="25"/>
  <c r="J41" i="25"/>
  <c r="P24" i="31"/>
  <c r="P25" i="31"/>
  <c r="S27" i="29"/>
  <c r="S18" i="28"/>
  <c r="J41" i="29"/>
  <c r="S38" i="25"/>
  <c r="J54" i="28"/>
  <c r="S52" i="25"/>
  <c r="Q54" i="31"/>
  <c r="S47" i="25"/>
  <c r="Q41" i="31"/>
  <c r="Q28" i="31"/>
  <c r="Q45" i="31"/>
  <c r="S34" i="28"/>
  <c r="J19" i="25"/>
  <c r="S27" i="26"/>
  <c r="S24" i="25"/>
  <c r="J22" i="28"/>
  <c r="J30" i="29"/>
  <c r="P44" i="31"/>
  <c r="J44" i="28"/>
  <c r="J29" i="26"/>
  <c r="S31" i="29"/>
  <c r="S29" i="29"/>
  <c r="S22" i="25"/>
  <c r="P28" i="31"/>
  <c r="S21" i="28"/>
  <c r="S41" i="26"/>
  <c r="J39" i="28"/>
  <c r="S46" i="29"/>
  <c r="P33" i="31"/>
  <c r="S44" i="25"/>
  <c r="J44" i="25"/>
  <c r="S19" i="29"/>
  <c r="J18" i="28"/>
  <c r="P36" i="31"/>
  <c r="P39" i="31"/>
  <c r="S22" i="28"/>
  <c r="J38" i="29"/>
  <c r="P46" i="31"/>
  <c r="Q23" i="31"/>
  <c r="Q49" i="31"/>
  <c r="P34" i="31"/>
  <c r="J43" i="25"/>
  <c r="S21" i="26"/>
  <c r="S50" i="29"/>
  <c r="J37" i="25"/>
  <c r="J54" i="29"/>
  <c r="S40" i="29"/>
  <c r="S51" i="29"/>
  <c r="S20" i="25"/>
  <c r="S54" i="25"/>
  <c r="J46" i="25"/>
  <c r="Q25" i="31"/>
  <c r="Q42" i="31"/>
  <c r="S27" i="25"/>
  <c r="J25" i="28"/>
  <c r="J53" i="29"/>
  <c r="J27" i="28"/>
  <c r="J18" i="26"/>
  <c r="J28" i="25"/>
  <c r="P21" i="31"/>
  <c r="S46" i="26"/>
  <c r="S36" i="25"/>
  <c r="J45" i="26"/>
  <c r="S48" i="29"/>
  <c r="J38" i="28"/>
  <c r="S35" i="28"/>
  <c r="Q48" i="31"/>
  <c r="S26" i="25"/>
  <c r="S39" i="25"/>
  <c r="J29" i="25"/>
  <c r="S51" i="26"/>
  <c r="J25" i="25"/>
  <c r="S49" i="25"/>
  <c r="S41" i="25"/>
  <c r="J52" i="28"/>
  <c r="S31" i="28"/>
  <c r="J28" i="26"/>
  <c r="S32" i="28"/>
  <c r="Q26" i="31"/>
  <c r="S39" i="26"/>
  <c r="S29" i="26"/>
  <c r="Q51" i="31"/>
  <c r="J49" i="29"/>
  <c r="J44" i="26"/>
  <c r="S41" i="28"/>
  <c r="S25" i="29"/>
  <c r="S51" i="25"/>
  <c r="J50" i="26"/>
  <c r="Q46" i="31"/>
  <c r="J47" i="26"/>
  <c r="J51" i="25"/>
  <c r="S34" i="26"/>
  <c r="J49" i="28"/>
  <c r="S48" i="28"/>
  <c r="J40" i="25"/>
  <c r="J35" i="26"/>
  <c r="P43" i="31"/>
  <c r="J25" i="26"/>
  <c r="J22" i="26"/>
  <c r="Q30" i="31"/>
  <c r="J20" i="28"/>
  <c r="P19" i="31"/>
  <c r="J23" i="28"/>
  <c r="J34" i="29"/>
  <c r="S32" i="29"/>
  <c r="S50" i="26"/>
  <c r="J52" i="26"/>
  <c r="S43" i="26"/>
  <c r="J38" i="25"/>
  <c r="P52" i="31"/>
  <c r="J36" i="26"/>
  <c r="S52" i="28"/>
  <c r="J50" i="25"/>
  <c r="Q44" i="31"/>
  <c r="J31" i="28"/>
  <c r="P49" i="31"/>
  <c r="S25" i="28"/>
  <c r="S47" i="26"/>
  <c r="S43" i="29"/>
  <c r="J52" i="25"/>
  <c r="S35" i="29"/>
  <c r="P22" i="31"/>
  <c r="J42" i="28"/>
  <c r="S30" i="25"/>
  <c r="S54" i="29"/>
  <c r="J27" i="26"/>
  <c r="S49" i="26"/>
  <c r="P51" i="31"/>
  <c r="Q39" i="31"/>
  <c r="Q31" i="31"/>
  <c r="Q50" i="31"/>
  <c r="J45" i="29"/>
  <c r="J48" i="28"/>
  <c r="S37" i="28"/>
  <c r="S21" i="25"/>
  <c r="S23" i="26"/>
  <c r="S28" i="28"/>
  <c r="P27" i="31"/>
  <c r="S52" i="29"/>
  <c r="J26" i="29"/>
  <c r="S32" i="25"/>
  <c r="J39" i="26"/>
  <c r="S53" i="26"/>
  <c r="S52" i="26"/>
  <c r="J23" i="25"/>
  <c r="J19" i="26"/>
  <c r="J27" i="25"/>
  <c r="J21" i="25"/>
  <c r="J29" i="29"/>
  <c r="S23" i="25"/>
  <c r="J36" i="28"/>
  <c r="J49" i="25"/>
  <c r="J33" i="25"/>
  <c r="J42" i="26"/>
  <c r="S36" i="26"/>
  <c r="S39" i="28"/>
  <c r="S51" i="28"/>
  <c r="S47" i="29"/>
  <c r="Q19" i="31"/>
  <c r="Q53" i="31"/>
  <c r="J40" i="26"/>
  <c r="S28" i="29"/>
  <c r="S45" i="25"/>
  <c r="J22" i="29"/>
  <c r="S38" i="28"/>
  <c r="J19" i="29"/>
  <c r="P48" i="31"/>
  <c r="S49" i="28"/>
  <c r="S33" i="26"/>
  <c r="J33" i="28"/>
  <c r="S54" i="26"/>
  <c r="Q20" i="31"/>
  <c r="P40" i="31"/>
  <c r="J20" i="29"/>
  <c r="S22" i="29"/>
  <c r="S45" i="26"/>
  <c r="S20" i="26"/>
  <c r="J47" i="29"/>
  <c r="S28" i="26"/>
  <c r="P35" i="31"/>
  <c r="J46" i="29"/>
  <c r="J36" i="29"/>
  <c r="J50" i="28"/>
  <c r="J21" i="29"/>
  <c r="J54" i="26"/>
  <c r="J30" i="26"/>
  <c r="P26" i="31"/>
  <c r="J53" i="26"/>
  <c r="J19" i="28"/>
  <c r="S33" i="28"/>
  <c r="J28" i="28"/>
  <c r="J46" i="26"/>
  <c r="J31" i="29"/>
  <c r="J46" i="28"/>
  <c r="S43" i="28"/>
  <c r="J24" i="25"/>
  <c r="J54" i="25"/>
  <c r="S53" i="25"/>
  <c r="S42" i="28"/>
  <c r="J20" i="25"/>
  <c r="J24" i="26"/>
  <c r="S46" i="25"/>
  <c r="J18" i="25"/>
  <c r="S41" i="29"/>
  <c r="S19" i="25"/>
  <c r="J25" i="29"/>
  <c r="J51" i="29"/>
  <c r="J45" i="28"/>
  <c r="S46" i="28"/>
  <c r="S38" i="29"/>
  <c r="J49" i="26"/>
  <c r="S37" i="25"/>
  <c r="J53" i="25"/>
  <c r="S43" i="25"/>
  <c r="S50" i="25"/>
  <c r="S24" i="28"/>
  <c r="S44" i="29"/>
  <c r="J28" i="29"/>
  <c r="S50" i="28"/>
  <c r="Q38" i="31"/>
  <c r="S40" i="28"/>
  <c r="J33" i="26"/>
  <c r="J26" i="28"/>
  <c r="S53" i="28"/>
  <c r="J35" i="28"/>
  <c r="J52" i="29"/>
  <c r="S33" i="25"/>
  <c r="S25" i="26"/>
  <c r="S48" i="25"/>
  <c r="Q29" i="31"/>
  <c r="J44" i="29"/>
  <c r="J37" i="26"/>
  <c r="J30" i="28"/>
  <c r="S35" i="26"/>
  <c r="S31" i="25"/>
  <c r="J41" i="28"/>
  <c r="J36" i="25"/>
  <c r="S30" i="29"/>
  <c r="S24" i="29"/>
  <c r="J27" i="29"/>
  <c r="J39" i="29"/>
  <c r="J26" i="25"/>
  <c r="S42" i="25"/>
  <c r="S45" i="29"/>
  <c r="S47" i="28"/>
  <c r="S44" i="26"/>
  <c r="J47" i="25"/>
  <c r="J37" i="29"/>
  <c r="J35" i="29"/>
  <c r="J24" i="28"/>
  <c r="J32" i="25"/>
  <c r="S44" i="28"/>
  <c r="Q25" i="26"/>
  <c r="P46" i="25"/>
  <c r="Q27" i="26"/>
  <c r="Q24" i="26"/>
  <c r="Q30" i="29"/>
  <c r="Q46" i="26"/>
  <c r="P33" i="26"/>
  <c r="P26" i="28"/>
  <c r="P34" i="29"/>
  <c r="Q19" i="25"/>
  <c r="P27" i="26"/>
  <c r="Q54" i="26"/>
  <c r="P39" i="26"/>
  <c r="P49" i="29"/>
  <c r="P29" i="26"/>
  <c r="P43" i="26"/>
  <c r="P33" i="25"/>
  <c r="Q32" i="26"/>
  <c r="Q21" i="29"/>
  <c r="Q49" i="26"/>
  <c r="P35" i="25"/>
  <c r="Q42" i="26"/>
  <c r="P45" i="29"/>
  <c r="D18" i="16"/>
  <c r="P49" i="26"/>
  <c r="P20" i="28"/>
  <c r="P54" i="25"/>
  <c r="Q31" i="26"/>
  <c r="Q24" i="29"/>
  <c r="P37" i="29"/>
  <c r="P47" i="26"/>
  <c r="P47" i="25"/>
  <c r="Q50" i="29"/>
  <c r="P37" i="25"/>
  <c r="Q39" i="26"/>
  <c r="P46" i="26"/>
  <c r="P20" i="25"/>
  <c r="P44" i="26"/>
  <c r="P26" i="25"/>
  <c r="P25" i="29"/>
  <c r="P53" i="25"/>
  <c r="P54" i="26"/>
  <c r="P38" i="25"/>
  <c r="Q45" i="26"/>
  <c r="Q19" i="29"/>
  <c r="P25" i="26"/>
  <c r="P31" i="25"/>
  <c r="Q34" i="26"/>
  <c r="Q43" i="26"/>
  <c r="P31" i="26"/>
  <c r="P30" i="29"/>
  <c r="P28" i="25"/>
  <c r="P44" i="25"/>
  <c r="P28" i="26"/>
  <c r="P48" i="26"/>
  <c r="P26" i="29"/>
  <c r="Q45" i="29"/>
  <c r="P45" i="25"/>
  <c r="P40" i="25"/>
  <c r="Q52" i="29"/>
  <c r="Q48" i="26"/>
  <c r="P49" i="25"/>
  <c r="Q31" i="29"/>
  <c r="Q47" i="26"/>
  <c r="P44" i="29"/>
  <c r="P29" i="29"/>
  <c r="Q23" i="26"/>
  <c r="P42" i="26"/>
  <c r="P38" i="26"/>
  <c r="P37" i="26"/>
  <c r="P30" i="25"/>
  <c r="P19" i="28"/>
  <c r="Q30" i="26"/>
  <c r="Q29" i="29"/>
  <c r="P34" i="25"/>
  <c r="Q36" i="26"/>
  <c r="P23" i="25"/>
  <c r="P51" i="26"/>
  <c r="Q33" i="29"/>
  <c r="P35" i="26"/>
  <c r="P52" i="26"/>
  <c r="Q41" i="26"/>
  <c r="Q40" i="29"/>
  <c r="Q41" i="29"/>
  <c r="P32" i="29"/>
  <c r="Q38" i="29"/>
  <c r="P19" i="25"/>
  <c r="P43" i="25"/>
  <c r="P39" i="29"/>
  <c r="P46" i="29"/>
  <c r="Q53" i="26"/>
  <c r="Q23" i="29"/>
  <c r="Q48" i="29"/>
  <c r="P24" i="29"/>
  <c r="P25" i="28"/>
  <c r="P36" i="26"/>
  <c r="P39" i="25"/>
  <c r="Q32" i="29"/>
  <c r="Q26" i="26"/>
  <c r="Q51" i="26"/>
  <c r="P27" i="29"/>
  <c r="Q29" i="26"/>
  <c r="P24" i="26"/>
  <c r="P27" i="28"/>
  <c r="Q40" i="26"/>
  <c r="Q44" i="26"/>
  <c r="P41" i="25"/>
  <c r="Q50" i="26"/>
  <c r="Q37" i="26"/>
  <c r="Q49" i="29"/>
  <c r="P51" i="25"/>
  <c r="Q34" i="29"/>
  <c r="P25" i="25"/>
  <c r="P42" i="29"/>
  <c r="P36" i="29"/>
  <c r="Q37" i="29"/>
  <c r="P31" i="29"/>
  <c r="P41" i="29"/>
  <c r="P28" i="28"/>
  <c r="P22" i="25"/>
  <c r="Q51" i="29"/>
  <c r="P30" i="26"/>
  <c r="P22" i="28"/>
  <c r="P43" i="29"/>
  <c r="Q20" i="29"/>
  <c r="P50" i="26"/>
  <c r="P36" i="25"/>
  <c r="P24" i="28"/>
  <c r="P47" i="29"/>
  <c r="Q27" i="29"/>
  <c r="P23" i="28"/>
  <c r="Q46" i="29"/>
  <c r="P26" i="26"/>
  <c r="P38" i="29"/>
  <c r="P29" i="25"/>
  <c r="Q54" i="29"/>
  <c r="P48" i="29"/>
  <c r="Q36" i="29"/>
  <c r="P53" i="29"/>
  <c r="P52" i="25"/>
  <c r="Q25" i="29"/>
  <c r="Q22" i="26"/>
  <c r="P41" i="26"/>
  <c r="P40" i="26"/>
  <c r="P54" i="29"/>
  <c r="P35" i="29"/>
  <c r="P52" i="29"/>
  <c r="Q38" i="26"/>
  <c r="P51" i="29"/>
  <c r="P32" i="25"/>
  <c r="Q42" i="29"/>
  <c r="Q39" i="29"/>
  <c r="Q28" i="26"/>
  <c r="P45" i="26"/>
  <c r="Q47" i="29"/>
  <c r="P32" i="26"/>
  <c r="P40" i="29"/>
  <c r="P27" i="25"/>
  <c r="Q35" i="29"/>
  <c r="Q26" i="29"/>
  <c r="P50" i="29"/>
  <c r="Q33" i="26"/>
  <c r="Q43" i="29"/>
  <c r="Q28" i="29"/>
  <c r="Q35" i="26"/>
  <c r="P33" i="29"/>
  <c r="P50" i="25"/>
  <c r="D17" i="16"/>
  <c r="P53" i="26"/>
  <c r="P34" i="26"/>
  <c r="P24" i="25"/>
  <c r="Q53" i="29"/>
  <c r="Q52" i="26"/>
  <c r="Q44" i="29"/>
  <c r="P23" i="29"/>
  <c r="P28" i="29"/>
  <c r="P21" i="25"/>
  <c r="P48" i="25"/>
  <c r="P42" i="25"/>
  <c r="P21" i="28"/>
  <c r="Q22" i="29"/>
  <c r="R59" i="29" l="1"/>
  <c r="I59" i="29" s="1"/>
  <c r="R58" i="29"/>
  <c r="I58" i="29" s="1"/>
  <c r="R57" i="29"/>
  <c r="I57" i="29" s="1"/>
  <c r="R56" i="29"/>
  <c r="I56" i="29" s="1"/>
  <c r="R55" i="29"/>
  <c r="I55" i="29" s="1"/>
  <c r="R59" i="28"/>
  <c r="I59" i="28" s="1"/>
  <c r="R59" i="26"/>
  <c r="I59" i="26" s="1"/>
  <c r="R58" i="26"/>
  <c r="I58" i="26" s="1"/>
  <c r="R57" i="26"/>
  <c r="I57" i="26" s="1"/>
  <c r="R56" i="26"/>
  <c r="I56" i="26" s="1"/>
  <c r="R55" i="26"/>
  <c r="I55" i="26" s="1"/>
  <c r="K32" i="25"/>
  <c r="L32" i="25"/>
  <c r="L24" i="28"/>
  <c r="K24" i="28"/>
  <c r="K35" i="29"/>
  <c r="L35" i="29"/>
  <c r="L37" i="29"/>
  <c r="K37" i="29"/>
  <c r="K47" i="25"/>
  <c r="L47" i="25"/>
  <c r="L26" i="25"/>
  <c r="K26" i="25"/>
  <c r="K39" i="29"/>
  <c r="L39" i="29"/>
  <c r="K27" i="29"/>
  <c r="L27" i="29"/>
  <c r="L36" i="25"/>
  <c r="K36" i="25"/>
  <c r="K41" i="28"/>
  <c r="L41" i="28"/>
  <c r="K30" i="28"/>
  <c r="L30" i="28"/>
  <c r="L37" i="26"/>
  <c r="K37" i="26"/>
  <c r="K44" i="29"/>
  <c r="L44" i="29"/>
  <c r="K52" i="29"/>
  <c r="L52" i="29"/>
  <c r="L35" i="28"/>
  <c r="K35" i="28"/>
  <c r="L26" i="28"/>
  <c r="K26" i="28"/>
  <c r="K33" i="26"/>
  <c r="L33" i="26"/>
  <c r="K28" i="29"/>
  <c r="L28" i="29"/>
  <c r="K53" i="25"/>
  <c r="L53" i="25"/>
  <c r="K49" i="26"/>
  <c r="L49" i="26"/>
  <c r="L45" i="28"/>
  <c r="K45" i="28"/>
  <c r="K51" i="29"/>
  <c r="L51" i="29"/>
  <c r="K25" i="29"/>
  <c r="L25" i="29"/>
  <c r="L18" i="25"/>
  <c r="K18" i="25"/>
  <c r="K24" i="26"/>
  <c r="L24" i="26"/>
  <c r="L20" i="25"/>
  <c r="K20" i="25"/>
  <c r="L54" i="25"/>
  <c r="K54" i="25"/>
  <c r="K24" i="25"/>
  <c r="L24" i="25"/>
  <c r="K46" i="28"/>
  <c r="L46" i="28"/>
  <c r="K31" i="29"/>
  <c r="L31" i="29"/>
  <c r="L46" i="26"/>
  <c r="K46" i="26"/>
  <c r="K28" i="28"/>
  <c r="L28" i="28"/>
  <c r="K19" i="28"/>
  <c r="L19" i="28"/>
  <c r="L53" i="26"/>
  <c r="K53" i="26"/>
  <c r="R26" i="31"/>
  <c r="I26" i="31" s="1"/>
  <c r="L30" i="26"/>
  <c r="K30" i="26"/>
  <c r="L54" i="26"/>
  <c r="K54" i="26"/>
  <c r="L21" i="29"/>
  <c r="K21" i="29"/>
  <c r="L50" i="28"/>
  <c r="K50" i="28"/>
  <c r="K36" i="29"/>
  <c r="L36" i="29"/>
  <c r="L46" i="29"/>
  <c r="K46" i="29"/>
  <c r="R35" i="31"/>
  <c r="I35" i="31" s="1"/>
  <c r="K47" i="29"/>
  <c r="L47" i="29"/>
  <c r="K20" i="29"/>
  <c r="L20" i="29"/>
  <c r="R40" i="31"/>
  <c r="I40" i="31" s="1"/>
  <c r="K33" i="28"/>
  <c r="L33" i="28"/>
  <c r="R48" i="31"/>
  <c r="I48" i="31" s="1"/>
  <c r="K19" i="29"/>
  <c r="L19" i="29"/>
  <c r="L22" i="29"/>
  <c r="K22" i="29"/>
  <c r="L40" i="26"/>
  <c r="K40" i="26"/>
  <c r="K42" i="26"/>
  <c r="L42" i="26"/>
  <c r="L33" i="25"/>
  <c r="K33" i="25"/>
  <c r="L49" i="25"/>
  <c r="K49" i="25"/>
  <c r="K36" i="28"/>
  <c r="L36" i="28"/>
  <c r="L29" i="29"/>
  <c r="K29" i="29"/>
  <c r="K21" i="25"/>
  <c r="L21" i="25"/>
  <c r="K27" i="25"/>
  <c r="L27" i="25"/>
  <c r="L19" i="26"/>
  <c r="K19" i="26"/>
  <c r="K23" i="25"/>
  <c r="L23" i="25"/>
  <c r="K39" i="26"/>
  <c r="L39" i="26"/>
  <c r="L26" i="29"/>
  <c r="K26" i="29"/>
  <c r="R27" i="31"/>
  <c r="I27" i="31" s="1"/>
  <c r="L48" i="28"/>
  <c r="K48" i="28"/>
  <c r="L45" i="29"/>
  <c r="K45" i="29"/>
  <c r="R51" i="31"/>
  <c r="I51" i="31" s="1"/>
  <c r="L27" i="26"/>
  <c r="K27" i="26"/>
  <c r="L42" i="28"/>
  <c r="K42" i="28"/>
  <c r="R22" i="31"/>
  <c r="I22" i="31" s="1"/>
  <c r="L52" i="25"/>
  <c r="K52" i="25"/>
  <c r="R49" i="31"/>
  <c r="I49" i="31" s="1"/>
  <c r="L31" i="28"/>
  <c r="K31" i="28"/>
  <c r="L50" i="25"/>
  <c r="K50" i="25"/>
  <c r="L36" i="26"/>
  <c r="K36" i="26"/>
  <c r="R52" i="31"/>
  <c r="I52" i="31" s="1"/>
  <c r="L38" i="25"/>
  <c r="K38" i="25"/>
  <c r="K52" i="26"/>
  <c r="L52" i="26"/>
  <c r="L34" i="29"/>
  <c r="K34" i="29"/>
  <c r="L23" i="28"/>
  <c r="K23" i="28"/>
  <c r="R19" i="31"/>
  <c r="I19" i="31" s="1"/>
  <c r="K20" i="28"/>
  <c r="L20" i="28"/>
  <c r="L22" i="26"/>
  <c r="K22" i="26"/>
  <c r="K25" i="26"/>
  <c r="L25" i="26"/>
  <c r="R43" i="31"/>
  <c r="I43" i="31" s="1"/>
  <c r="L35" i="26"/>
  <c r="K35" i="26"/>
  <c r="K40" i="25"/>
  <c r="L40" i="25"/>
  <c r="K49" i="28"/>
  <c r="L49" i="28"/>
  <c r="K51" i="25"/>
  <c r="L51" i="25"/>
  <c r="K47" i="26"/>
  <c r="L47" i="26"/>
  <c r="K50" i="26"/>
  <c r="L50" i="26"/>
  <c r="L44" i="26"/>
  <c r="K44" i="26"/>
  <c r="K49" i="29"/>
  <c r="L49" i="29"/>
  <c r="L28" i="26"/>
  <c r="K28" i="26"/>
  <c r="K52" i="28"/>
  <c r="L52" i="28"/>
  <c r="L25" i="25"/>
  <c r="K25" i="25"/>
  <c r="K29" i="25"/>
  <c r="L29" i="25"/>
  <c r="K38" i="28"/>
  <c r="L38" i="28"/>
  <c r="L45" i="26"/>
  <c r="K45" i="26"/>
  <c r="R21" i="31"/>
  <c r="I21" i="31" s="1"/>
  <c r="L28" i="25"/>
  <c r="K28" i="25"/>
  <c r="K18" i="26"/>
  <c r="L18" i="26"/>
  <c r="K27" i="28"/>
  <c r="L27" i="28"/>
  <c r="L53" i="29"/>
  <c r="K53" i="29"/>
  <c r="K25" i="28"/>
  <c r="L25" i="28"/>
  <c r="L46" i="25"/>
  <c r="K46" i="25"/>
  <c r="L54" i="29"/>
  <c r="K54" i="29"/>
  <c r="L37" i="25"/>
  <c r="K37" i="25"/>
  <c r="K43" i="25"/>
  <c r="L43" i="25"/>
  <c r="R34" i="31"/>
  <c r="I34" i="31" s="1"/>
  <c r="R46" i="31"/>
  <c r="I46" i="31" s="1"/>
  <c r="L38" i="29"/>
  <c r="K38" i="29"/>
  <c r="R39" i="31"/>
  <c r="I39" i="31" s="1"/>
  <c r="R36" i="31"/>
  <c r="I36" i="31" s="1"/>
  <c r="L18" i="28"/>
  <c r="K18" i="28"/>
  <c r="L44" i="25"/>
  <c r="K44" i="25"/>
  <c r="R33" i="31"/>
  <c r="I33" i="31" s="1"/>
  <c r="K39" i="28"/>
  <c r="L39" i="28"/>
  <c r="R28" i="31"/>
  <c r="I28" i="31" s="1"/>
  <c r="L29" i="26"/>
  <c r="K29" i="26"/>
  <c r="K44" i="28"/>
  <c r="L44" i="28"/>
  <c r="R44" i="31"/>
  <c r="I44" i="31" s="1"/>
  <c r="L30" i="29"/>
  <c r="K30" i="29"/>
  <c r="K22" i="28"/>
  <c r="L22" i="28"/>
  <c r="K19" i="25"/>
  <c r="L19" i="25"/>
  <c r="K54" i="28"/>
  <c r="L54" i="28"/>
  <c r="K41" i="29"/>
  <c r="L41" i="29"/>
  <c r="R25" i="31"/>
  <c r="I25" i="31" s="1"/>
  <c r="R24" i="31"/>
  <c r="I24" i="31" s="1"/>
  <c r="L41" i="25"/>
  <c r="K41" i="25"/>
  <c r="L34" i="25"/>
  <c r="K34" i="25"/>
  <c r="R37" i="31"/>
  <c r="I37" i="31" s="1"/>
  <c r="R31" i="31"/>
  <c r="I31" i="31" s="1"/>
  <c r="L40" i="28"/>
  <c r="K40" i="28"/>
  <c r="L37" i="28"/>
  <c r="K37" i="28"/>
  <c r="K34" i="26"/>
  <c r="L34" i="26"/>
  <c r="L43" i="26"/>
  <c r="K43" i="26"/>
  <c r="L32" i="28"/>
  <c r="K32" i="28"/>
  <c r="R47" i="31"/>
  <c r="I47" i="31" s="1"/>
  <c r="K23" i="29"/>
  <c r="L23" i="29"/>
  <c r="L32" i="26"/>
  <c r="K32" i="26"/>
  <c r="K47" i="28"/>
  <c r="L47" i="28"/>
  <c r="L53" i="28"/>
  <c r="K53" i="28"/>
  <c r="R23" i="31"/>
  <c r="I23" i="31" s="1"/>
  <c r="K33" i="29"/>
  <c r="L33" i="29"/>
  <c r="K23" i="26"/>
  <c r="L23" i="26"/>
  <c r="L29" i="28"/>
  <c r="K29" i="28"/>
  <c r="L21" i="28"/>
  <c r="K21" i="28"/>
  <c r="L42" i="29"/>
  <c r="K42" i="29"/>
  <c r="R29" i="31"/>
  <c r="I29" i="31" s="1"/>
  <c r="K48" i="26"/>
  <c r="L48" i="26"/>
  <c r="R54" i="31"/>
  <c r="I54" i="31" s="1"/>
  <c r="R38" i="31"/>
  <c r="I38" i="31" s="1"/>
  <c r="L34" i="28"/>
  <c r="K34" i="28"/>
  <c r="L42" i="25"/>
  <c r="K42" i="25"/>
  <c r="K32" i="29"/>
  <c r="L32" i="29"/>
  <c r="R45" i="31"/>
  <c r="I45" i="31" s="1"/>
  <c r="L43" i="28"/>
  <c r="K43" i="28"/>
  <c r="K39" i="25"/>
  <c r="L39" i="25"/>
  <c r="L50" i="29"/>
  <c r="K50" i="29"/>
  <c r="R53" i="31"/>
  <c r="I53" i="31" s="1"/>
  <c r="K35" i="25"/>
  <c r="L35" i="25"/>
  <c r="L18" i="29"/>
  <c r="K18" i="29"/>
  <c r="K24" i="29"/>
  <c r="L24" i="29"/>
  <c r="L38" i="26"/>
  <c r="K38" i="26"/>
  <c r="K43" i="29"/>
  <c r="L43" i="29"/>
  <c r="R41" i="31"/>
  <c r="I41" i="31" s="1"/>
  <c r="K51" i="28"/>
  <c r="L51" i="28"/>
  <c r="K45" i="25"/>
  <c r="L45" i="25"/>
  <c r="K20" i="26"/>
  <c r="L20" i="26"/>
  <c r="R20" i="31"/>
  <c r="I20" i="31" s="1"/>
  <c r="L22" i="25"/>
  <c r="K22" i="25"/>
  <c r="R42" i="31"/>
  <c r="I42" i="31" s="1"/>
  <c r="K41" i="26"/>
  <c r="L41" i="26"/>
  <c r="L21" i="26"/>
  <c r="K21" i="26"/>
  <c r="R50" i="31"/>
  <c r="I50" i="31" s="1"/>
  <c r="L30" i="25"/>
  <c r="K30" i="25"/>
  <c r="K40" i="29"/>
  <c r="L40" i="29"/>
  <c r="K31" i="25"/>
  <c r="L31" i="25"/>
  <c r="K31" i="26"/>
  <c r="L31" i="26"/>
  <c r="K26" i="26"/>
  <c r="L26" i="26"/>
  <c r="L51" i="26"/>
  <c r="K51" i="26"/>
  <c r="R32" i="31"/>
  <c r="I32" i="31" s="1"/>
  <c r="K48" i="29"/>
  <c r="L48" i="29"/>
  <c r="L48" i="25"/>
  <c r="K48" i="25"/>
  <c r="R30" i="31"/>
  <c r="I30" i="31" s="1"/>
  <c r="O44" i="25"/>
  <c r="O28" i="25"/>
  <c r="O45" i="28"/>
  <c r="O13" i="28"/>
  <c r="N29" i="28"/>
  <c r="O52" i="25"/>
  <c r="O40" i="25"/>
  <c r="O24" i="25"/>
  <c r="O33" i="28"/>
  <c r="O36" i="25"/>
  <c r="O20" i="25"/>
  <c r="O25" i="28"/>
  <c r="N41" i="28"/>
  <c r="N71" i="2"/>
  <c r="O71" i="2"/>
  <c r="R25" i="29"/>
  <c r="I25" i="29" s="1"/>
  <c r="R33" i="29"/>
  <c r="I33" i="29" s="1"/>
  <c r="R41" i="29"/>
  <c r="I41" i="29" s="1"/>
  <c r="R49" i="29"/>
  <c r="I49" i="29" s="1"/>
  <c r="R46" i="29"/>
  <c r="I46" i="29" s="1"/>
  <c r="R47" i="29"/>
  <c r="I47" i="29" s="1"/>
  <c r="R48" i="29"/>
  <c r="I48" i="29" s="1"/>
  <c r="R54" i="29"/>
  <c r="I54" i="29" s="1"/>
  <c r="R42" i="29"/>
  <c r="I42" i="29" s="1"/>
  <c r="R43" i="29"/>
  <c r="I43" i="29" s="1"/>
  <c r="R44" i="29"/>
  <c r="I44" i="29" s="1"/>
  <c r="R30" i="29"/>
  <c r="I30" i="29" s="1"/>
  <c r="R31" i="29"/>
  <c r="I31" i="29" s="1"/>
  <c r="R32" i="29"/>
  <c r="I32" i="29" s="1"/>
  <c r="R29" i="29"/>
  <c r="I29" i="29" s="1"/>
  <c r="R37" i="29"/>
  <c r="I37" i="29" s="1"/>
  <c r="R45" i="29"/>
  <c r="I45" i="29" s="1"/>
  <c r="R53" i="29"/>
  <c r="I53" i="29" s="1"/>
  <c r="R38" i="29"/>
  <c r="I38" i="29" s="1"/>
  <c r="R39" i="29"/>
  <c r="I39" i="29" s="1"/>
  <c r="R40" i="29"/>
  <c r="I40" i="29" s="1"/>
  <c r="R50" i="29"/>
  <c r="I50" i="29" s="1"/>
  <c r="R51" i="29"/>
  <c r="I51" i="29" s="1"/>
  <c r="R52" i="29"/>
  <c r="I52" i="29" s="1"/>
  <c r="R23" i="29"/>
  <c r="I23" i="29" s="1"/>
  <c r="R24" i="29"/>
  <c r="I24" i="29" s="1"/>
  <c r="R34" i="29"/>
  <c r="I34" i="29" s="1"/>
  <c r="R35" i="29"/>
  <c r="I35" i="29" s="1"/>
  <c r="R36" i="29"/>
  <c r="I36" i="29" s="1"/>
  <c r="R26" i="29"/>
  <c r="I26" i="29" s="1"/>
  <c r="R27" i="29"/>
  <c r="I27" i="29" s="1"/>
  <c r="R28" i="29"/>
  <c r="I28" i="29" s="1"/>
  <c r="R43" i="26"/>
  <c r="I43" i="26" s="1"/>
  <c r="R44" i="26"/>
  <c r="I44" i="26" s="1"/>
  <c r="R45" i="26"/>
  <c r="I45" i="26" s="1"/>
  <c r="R46" i="26"/>
  <c r="I46" i="26" s="1"/>
  <c r="R27" i="26"/>
  <c r="I27" i="26" s="1"/>
  <c r="R28" i="26"/>
  <c r="I28" i="26" s="1"/>
  <c r="R29" i="26"/>
  <c r="I29" i="26" s="1"/>
  <c r="R30" i="26"/>
  <c r="I30" i="26" s="1"/>
  <c r="R51" i="26"/>
  <c r="I51" i="26" s="1"/>
  <c r="R52" i="26"/>
  <c r="I52" i="26" s="1"/>
  <c r="R53" i="26"/>
  <c r="I53" i="26" s="1"/>
  <c r="R54" i="26"/>
  <c r="I54" i="26" s="1"/>
  <c r="R24" i="26"/>
  <c r="I24" i="26" s="1"/>
  <c r="R25" i="26"/>
  <c r="I25" i="26" s="1"/>
  <c r="R26" i="26"/>
  <c r="I26" i="26" s="1"/>
  <c r="R31" i="26"/>
  <c r="I31" i="26" s="1"/>
  <c r="R32" i="26"/>
  <c r="I32" i="26" s="1"/>
  <c r="R33" i="26"/>
  <c r="I33" i="26" s="1"/>
  <c r="R34" i="26"/>
  <c r="I34" i="26" s="1"/>
  <c r="R39" i="26"/>
  <c r="I39" i="26" s="1"/>
  <c r="R40" i="26"/>
  <c r="I40" i="26" s="1"/>
  <c r="R42" i="26"/>
  <c r="I42" i="26" s="1"/>
  <c r="R41" i="26"/>
  <c r="I41" i="26" s="1"/>
  <c r="R47" i="26"/>
  <c r="I47" i="26" s="1"/>
  <c r="R48" i="26"/>
  <c r="I48" i="26" s="1"/>
  <c r="R50" i="26"/>
  <c r="I50" i="26" s="1"/>
  <c r="R49" i="26"/>
  <c r="I49" i="26" s="1"/>
  <c r="R35" i="26"/>
  <c r="I35" i="26" s="1"/>
  <c r="R36" i="26"/>
  <c r="I36" i="26" s="1"/>
  <c r="R37" i="26"/>
  <c r="I37" i="26" s="1"/>
  <c r="R38" i="26"/>
  <c r="I38" i="26" s="1"/>
  <c r="R19" i="25"/>
  <c r="I19" i="25" s="1"/>
  <c r="O69" i="2"/>
  <c r="AD5" i="4" s="1"/>
  <c r="O70" i="2"/>
  <c r="N70" i="2"/>
  <c r="N69" i="2"/>
  <c r="O68" i="2"/>
  <c r="N68" i="2"/>
  <c r="L8" i="29"/>
  <c r="L6" i="29"/>
  <c r="L5" i="29"/>
  <c r="S60" i="29"/>
  <c r="L7" i="29"/>
  <c r="N5" i="29"/>
  <c r="N6" i="29"/>
  <c r="N7" i="29"/>
  <c r="N8" i="29"/>
  <c r="N9" i="29"/>
  <c r="K9" i="29"/>
  <c r="O9" i="28"/>
  <c r="K8" i="28"/>
  <c r="K9" i="28"/>
  <c r="O6" i="28"/>
  <c r="O8" i="28"/>
  <c r="L7" i="28"/>
  <c r="K6" i="28"/>
  <c r="O7" i="28"/>
  <c r="N10" i="26"/>
  <c r="N9" i="26"/>
  <c r="K10" i="26"/>
  <c r="K7" i="26"/>
  <c r="K9" i="26"/>
  <c r="L8" i="26"/>
  <c r="O8" i="26"/>
  <c r="O6" i="26"/>
  <c r="O7" i="26"/>
  <c r="K6" i="26"/>
  <c r="M54" i="20"/>
  <c r="N54" i="20" s="1"/>
  <c r="M53" i="20"/>
  <c r="N53" i="20" s="1"/>
  <c r="M52" i="20"/>
  <c r="O52" i="20" s="1"/>
  <c r="M51" i="20"/>
  <c r="N51" i="20" s="1"/>
  <c r="M50" i="20"/>
  <c r="N50" i="20" s="1"/>
  <c r="M54" i="19"/>
  <c r="N54" i="19" s="1"/>
  <c r="M53" i="19"/>
  <c r="O53" i="19" s="1"/>
  <c r="M52" i="19"/>
  <c r="N52" i="19" s="1"/>
  <c r="M51" i="19"/>
  <c r="O51" i="19" s="1"/>
  <c r="M50" i="19"/>
  <c r="N50" i="19" s="1"/>
  <c r="M54" i="18"/>
  <c r="N54" i="18" s="1"/>
  <c r="M53" i="18"/>
  <c r="N53" i="18" s="1"/>
  <c r="M52" i="18"/>
  <c r="N52" i="18" s="1"/>
  <c r="M51" i="18"/>
  <c r="N51" i="18" s="1"/>
  <c r="M50" i="18"/>
  <c r="N50" i="18" s="1"/>
  <c r="M54" i="17"/>
  <c r="N54" i="17" s="1"/>
  <c r="M53" i="17"/>
  <c r="N53" i="17" s="1"/>
  <c r="M52" i="17"/>
  <c r="N52" i="17" s="1"/>
  <c r="M51" i="17"/>
  <c r="N51" i="17" s="1"/>
  <c r="M50" i="17"/>
  <c r="O50" i="17" s="1"/>
  <c r="Q58" i="28"/>
  <c r="Q57" i="28"/>
  <c r="Q56" i="28"/>
  <c r="Q55" i="28"/>
  <c r="Q59" i="25"/>
  <c r="Q58" i="25"/>
  <c r="Q57" i="25"/>
  <c r="Q56" i="25"/>
  <c r="Q55" i="25"/>
  <c r="Q54" i="25"/>
  <c r="P29" i="28"/>
  <c r="P36" i="28"/>
  <c r="P31" i="28"/>
  <c r="P41" i="28"/>
  <c r="P39" i="28"/>
  <c r="P38" i="28"/>
  <c r="P32" i="28"/>
  <c r="P37" i="28"/>
  <c r="P40" i="28"/>
  <c r="P33" i="28"/>
  <c r="P30" i="28"/>
  <c r="P34" i="28"/>
  <c r="P42" i="28"/>
  <c r="P35" i="28"/>
  <c r="Q44" i="28"/>
  <c r="Q40" i="28"/>
  <c r="Q45" i="28"/>
  <c r="Q41" i="28"/>
  <c r="Q46" i="28"/>
  <c r="Q43" i="28"/>
  <c r="Q42" i="28"/>
  <c r="Q39" i="28"/>
  <c r="P43" i="28"/>
  <c r="P45" i="28"/>
  <c r="P53" i="28"/>
  <c r="P50" i="28"/>
  <c r="P51" i="28"/>
  <c r="P48" i="28"/>
  <c r="P44" i="28"/>
  <c r="P46" i="28"/>
  <c r="P54" i="28"/>
  <c r="P47" i="28"/>
  <c r="P49" i="28"/>
  <c r="P52" i="28"/>
  <c r="S50" i="17"/>
  <c r="J54" i="19"/>
  <c r="P21" i="26"/>
  <c r="J51" i="19"/>
  <c r="J53" i="20"/>
  <c r="J51" i="20"/>
  <c r="S52" i="18"/>
  <c r="S54" i="19"/>
  <c r="P20" i="26"/>
  <c r="P19" i="29"/>
  <c r="S50" i="18"/>
  <c r="J50" i="19"/>
  <c r="J53" i="17"/>
  <c r="S51" i="20"/>
  <c r="S54" i="20"/>
  <c r="J53" i="19"/>
  <c r="Q20" i="28"/>
  <c r="J52" i="17"/>
  <c r="S52" i="17"/>
  <c r="J50" i="18"/>
  <c r="J52" i="20"/>
  <c r="P22" i="29"/>
  <c r="S50" i="20"/>
  <c r="S51" i="17"/>
  <c r="J53" i="18"/>
  <c r="Q41" i="25"/>
  <c r="Q39" i="25"/>
  <c r="Q38" i="25"/>
  <c r="Q40" i="25"/>
  <c r="Q48" i="25"/>
  <c r="Q45" i="25"/>
  <c r="Q47" i="25"/>
  <c r="Q46" i="25"/>
  <c r="Q49" i="25"/>
  <c r="Q43" i="25"/>
  <c r="Q44" i="25"/>
  <c r="Q42" i="25"/>
  <c r="S50" i="19"/>
  <c r="J54" i="20"/>
  <c r="Q21" i="26"/>
  <c r="J51" i="18"/>
  <c r="S51" i="19"/>
  <c r="S54" i="17"/>
  <c r="J52" i="18"/>
  <c r="Q21" i="28"/>
  <c r="Q20" i="26"/>
  <c r="Q25" i="28"/>
  <c r="Q24" i="28"/>
  <c r="Q23" i="28"/>
  <c r="Q26" i="28"/>
  <c r="Q38" i="28"/>
  <c r="Q27" i="28"/>
  <c r="Q36" i="28"/>
  <c r="Q30" i="28"/>
  <c r="Q31" i="28"/>
  <c r="Q32" i="28"/>
  <c r="Q37" i="28"/>
  <c r="Q35" i="28"/>
  <c r="Q33" i="28"/>
  <c r="Q29" i="28"/>
  <c r="Q28" i="28"/>
  <c r="Q34" i="28"/>
  <c r="J51" i="17"/>
  <c r="Q49" i="28"/>
  <c r="Q48" i="28"/>
  <c r="Q50" i="28"/>
  <c r="Q53" i="28"/>
  <c r="Q54" i="28"/>
  <c r="Q52" i="28"/>
  <c r="Q51" i="28"/>
  <c r="Q47" i="28"/>
  <c r="Q53" i="25"/>
  <c r="Q51" i="25"/>
  <c r="Q52" i="25"/>
  <c r="Q50" i="25"/>
  <c r="Q22" i="25"/>
  <c r="Q21" i="25"/>
  <c r="Q29" i="25"/>
  <c r="Q26" i="25"/>
  <c r="Q23" i="25"/>
  <c r="Q25" i="25"/>
  <c r="Q28" i="25"/>
  <c r="Q33" i="25"/>
  <c r="Q30" i="25"/>
  <c r="Q20" i="25"/>
  <c r="Q27" i="25"/>
  <c r="Q31" i="25"/>
  <c r="Q32" i="25"/>
  <c r="Q24" i="25"/>
  <c r="J54" i="17"/>
  <c r="J52" i="19"/>
  <c r="S54" i="18"/>
  <c r="P20" i="29"/>
  <c r="P23" i="26"/>
  <c r="P21" i="29"/>
  <c r="S53" i="17"/>
  <c r="J54" i="18"/>
  <c r="S52" i="19"/>
  <c r="S51" i="18"/>
  <c r="S52" i="20"/>
  <c r="Q19" i="28"/>
  <c r="Q22" i="28"/>
  <c r="S53" i="20"/>
  <c r="Q34" i="25"/>
  <c r="Q36" i="25"/>
  <c r="Q35" i="25"/>
  <c r="Q37" i="25"/>
  <c r="S53" i="18"/>
  <c r="P22" i="26"/>
  <c r="J50" i="20"/>
  <c r="S53" i="19"/>
  <c r="Q19" i="26"/>
  <c r="P19" i="26"/>
  <c r="J50" i="17"/>
  <c r="R58" i="28" l="1"/>
  <c r="I58" i="28" s="1"/>
  <c r="R57" i="28"/>
  <c r="I57" i="28" s="1"/>
  <c r="R56" i="28"/>
  <c r="I56" i="28" s="1"/>
  <c r="R55" i="28"/>
  <c r="I55" i="28" s="1"/>
  <c r="R59" i="25"/>
  <c r="I59" i="25" s="1"/>
  <c r="R58" i="25"/>
  <c r="I58" i="25" s="1"/>
  <c r="R57" i="25"/>
  <c r="I57" i="25" s="1"/>
  <c r="R56" i="25"/>
  <c r="I56" i="25" s="1"/>
  <c r="R55" i="25"/>
  <c r="I55" i="25" s="1"/>
  <c r="R37" i="25"/>
  <c r="I37" i="25" s="1"/>
  <c r="R35" i="25"/>
  <c r="I35" i="25" s="1"/>
  <c r="R36" i="25"/>
  <c r="I36" i="25" s="1"/>
  <c r="R34" i="25"/>
  <c r="I34" i="25" s="1"/>
  <c r="R24" i="25"/>
  <c r="I24" i="25" s="1"/>
  <c r="R32" i="25"/>
  <c r="I32" i="25" s="1"/>
  <c r="R31" i="25"/>
  <c r="I31" i="25" s="1"/>
  <c r="R27" i="25"/>
  <c r="I27" i="25" s="1"/>
  <c r="R20" i="25"/>
  <c r="I20" i="25" s="1"/>
  <c r="R30" i="25"/>
  <c r="I30" i="25" s="1"/>
  <c r="R33" i="25"/>
  <c r="I33" i="25" s="1"/>
  <c r="R28" i="25"/>
  <c r="I28" i="25" s="1"/>
  <c r="R25" i="25"/>
  <c r="I25" i="25" s="1"/>
  <c r="R23" i="25"/>
  <c r="I23" i="25" s="1"/>
  <c r="R26" i="25"/>
  <c r="I26" i="25" s="1"/>
  <c r="R29" i="25"/>
  <c r="I29" i="25" s="1"/>
  <c r="R21" i="25"/>
  <c r="I21" i="25" s="1"/>
  <c r="R22" i="25"/>
  <c r="I22" i="25" s="1"/>
  <c r="R50" i="25"/>
  <c r="I50" i="25" s="1"/>
  <c r="R52" i="25"/>
  <c r="I52" i="25" s="1"/>
  <c r="R51" i="25"/>
  <c r="I51" i="25" s="1"/>
  <c r="R53" i="25"/>
  <c r="I53" i="25" s="1"/>
  <c r="R28" i="28"/>
  <c r="I28" i="28" s="1"/>
  <c r="R27" i="28"/>
  <c r="I27" i="28" s="1"/>
  <c r="R26" i="28"/>
  <c r="I26" i="28" s="1"/>
  <c r="R23" i="28"/>
  <c r="I23" i="28" s="1"/>
  <c r="R24" i="28"/>
  <c r="I24" i="28" s="1"/>
  <c r="R25" i="28"/>
  <c r="I25" i="28" s="1"/>
  <c r="R42" i="25"/>
  <c r="I42" i="25" s="1"/>
  <c r="R44" i="25"/>
  <c r="I44" i="25" s="1"/>
  <c r="R43" i="25"/>
  <c r="I43" i="25" s="1"/>
  <c r="R49" i="25"/>
  <c r="I49" i="25" s="1"/>
  <c r="R46" i="25"/>
  <c r="I46" i="25" s="1"/>
  <c r="R47" i="25"/>
  <c r="I47" i="25" s="1"/>
  <c r="R45" i="25"/>
  <c r="I45" i="25" s="1"/>
  <c r="R48" i="25"/>
  <c r="I48" i="25" s="1"/>
  <c r="R40" i="25"/>
  <c r="I40" i="25" s="1"/>
  <c r="R38" i="25"/>
  <c r="I38" i="25" s="1"/>
  <c r="R39" i="25"/>
  <c r="I39" i="25" s="1"/>
  <c r="R41" i="25"/>
  <c r="I41" i="25" s="1"/>
  <c r="R52" i="28"/>
  <c r="I52" i="28" s="1"/>
  <c r="R49" i="28"/>
  <c r="I49" i="28" s="1"/>
  <c r="R47" i="28"/>
  <c r="I47" i="28" s="1"/>
  <c r="R54" i="28"/>
  <c r="I54" i="28" s="1"/>
  <c r="R46" i="28"/>
  <c r="I46" i="28" s="1"/>
  <c r="R44" i="28"/>
  <c r="I44" i="28" s="1"/>
  <c r="R48" i="28"/>
  <c r="I48" i="28" s="1"/>
  <c r="R51" i="28"/>
  <c r="I51" i="28" s="1"/>
  <c r="R50" i="28"/>
  <c r="I50" i="28" s="1"/>
  <c r="R53" i="28"/>
  <c r="I53" i="28" s="1"/>
  <c r="R45" i="28"/>
  <c r="I45" i="28" s="1"/>
  <c r="R43" i="28"/>
  <c r="I43" i="28" s="1"/>
  <c r="R35" i="28"/>
  <c r="I35" i="28" s="1"/>
  <c r="R42" i="28"/>
  <c r="I42" i="28" s="1"/>
  <c r="R34" i="28"/>
  <c r="I34" i="28" s="1"/>
  <c r="R30" i="28"/>
  <c r="I30" i="28" s="1"/>
  <c r="R33" i="28"/>
  <c r="I33" i="28" s="1"/>
  <c r="R40" i="28"/>
  <c r="I40" i="28" s="1"/>
  <c r="R37" i="28"/>
  <c r="I37" i="28" s="1"/>
  <c r="R32" i="28"/>
  <c r="I32" i="28" s="1"/>
  <c r="R38" i="28"/>
  <c r="I38" i="28" s="1"/>
  <c r="R39" i="28"/>
  <c r="I39" i="28" s="1"/>
  <c r="R41" i="28"/>
  <c r="I41" i="28" s="1"/>
  <c r="R31" i="28"/>
  <c r="I31" i="28" s="1"/>
  <c r="R36" i="28"/>
  <c r="I36" i="28" s="1"/>
  <c r="R29" i="28"/>
  <c r="I29" i="28" s="1"/>
  <c r="R54" i="25"/>
  <c r="I54" i="25" s="1"/>
  <c r="O53" i="17"/>
  <c r="R19" i="29"/>
  <c r="I19" i="29" s="1"/>
  <c r="R22" i="29"/>
  <c r="I22" i="29" s="1"/>
  <c r="R21" i="29"/>
  <c r="I21" i="29" s="1"/>
  <c r="R20" i="29"/>
  <c r="I20" i="29" s="1"/>
  <c r="R21" i="28"/>
  <c r="I21" i="28" s="1"/>
  <c r="R22" i="28"/>
  <c r="I22" i="28" s="1"/>
  <c r="R20" i="28"/>
  <c r="I20" i="28" s="1"/>
  <c r="R19" i="28"/>
  <c r="I19" i="28" s="1"/>
  <c r="R22" i="26"/>
  <c r="I22" i="26" s="1"/>
  <c r="R19" i="26"/>
  <c r="I19" i="26" s="1"/>
  <c r="R21" i="26"/>
  <c r="I21" i="26" s="1"/>
  <c r="R20" i="26"/>
  <c r="I20" i="26" s="1"/>
  <c r="R23" i="26"/>
  <c r="I23" i="26" s="1"/>
  <c r="O54" i="18"/>
  <c r="AC5" i="4"/>
  <c r="N52" i="20"/>
  <c r="O54" i="20"/>
  <c r="O54" i="17"/>
  <c r="O53" i="20"/>
  <c r="L54" i="20"/>
  <c r="K54" i="20"/>
  <c r="L53" i="20"/>
  <c r="K53" i="20"/>
  <c r="O51" i="20"/>
  <c r="L52" i="20"/>
  <c r="K52" i="20"/>
  <c r="O50" i="20"/>
  <c r="L51" i="20"/>
  <c r="K51" i="20"/>
  <c r="L50" i="20"/>
  <c r="K50" i="20"/>
  <c r="O54" i="19"/>
  <c r="N53" i="19"/>
  <c r="N51" i="19"/>
  <c r="L54" i="19"/>
  <c r="K54" i="19"/>
  <c r="L53" i="19"/>
  <c r="K53" i="19"/>
  <c r="O50" i="19"/>
  <c r="L52" i="19"/>
  <c r="K52" i="19"/>
  <c r="O52" i="19"/>
  <c r="L51" i="19"/>
  <c r="K51" i="19"/>
  <c r="L50" i="19"/>
  <c r="K50" i="19"/>
  <c r="K54" i="18"/>
  <c r="L54" i="18"/>
  <c r="O51" i="18"/>
  <c r="O53" i="18"/>
  <c r="L53" i="18"/>
  <c r="K53" i="18"/>
  <c r="O52" i="18"/>
  <c r="L52" i="18"/>
  <c r="K52" i="18"/>
  <c r="O50" i="18"/>
  <c r="L51" i="18"/>
  <c r="K51" i="18"/>
  <c r="L50" i="18"/>
  <c r="K50" i="18"/>
  <c r="L54" i="17"/>
  <c r="K54" i="17"/>
  <c r="L53" i="17"/>
  <c r="K53" i="17"/>
  <c r="O52" i="17"/>
  <c r="L52" i="17"/>
  <c r="K52" i="17"/>
  <c r="N50" i="17"/>
  <c r="O51" i="17"/>
  <c r="L51" i="17"/>
  <c r="K51" i="17"/>
  <c r="L50" i="17"/>
  <c r="K50" i="17"/>
  <c r="M54" i="13"/>
  <c r="O54" i="13" s="1"/>
  <c r="M53" i="13"/>
  <c r="O53" i="13" s="1"/>
  <c r="M52" i="13"/>
  <c r="N52" i="13" s="1"/>
  <c r="M51" i="13"/>
  <c r="N51" i="13" s="1"/>
  <c r="M50" i="13"/>
  <c r="N50" i="13" s="1"/>
  <c r="M54" i="12"/>
  <c r="N54" i="12" s="1"/>
  <c r="M53" i="12"/>
  <c r="O53" i="12" s="1"/>
  <c r="M52" i="12"/>
  <c r="N52" i="12" s="1"/>
  <c r="M51" i="12"/>
  <c r="O51" i="12" s="1"/>
  <c r="M50" i="12"/>
  <c r="N50" i="12" s="1"/>
  <c r="M54" i="11"/>
  <c r="N54" i="11" s="1"/>
  <c r="M53" i="11"/>
  <c r="N53" i="11" s="1"/>
  <c r="M52" i="11"/>
  <c r="O52" i="11" s="1"/>
  <c r="M51" i="11"/>
  <c r="N51" i="11" s="1"/>
  <c r="M50" i="11"/>
  <c r="N50" i="11" s="1"/>
  <c r="M54" i="10"/>
  <c r="N54" i="10" s="1"/>
  <c r="M53" i="10"/>
  <c r="N53" i="10" s="1"/>
  <c r="M52" i="10"/>
  <c r="N52" i="10" s="1"/>
  <c r="M51" i="10"/>
  <c r="N51" i="10" s="1"/>
  <c r="M50" i="10"/>
  <c r="O50" i="10" s="1"/>
  <c r="M54" i="5"/>
  <c r="N54" i="5" s="1"/>
  <c r="M53" i="5"/>
  <c r="N53" i="5" s="1"/>
  <c r="M52" i="5"/>
  <c r="N52" i="5" s="1"/>
  <c r="M51" i="5"/>
  <c r="N51" i="5" s="1"/>
  <c r="M50" i="5"/>
  <c r="N50" i="5" s="1"/>
  <c r="M54" i="7"/>
  <c r="N54" i="7" s="1"/>
  <c r="M53" i="7"/>
  <c r="N53" i="7" s="1"/>
  <c r="M52" i="7"/>
  <c r="N52" i="7" s="1"/>
  <c r="M51" i="7"/>
  <c r="N51" i="7" s="1"/>
  <c r="M50" i="7"/>
  <c r="N50" i="7" s="1"/>
  <c r="S5" i="28"/>
  <c r="S60" i="28" s="1"/>
  <c r="Q5" i="28"/>
  <c r="P5" i="28"/>
  <c r="R5" i="28" s="1"/>
  <c r="I5" i="28" s="1"/>
  <c r="M5" i="28"/>
  <c r="O5" i="28" s="1"/>
  <c r="J5" i="28"/>
  <c r="L5" i="28" s="1"/>
  <c r="H5" i="28"/>
  <c r="H6" i="28" s="1"/>
  <c r="H7" i="28" s="1"/>
  <c r="H8" i="28" s="1"/>
  <c r="H9" i="28" s="1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H30" i="28" s="1"/>
  <c r="H31" i="28" s="1"/>
  <c r="H32" i="28" s="1"/>
  <c r="H33" i="28" s="1"/>
  <c r="H34" i="28" s="1"/>
  <c r="H35" i="28" s="1"/>
  <c r="H36" i="28" s="1"/>
  <c r="H37" i="28" s="1"/>
  <c r="H38" i="28" s="1"/>
  <c r="H39" i="28" s="1"/>
  <c r="H40" i="28" s="1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7" i="2"/>
  <c r="I67" i="2"/>
  <c r="J67" i="2"/>
  <c r="K67" i="2"/>
  <c r="L67" i="2"/>
  <c r="M67" i="2"/>
  <c r="P67" i="2"/>
  <c r="Q67" i="2"/>
  <c r="R67" i="2"/>
  <c r="S67" i="2"/>
  <c r="H66" i="2"/>
  <c r="I66" i="2"/>
  <c r="J66" i="2"/>
  <c r="K66" i="2"/>
  <c r="L66" i="2"/>
  <c r="M66" i="2"/>
  <c r="P66" i="2"/>
  <c r="Q66" i="2"/>
  <c r="R66" i="2"/>
  <c r="S66" i="2"/>
  <c r="H65" i="2"/>
  <c r="I65" i="2"/>
  <c r="J65" i="2"/>
  <c r="K65" i="2"/>
  <c r="L65" i="2"/>
  <c r="M65" i="2"/>
  <c r="P65" i="2"/>
  <c r="Q65" i="2"/>
  <c r="R65" i="2"/>
  <c r="S65" i="2"/>
  <c r="H64" i="2"/>
  <c r="I64" i="2"/>
  <c r="J64" i="2"/>
  <c r="K64" i="2"/>
  <c r="L64" i="2"/>
  <c r="M64" i="2"/>
  <c r="P64" i="2"/>
  <c r="Q64" i="2"/>
  <c r="R64" i="2"/>
  <c r="S64" i="2"/>
  <c r="J51" i="7"/>
  <c r="S54" i="7"/>
  <c r="J50" i="13"/>
  <c r="J54" i="12"/>
  <c r="J51" i="10"/>
  <c r="J52" i="10"/>
  <c r="J52" i="5"/>
  <c r="J50" i="7"/>
  <c r="S50" i="5"/>
  <c r="J53" i="12"/>
  <c r="J54" i="10"/>
  <c r="S50" i="13"/>
  <c r="J50" i="11"/>
  <c r="J52" i="11"/>
  <c r="S50" i="7"/>
  <c r="S52" i="5"/>
  <c r="S52" i="11"/>
  <c r="J53" i="13"/>
  <c r="S53" i="5"/>
  <c r="J51" i="5"/>
  <c r="S54" i="5"/>
  <c r="S51" i="7"/>
  <c r="J54" i="13"/>
  <c r="S54" i="10"/>
  <c r="J50" i="10"/>
  <c r="J54" i="7"/>
  <c r="S53" i="12"/>
  <c r="S50" i="11"/>
  <c r="S51" i="10"/>
  <c r="J53" i="10"/>
  <c r="S51" i="13"/>
  <c r="J50" i="5"/>
  <c r="S53" i="11"/>
  <c r="J53" i="5"/>
  <c r="S50" i="10"/>
  <c r="J52" i="12"/>
  <c r="J50" i="12"/>
  <c r="S51" i="5"/>
  <c r="S53" i="13"/>
  <c r="S51" i="12"/>
  <c r="S53" i="10"/>
  <c r="S52" i="12"/>
  <c r="J53" i="11"/>
  <c r="S52" i="7"/>
  <c r="S54" i="13"/>
  <c r="S51" i="11"/>
  <c r="S54" i="12"/>
  <c r="S50" i="12"/>
  <c r="S53" i="7"/>
  <c r="J51" i="13"/>
  <c r="J52" i="7"/>
  <c r="J53" i="7"/>
  <c r="J51" i="12"/>
  <c r="J52" i="13"/>
  <c r="S52" i="10"/>
  <c r="S52" i="13"/>
  <c r="J54" i="11"/>
  <c r="J54" i="5"/>
  <c r="J51" i="11"/>
  <c r="S54" i="11"/>
  <c r="O54" i="11" l="1"/>
  <c r="N54" i="13"/>
  <c r="N53" i="13"/>
  <c r="L54" i="13"/>
  <c r="K54" i="13"/>
  <c r="O52" i="13"/>
  <c r="L53" i="13"/>
  <c r="K53" i="13"/>
  <c r="O51" i="13"/>
  <c r="L52" i="13"/>
  <c r="K52" i="13"/>
  <c r="O50" i="13"/>
  <c r="L51" i="13"/>
  <c r="K51" i="13"/>
  <c r="L50" i="13"/>
  <c r="K50" i="13"/>
  <c r="N53" i="12"/>
  <c r="N51" i="12"/>
  <c r="L54" i="12"/>
  <c r="K54" i="12"/>
  <c r="O54" i="12"/>
  <c r="L53" i="12"/>
  <c r="K53" i="12"/>
  <c r="O52" i="12"/>
  <c r="L52" i="12"/>
  <c r="K52" i="12"/>
  <c r="L51" i="12"/>
  <c r="K51" i="12"/>
  <c r="O50" i="12"/>
  <c r="L50" i="12"/>
  <c r="K50" i="12"/>
  <c r="N52" i="11"/>
  <c r="L54" i="11"/>
  <c r="K54" i="11"/>
  <c r="O53" i="11"/>
  <c r="L53" i="11"/>
  <c r="K53" i="11"/>
  <c r="O51" i="11"/>
  <c r="L52" i="11"/>
  <c r="K52" i="11"/>
  <c r="L51" i="11"/>
  <c r="K51" i="11"/>
  <c r="L50" i="11"/>
  <c r="K50" i="11"/>
  <c r="O50" i="11"/>
  <c r="O53" i="10"/>
  <c r="L54" i="10"/>
  <c r="K54" i="10"/>
  <c r="O54" i="10"/>
  <c r="K53" i="10"/>
  <c r="L53" i="10"/>
  <c r="O52" i="10"/>
  <c r="N50" i="10"/>
  <c r="K52" i="10"/>
  <c r="L52" i="10"/>
  <c r="O51" i="10"/>
  <c r="L51" i="10"/>
  <c r="K51" i="10"/>
  <c r="L50" i="10"/>
  <c r="K50" i="10"/>
  <c r="O54" i="5"/>
  <c r="O53" i="5"/>
  <c r="L54" i="5"/>
  <c r="K54" i="5"/>
  <c r="O52" i="5"/>
  <c r="L53" i="5"/>
  <c r="K53" i="5"/>
  <c r="O51" i="5"/>
  <c r="L52" i="5"/>
  <c r="K52" i="5"/>
  <c r="L51" i="5"/>
  <c r="K51" i="5"/>
  <c r="O50" i="5"/>
  <c r="L50" i="5"/>
  <c r="K50" i="5"/>
  <c r="O53" i="7"/>
  <c r="O52" i="7"/>
  <c r="L54" i="7"/>
  <c r="K54" i="7"/>
  <c r="O54" i="7"/>
  <c r="L53" i="7"/>
  <c r="K53" i="7"/>
  <c r="O51" i="7"/>
  <c r="L52" i="7"/>
  <c r="K52" i="7"/>
  <c r="O50" i="7"/>
  <c r="L51" i="7"/>
  <c r="K51" i="7"/>
  <c r="L50" i="7"/>
  <c r="K50" i="7"/>
  <c r="K5" i="28"/>
  <c r="N5" i="28"/>
  <c r="O67" i="2"/>
  <c r="N67" i="2"/>
  <c r="O65" i="2"/>
  <c r="O66" i="2"/>
  <c r="N66" i="2"/>
  <c r="N65" i="2"/>
  <c r="N64" i="2"/>
  <c r="O64" i="2"/>
  <c r="AH23" i="16"/>
  <c r="AK23" i="16" s="1"/>
  <c r="C16" i="16"/>
  <c r="B27" i="4"/>
  <c r="C27" i="4"/>
  <c r="D27" i="4"/>
  <c r="E27" i="4"/>
  <c r="F27" i="4"/>
  <c r="G27" i="4"/>
  <c r="H27" i="4"/>
  <c r="I27" i="4"/>
  <c r="J27" i="4"/>
  <c r="L27" i="4"/>
  <c r="M49" i="20"/>
  <c r="N49" i="20" s="1"/>
  <c r="M49" i="19"/>
  <c r="N49" i="19" s="1"/>
  <c r="M49" i="18"/>
  <c r="N49" i="18" s="1"/>
  <c r="M49" i="17"/>
  <c r="O49" i="17" s="1"/>
  <c r="M49" i="13"/>
  <c r="O49" i="13" s="1"/>
  <c r="M49" i="12"/>
  <c r="N49" i="12" s="1"/>
  <c r="M49" i="11"/>
  <c r="N49" i="11" s="1"/>
  <c r="M49" i="10"/>
  <c r="N49" i="10" s="1"/>
  <c r="M49" i="5"/>
  <c r="N49" i="5" s="1"/>
  <c r="M49" i="7"/>
  <c r="N49" i="7" s="1"/>
  <c r="S5" i="26"/>
  <c r="S60" i="26" s="1"/>
  <c r="Q5" i="26"/>
  <c r="P5" i="26"/>
  <c r="R5" i="26" s="1"/>
  <c r="I5" i="26" s="1"/>
  <c r="M5" i="26"/>
  <c r="N5" i="26" s="1"/>
  <c r="J5" i="26"/>
  <c r="K5" i="26" s="1"/>
  <c r="H5" i="26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S49" i="13"/>
  <c r="J49" i="19"/>
  <c r="S49" i="20"/>
  <c r="J49" i="7"/>
  <c r="S49" i="17"/>
  <c r="S49" i="10"/>
  <c r="J49" i="17"/>
  <c r="J49" i="5"/>
  <c r="D16" i="16"/>
  <c r="J49" i="11"/>
  <c r="J49" i="12"/>
  <c r="S49" i="12"/>
  <c r="S49" i="18"/>
  <c r="S49" i="11"/>
  <c r="J49" i="20"/>
  <c r="S49" i="7"/>
  <c r="J49" i="18"/>
  <c r="S49" i="5"/>
  <c r="J49" i="13"/>
  <c r="S49" i="19"/>
  <c r="J49" i="10"/>
  <c r="AB5" i="4" l="1"/>
  <c r="O49" i="20"/>
  <c r="N49" i="17"/>
  <c r="N49" i="13"/>
  <c r="O49" i="7"/>
  <c r="L49" i="20"/>
  <c r="K49" i="20"/>
  <c r="L49" i="19"/>
  <c r="K49" i="19"/>
  <c r="O49" i="19"/>
  <c r="O49" i="18"/>
  <c r="L49" i="18"/>
  <c r="K49" i="18"/>
  <c r="L49" i="17"/>
  <c r="K49" i="17"/>
  <c r="L49" i="13"/>
  <c r="K49" i="13"/>
  <c r="O49" i="12"/>
  <c r="L49" i="12"/>
  <c r="K49" i="12"/>
  <c r="L49" i="11"/>
  <c r="K49" i="11"/>
  <c r="O49" i="11"/>
  <c r="L49" i="10"/>
  <c r="K49" i="10"/>
  <c r="O49" i="10"/>
  <c r="O49" i="5"/>
  <c r="K49" i="5"/>
  <c r="L49" i="5"/>
  <c r="L49" i="7"/>
  <c r="K49" i="7"/>
  <c r="O5" i="26"/>
  <c r="L5" i="26"/>
  <c r="AH21" i="16"/>
  <c r="AK21" i="16" s="1"/>
  <c r="AH22" i="16"/>
  <c r="AK22" i="16" s="1"/>
  <c r="AH19" i="16"/>
  <c r="AK19" i="16" s="1"/>
  <c r="AH20" i="16"/>
  <c r="AK20" i="16" s="1"/>
  <c r="C15" i="16"/>
  <c r="B26" i="4"/>
  <c r="C26" i="4"/>
  <c r="D26" i="4"/>
  <c r="E26" i="4"/>
  <c r="F26" i="4"/>
  <c r="G26" i="4"/>
  <c r="H26" i="4"/>
  <c r="I26" i="4"/>
  <c r="J26" i="4"/>
  <c r="L26" i="4"/>
  <c r="B25" i="4"/>
  <c r="C25" i="4"/>
  <c r="D25" i="4"/>
  <c r="E25" i="4"/>
  <c r="F25" i="4"/>
  <c r="G25" i="4"/>
  <c r="H25" i="4"/>
  <c r="I25" i="4"/>
  <c r="J25" i="4"/>
  <c r="L25" i="4"/>
  <c r="B24" i="4"/>
  <c r="C24" i="4"/>
  <c r="D24" i="4"/>
  <c r="E24" i="4"/>
  <c r="F24" i="4"/>
  <c r="G24" i="4"/>
  <c r="H24" i="4"/>
  <c r="I24" i="4"/>
  <c r="J24" i="4"/>
  <c r="L24" i="4"/>
  <c r="B23" i="4"/>
  <c r="C23" i="4"/>
  <c r="D23" i="4"/>
  <c r="E23" i="4"/>
  <c r="F23" i="4"/>
  <c r="G23" i="4"/>
  <c r="H23" i="4"/>
  <c r="I23" i="4"/>
  <c r="J23" i="4"/>
  <c r="M48" i="20"/>
  <c r="O48" i="20" s="1"/>
  <c r="M47" i="20"/>
  <c r="N47" i="20" s="1"/>
  <c r="M46" i="20"/>
  <c r="N46" i="20" s="1"/>
  <c r="M45" i="20"/>
  <c r="N45" i="20" s="1"/>
  <c r="M48" i="19"/>
  <c r="N48" i="19" s="1"/>
  <c r="M47" i="19"/>
  <c r="N47" i="19" s="1"/>
  <c r="M46" i="19"/>
  <c r="O46" i="19" s="1"/>
  <c r="M45" i="19"/>
  <c r="O45" i="19" s="1"/>
  <c r="M48" i="18"/>
  <c r="N48" i="18" s="1"/>
  <c r="M47" i="18"/>
  <c r="N47" i="18" s="1"/>
  <c r="M46" i="18"/>
  <c r="N46" i="18" s="1"/>
  <c r="M45" i="18"/>
  <c r="N45" i="18" s="1"/>
  <c r="M48" i="17"/>
  <c r="N48" i="17" s="1"/>
  <c r="M47" i="17"/>
  <c r="N47" i="17" s="1"/>
  <c r="M46" i="17"/>
  <c r="N46" i="17" s="1"/>
  <c r="M45" i="17"/>
  <c r="O45" i="17" s="1"/>
  <c r="M48" i="13"/>
  <c r="N48" i="13" s="1"/>
  <c r="M47" i="13"/>
  <c r="N47" i="13" s="1"/>
  <c r="M46" i="13"/>
  <c r="N46" i="13" s="1"/>
  <c r="M45" i="13"/>
  <c r="N45" i="13" s="1"/>
  <c r="M48" i="12"/>
  <c r="O48" i="12" s="1"/>
  <c r="M47" i="12"/>
  <c r="O47" i="12" s="1"/>
  <c r="M46" i="12"/>
  <c r="N46" i="12" s="1"/>
  <c r="M45" i="12"/>
  <c r="O45" i="12" s="1"/>
  <c r="P59" i="18"/>
  <c r="P58" i="18"/>
  <c r="P59" i="17"/>
  <c r="S46" i="12"/>
  <c r="J47" i="20"/>
  <c r="S46" i="18"/>
  <c r="J47" i="18"/>
  <c r="S45" i="13"/>
  <c r="S48" i="17"/>
  <c r="S48" i="20"/>
  <c r="J48" i="17"/>
  <c r="S46" i="17"/>
  <c r="S48" i="13"/>
  <c r="S45" i="20"/>
  <c r="J46" i="13"/>
  <c r="S47" i="17"/>
  <c r="J45" i="13"/>
  <c r="S47" i="18"/>
  <c r="S47" i="20"/>
  <c r="P59" i="13"/>
  <c r="S47" i="19"/>
  <c r="J48" i="12"/>
  <c r="J48" i="19"/>
  <c r="S48" i="12"/>
  <c r="S46" i="13"/>
  <c r="J46" i="19"/>
  <c r="J47" i="13"/>
  <c r="J48" i="18"/>
  <c r="J47" i="19"/>
  <c r="S45" i="18"/>
  <c r="J45" i="19"/>
  <c r="J48" i="13"/>
  <c r="J45" i="18"/>
  <c r="S47" i="13"/>
  <c r="S46" i="19"/>
  <c r="S47" i="12"/>
  <c r="J47" i="12"/>
  <c r="P58" i="13"/>
  <c r="D15" i="16"/>
  <c r="J45" i="12"/>
  <c r="S45" i="17"/>
  <c r="J46" i="20"/>
  <c r="S45" i="12"/>
  <c r="J47" i="17"/>
  <c r="S48" i="19"/>
  <c r="J46" i="18"/>
  <c r="J45" i="17"/>
  <c r="S45" i="19"/>
  <c r="J46" i="17"/>
  <c r="J45" i="20"/>
  <c r="J48" i="20"/>
  <c r="J46" i="12"/>
  <c r="S48" i="18"/>
  <c r="S46" i="20"/>
  <c r="N48" i="12" l="1"/>
  <c r="O48" i="19"/>
  <c r="N47" i="12"/>
  <c r="N48" i="20"/>
  <c r="L48" i="20"/>
  <c r="K48" i="20"/>
  <c r="L47" i="20"/>
  <c r="K47" i="20"/>
  <c r="O47" i="20"/>
  <c r="L46" i="20"/>
  <c r="K46" i="20"/>
  <c r="O46" i="20"/>
  <c r="L45" i="20"/>
  <c r="K45" i="20"/>
  <c r="O45" i="20"/>
  <c r="N45" i="19"/>
  <c r="N46" i="19"/>
  <c r="L48" i="19"/>
  <c r="K48" i="19"/>
  <c r="O47" i="19"/>
  <c r="L47" i="19"/>
  <c r="K47" i="19"/>
  <c r="L46" i="19"/>
  <c r="K46" i="19"/>
  <c r="L45" i="19"/>
  <c r="K45" i="19"/>
  <c r="O48" i="18"/>
  <c r="O47" i="18"/>
  <c r="O45" i="18"/>
  <c r="L48" i="18"/>
  <c r="K48" i="18"/>
  <c r="L47" i="18"/>
  <c r="K47" i="18"/>
  <c r="L46" i="18"/>
  <c r="K46" i="18"/>
  <c r="O46" i="18"/>
  <c r="L45" i="18"/>
  <c r="K45" i="18"/>
  <c r="O48" i="17"/>
  <c r="K48" i="17"/>
  <c r="L48" i="17"/>
  <c r="O47" i="17"/>
  <c r="N45" i="17"/>
  <c r="L47" i="17"/>
  <c r="K47" i="17"/>
  <c r="O46" i="17"/>
  <c r="L46" i="17"/>
  <c r="K46" i="17"/>
  <c r="L45" i="17"/>
  <c r="K45" i="17"/>
  <c r="O48" i="13"/>
  <c r="O47" i="13"/>
  <c r="L48" i="13"/>
  <c r="K48" i="13"/>
  <c r="O46" i="13"/>
  <c r="L47" i="13"/>
  <c r="K47" i="13"/>
  <c r="O45" i="13"/>
  <c r="L46" i="13"/>
  <c r="K46" i="13"/>
  <c r="L45" i="13"/>
  <c r="K45" i="13"/>
  <c r="N45" i="12"/>
  <c r="L48" i="12"/>
  <c r="K48" i="12"/>
  <c r="K47" i="12"/>
  <c r="L47" i="12"/>
  <c r="O46" i="12"/>
  <c r="L46" i="12"/>
  <c r="K46" i="12"/>
  <c r="L45" i="12"/>
  <c r="K45" i="12"/>
  <c r="M48" i="11"/>
  <c r="N48" i="11" s="1"/>
  <c r="M47" i="11"/>
  <c r="N47" i="11" s="1"/>
  <c r="M46" i="11"/>
  <c r="O46" i="11" s="1"/>
  <c r="M45" i="11"/>
  <c r="N45" i="11" s="1"/>
  <c r="M48" i="10"/>
  <c r="N48" i="10" s="1"/>
  <c r="M47" i="10"/>
  <c r="N47" i="10" s="1"/>
  <c r="M46" i="10"/>
  <c r="N46" i="10" s="1"/>
  <c r="M45" i="10"/>
  <c r="O45" i="10" s="1"/>
  <c r="M48" i="5"/>
  <c r="N48" i="5" s="1"/>
  <c r="M47" i="5"/>
  <c r="N47" i="5" s="1"/>
  <c r="M46" i="5"/>
  <c r="N46" i="5" s="1"/>
  <c r="M45" i="5"/>
  <c r="O45" i="5" s="1"/>
  <c r="M48" i="7"/>
  <c r="O48" i="7" s="1"/>
  <c r="M47" i="7"/>
  <c r="N47" i="7" s="1"/>
  <c r="M46" i="7"/>
  <c r="O46" i="7" s="1"/>
  <c r="M45" i="7"/>
  <c r="N45" i="7" s="1"/>
  <c r="H63" i="2"/>
  <c r="I63" i="2"/>
  <c r="J63" i="2"/>
  <c r="K63" i="2"/>
  <c r="L63" i="2"/>
  <c r="M63" i="2"/>
  <c r="P63" i="2"/>
  <c r="Q63" i="2"/>
  <c r="R63" i="2"/>
  <c r="S63" i="2"/>
  <c r="H62" i="2"/>
  <c r="I62" i="2"/>
  <c r="J62" i="2"/>
  <c r="K62" i="2"/>
  <c r="L62" i="2"/>
  <c r="M62" i="2"/>
  <c r="P62" i="2"/>
  <c r="Q62" i="2"/>
  <c r="R62" i="2"/>
  <c r="S62" i="2"/>
  <c r="H61" i="2"/>
  <c r="I61" i="2"/>
  <c r="J61" i="2"/>
  <c r="K61" i="2"/>
  <c r="L61" i="2"/>
  <c r="M61" i="2"/>
  <c r="P61" i="2"/>
  <c r="Q61" i="2"/>
  <c r="R61" i="2"/>
  <c r="S61" i="2"/>
  <c r="H60" i="2"/>
  <c r="I60" i="2"/>
  <c r="J60" i="2"/>
  <c r="K60" i="2"/>
  <c r="L60" i="2"/>
  <c r="M60" i="2"/>
  <c r="P60" i="2"/>
  <c r="Q60" i="2"/>
  <c r="R60" i="2"/>
  <c r="S60" i="2"/>
  <c r="H59" i="2"/>
  <c r="I59" i="2"/>
  <c r="J59" i="2"/>
  <c r="K59" i="2"/>
  <c r="L59" i="2"/>
  <c r="M59" i="2"/>
  <c r="P59" i="2"/>
  <c r="Q59" i="2"/>
  <c r="R59" i="2"/>
  <c r="S59" i="2"/>
  <c r="H58" i="2"/>
  <c r="I58" i="2"/>
  <c r="J58" i="2"/>
  <c r="K58" i="2"/>
  <c r="L58" i="2"/>
  <c r="M58" i="2"/>
  <c r="P58" i="2"/>
  <c r="Q58" i="2"/>
  <c r="R58" i="2"/>
  <c r="S58" i="2"/>
  <c r="Q59" i="20"/>
  <c r="P59" i="20"/>
  <c r="Q58" i="20"/>
  <c r="P58" i="20"/>
  <c r="P59" i="19"/>
  <c r="Q59" i="19"/>
  <c r="P58" i="19"/>
  <c r="Q58" i="19"/>
  <c r="Q59" i="18"/>
  <c r="Q58" i="18"/>
  <c r="Q59" i="17"/>
  <c r="Q58" i="17"/>
  <c r="P58" i="17"/>
  <c r="Q59" i="13"/>
  <c r="P58" i="12"/>
  <c r="J46" i="10"/>
  <c r="S47" i="5"/>
  <c r="S45" i="11"/>
  <c r="S48" i="7"/>
  <c r="J45" i="10"/>
  <c r="S47" i="11"/>
  <c r="J48" i="11"/>
  <c r="S47" i="7"/>
  <c r="Q59" i="12"/>
  <c r="S48" i="5"/>
  <c r="S46" i="11"/>
  <c r="J47" i="5"/>
  <c r="J47" i="7"/>
  <c r="P59" i="12"/>
  <c r="J46" i="5"/>
  <c r="J48" i="7"/>
  <c r="J45" i="11"/>
  <c r="J48" i="5"/>
  <c r="Q58" i="13"/>
  <c r="Q58" i="12"/>
  <c r="S45" i="7"/>
  <c r="S46" i="7"/>
  <c r="S46" i="5"/>
  <c r="S48" i="10"/>
  <c r="S46" i="10"/>
  <c r="J45" i="5"/>
  <c r="J46" i="11"/>
  <c r="S48" i="11"/>
  <c r="P59" i="10"/>
  <c r="J47" i="11"/>
  <c r="J47" i="10"/>
  <c r="S47" i="10"/>
  <c r="S45" i="5"/>
  <c r="P59" i="5"/>
  <c r="J45" i="7"/>
  <c r="S45" i="10"/>
  <c r="J48" i="10"/>
  <c r="J46" i="7"/>
  <c r="R59" i="20" l="1"/>
  <c r="I59" i="20" s="1"/>
  <c r="R58" i="20"/>
  <c r="I58" i="20" s="1"/>
  <c r="R59" i="19"/>
  <c r="I59" i="19" s="1"/>
  <c r="R58" i="19"/>
  <c r="I58" i="19" s="1"/>
  <c r="R59" i="18"/>
  <c r="I59" i="18" s="1"/>
  <c r="R58" i="18"/>
  <c r="I58" i="18" s="1"/>
  <c r="R59" i="17"/>
  <c r="I59" i="17" s="1"/>
  <c r="R58" i="17"/>
  <c r="I58" i="17" s="1"/>
  <c r="R59" i="13"/>
  <c r="I59" i="13" s="1"/>
  <c r="R58" i="13"/>
  <c r="I58" i="13" s="1"/>
  <c r="R59" i="12"/>
  <c r="I59" i="12" s="1"/>
  <c r="R58" i="12"/>
  <c r="I58" i="12" s="1"/>
  <c r="O63" i="2"/>
  <c r="N63" i="2"/>
  <c r="O47" i="10"/>
  <c r="N45" i="10"/>
  <c r="O48" i="10"/>
  <c r="O48" i="11"/>
  <c r="N46" i="11"/>
  <c r="L48" i="11"/>
  <c r="K48" i="11"/>
  <c r="O47" i="11"/>
  <c r="L47" i="11"/>
  <c r="K47" i="11"/>
  <c r="O45" i="11"/>
  <c r="L46" i="11"/>
  <c r="K46" i="11"/>
  <c r="L45" i="11"/>
  <c r="K45" i="11"/>
  <c r="L48" i="10"/>
  <c r="K48" i="10"/>
  <c r="L47" i="10"/>
  <c r="K47" i="10"/>
  <c r="O46" i="10"/>
  <c r="L46" i="10"/>
  <c r="K46" i="10"/>
  <c r="K45" i="10"/>
  <c r="L45" i="10"/>
  <c r="O48" i="5"/>
  <c r="O47" i="5"/>
  <c r="N45" i="5"/>
  <c r="L48" i="5"/>
  <c r="K48" i="5"/>
  <c r="L47" i="5"/>
  <c r="K47" i="5"/>
  <c r="L46" i="5"/>
  <c r="K46" i="5"/>
  <c r="O46" i="5"/>
  <c r="L45" i="5"/>
  <c r="K45" i="5"/>
  <c r="N48" i="7"/>
  <c r="N46" i="7"/>
  <c r="L48" i="7"/>
  <c r="K48" i="7"/>
  <c r="O47" i="7"/>
  <c r="L47" i="7"/>
  <c r="K47" i="7"/>
  <c r="O45" i="7"/>
  <c r="L46" i="7"/>
  <c r="K46" i="7"/>
  <c r="L45" i="7"/>
  <c r="K45" i="7"/>
  <c r="O62" i="2"/>
  <c r="N61" i="2"/>
  <c r="N62" i="2"/>
  <c r="O61" i="2"/>
  <c r="O59" i="2"/>
  <c r="O60" i="2"/>
  <c r="N60" i="2"/>
  <c r="O58" i="2"/>
  <c r="N59" i="2"/>
  <c r="S60" i="25"/>
  <c r="N58" i="2"/>
  <c r="P58" i="11"/>
  <c r="Q59" i="5"/>
  <c r="Q58" i="7"/>
  <c r="Q59" i="7"/>
  <c r="P58" i="10"/>
  <c r="P59" i="7"/>
  <c r="Q58" i="11"/>
  <c r="Q58" i="10"/>
  <c r="P58" i="7"/>
  <c r="Q59" i="11"/>
  <c r="Q59" i="10"/>
  <c r="P58" i="5"/>
  <c r="P59" i="11"/>
  <c r="Q58" i="5"/>
  <c r="R59" i="11" l="1"/>
  <c r="I59" i="11" s="1"/>
  <c r="R58" i="11"/>
  <c r="I58" i="11" s="1"/>
  <c r="R59" i="10"/>
  <c r="I59" i="10" s="1"/>
  <c r="R58" i="10"/>
  <c r="I58" i="10" s="1"/>
  <c r="R59" i="5"/>
  <c r="I59" i="5" s="1"/>
  <c r="R58" i="5"/>
  <c r="I58" i="5" s="1"/>
  <c r="R59" i="7"/>
  <c r="I59" i="7" s="1"/>
  <c r="R58" i="7"/>
  <c r="I58" i="7" s="1"/>
  <c r="AA5" i="4"/>
  <c r="J22" i="4"/>
  <c r="J21" i="4"/>
  <c r="AG5" i="16"/>
  <c r="AG6" i="16"/>
  <c r="AG7" i="16"/>
  <c r="AG8" i="16"/>
  <c r="AG9" i="16"/>
  <c r="AH13" i="16"/>
  <c r="AK13" i="16" s="1"/>
  <c r="AH14" i="16"/>
  <c r="AK14" i="16" s="1"/>
  <c r="AH15" i="16"/>
  <c r="AK15" i="16" s="1"/>
  <c r="AH16" i="16"/>
  <c r="AK16" i="16" s="1"/>
  <c r="AH17" i="16"/>
  <c r="AK17" i="16" s="1"/>
  <c r="AH18" i="16"/>
  <c r="AK18" i="16" s="1"/>
  <c r="AH12" i="16"/>
  <c r="AK12" i="16" s="1"/>
  <c r="AH11" i="16"/>
  <c r="B22" i="4"/>
  <c r="C22" i="4"/>
  <c r="D22" i="4"/>
  <c r="E22" i="4"/>
  <c r="F22" i="4"/>
  <c r="G22" i="4"/>
  <c r="H22" i="4"/>
  <c r="I22" i="4"/>
  <c r="B21" i="4"/>
  <c r="C21" i="4"/>
  <c r="D21" i="4"/>
  <c r="E21" i="4"/>
  <c r="F21" i="4"/>
  <c r="G21" i="4"/>
  <c r="H21" i="4"/>
  <c r="I21" i="4"/>
  <c r="B20" i="4"/>
  <c r="C20" i="4"/>
  <c r="D20" i="4"/>
  <c r="E20" i="4"/>
  <c r="F20" i="4"/>
  <c r="G20" i="4"/>
  <c r="H20" i="4"/>
  <c r="I20" i="4"/>
  <c r="J20" i="4"/>
  <c r="B19" i="4"/>
  <c r="C19" i="4"/>
  <c r="D19" i="4"/>
  <c r="E19" i="4"/>
  <c r="F19" i="4"/>
  <c r="G19" i="4"/>
  <c r="H19" i="4"/>
  <c r="I19" i="4"/>
  <c r="J19" i="4"/>
  <c r="B18" i="4"/>
  <c r="C18" i="4"/>
  <c r="D18" i="4"/>
  <c r="E18" i="4"/>
  <c r="F18" i="4"/>
  <c r="G18" i="4"/>
  <c r="H18" i="4"/>
  <c r="I18" i="4"/>
  <c r="J18" i="4"/>
  <c r="B17" i="4"/>
  <c r="C17" i="4"/>
  <c r="D17" i="4"/>
  <c r="E17" i="4"/>
  <c r="F17" i="4"/>
  <c r="G17" i="4"/>
  <c r="H17" i="4"/>
  <c r="I17" i="4"/>
  <c r="J17" i="4"/>
  <c r="B16" i="4"/>
  <c r="C16" i="4"/>
  <c r="D16" i="4"/>
  <c r="E16" i="4"/>
  <c r="F16" i="4"/>
  <c r="G16" i="4"/>
  <c r="H16" i="4"/>
  <c r="I16" i="4"/>
  <c r="J16" i="4"/>
  <c r="M44" i="20" l="1"/>
  <c r="N44" i="20" s="1"/>
  <c r="M43" i="20"/>
  <c r="N43" i="20" s="1"/>
  <c r="M42" i="20"/>
  <c r="N42" i="20" s="1"/>
  <c r="M41" i="20"/>
  <c r="N41" i="20" s="1"/>
  <c r="M40" i="20"/>
  <c r="O40" i="20" s="1"/>
  <c r="M39" i="20"/>
  <c r="N39" i="20" s="1"/>
  <c r="M38" i="20"/>
  <c r="N38" i="20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M38" i="19"/>
  <c r="N38" i="19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44" i="17"/>
  <c r="N44" i="17" s="1"/>
  <c r="M43" i="17"/>
  <c r="N43" i="17" s="1"/>
  <c r="M42" i="17"/>
  <c r="N42" i="17" s="1"/>
  <c r="M41" i="17"/>
  <c r="N41" i="17" s="1"/>
  <c r="M40" i="17"/>
  <c r="O40" i="17" s="1"/>
  <c r="M39" i="17"/>
  <c r="N39" i="17" s="1"/>
  <c r="M38" i="17"/>
  <c r="N38" i="17" s="1"/>
  <c r="M44" i="13"/>
  <c r="N44" i="13" s="1"/>
  <c r="M43" i="13"/>
  <c r="N43" i="13" s="1"/>
  <c r="M42" i="13"/>
  <c r="N42" i="13" s="1"/>
  <c r="M41" i="13"/>
  <c r="N41" i="13" s="1"/>
  <c r="M40" i="13"/>
  <c r="O40" i="13" s="1"/>
  <c r="M39" i="13"/>
  <c r="N39" i="13" s="1"/>
  <c r="M38" i="13"/>
  <c r="N38" i="13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O38" i="12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O39" i="11" s="1"/>
  <c r="M38" i="11"/>
  <c r="N38" i="11" s="1"/>
  <c r="M44" i="10"/>
  <c r="N44" i="10" s="1"/>
  <c r="M43" i="10"/>
  <c r="N43" i="10" s="1"/>
  <c r="M42" i="10"/>
  <c r="N42" i="10" s="1"/>
  <c r="M41" i="10"/>
  <c r="N41" i="10" s="1"/>
  <c r="M40" i="10"/>
  <c r="O40" i="10" s="1"/>
  <c r="M39" i="10"/>
  <c r="N39" i="10" s="1"/>
  <c r="M38" i="10"/>
  <c r="N38" i="10" s="1"/>
  <c r="M44" i="5"/>
  <c r="N44" i="5" s="1"/>
  <c r="M43" i="5"/>
  <c r="N43" i="5" s="1"/>
  <c r="M42" i="5"/>
  <c r="O42" i="5" s="1"/>
  <c r="M41" i="5"/>
  <c r="O41" i="5" s="1"/>
  <c r="M40" i="5"/>
  <c r="O40" i="5" s="1"/>
  <c r="M39" i="5"/>
  <c r="N39" i="5" s="1"/>
  <c r="M38" i="5"/>
  <c r="N38" i="5" s="1"/>
  <c r="M44" i="7"/>
  <c r="N44" i="7" s="1"/>
  <c r="M43" i="7"/>
  <c r="O43" i="7" s="1"/>
  <c r="M42" i="7"/>
  <c r="N42" i="7" s="1"/>
  <c r="M41" i="7"/>
  <c r="N41" i="7" s="1"/>
  <c r="M40" i="7"/>
  <c r="N40" i="7" s="1"/>
  <c r="M39" i="7"/>
  <c r="N39" i="7" s="1"/>
  <c r="M38" i="7"/>
  <c r="N38" i="7" s="1"/>
  <c r="H57" i="2"/>
  <c r="I57" i="2"/>
  <c r="J57" i="2"/>
  <c r="K57" i="2"/>
  <c r="L57" i="2"/>
  <c r="M57" i="2"/>
  <c r="P57" i="2"/>
  <c r="Q57" i="2"/>
  <c r="R57" i="2"/>
  <c r="S57" i="2"/>
  <c r="H56" i="2"/>
  <c r="I56" i="2"/>
  <c r="J56" i="2"/>
  <c r="K56" i="2"/>
  <c r="L56" i="2"/>
  <c r="M56" i="2"/>
  <c r="P56" i="2"/>
  <c r="Q56" i="2"/>
  <c r="R56" i="2"/>
  <c r="S56" i="2"/>
  <c r="H55" i="2"/>
  <c r="I55" i="2"/>
  <c r="J55" i="2"/>
  <c r="K55" i="2"/>
  <c r="L55" i="2"/>
  <c r="M55" i="2"/>
  <c r="P55" i="2"/>
  <c r="Q55" i="2"/>
  <c r="R55" i="2"/>
  <c r="S55" i="2"/>
  <c r="P57" i="20"/>
  <c r="P56" i="20"/>
  <c r="P55" i="20"/>
  <c r="P57" i="19"/>
  <c r="P56" i="19"/>
  <c r="P55" i="19"/>
  <c r="P57" i="18"/>
  <c r="P56" i="18"/>
  <c r="P55" i="18"/>
  <c r="P57" i="17"/>
  <c r="P56" i="17"/>
  <c r="P55" i="17"/>
  <c r="P57" i="12"/>
  <c r="P56" i="11"/>
  <c r="P55" i="10"/>
  <c r="J43" i="20"/>
  <c r="S39" i="18"/>
  <c r="J41" i="11"/>
  <c r="J41" i="20"/>
  <c r="J39" i="19"/>
  <c r="S44" i="7"/>
  <c r="S40" i="17"/>
  <c r="P53" i="12"/>
  <c r="J43" i="7"/>
  <c r="J42" i="19"/>
  <c r="S41" i="5"/>
  <c r="J44" i="18"/>
  <c r="J43" i="10"/>
  <c r="S41" i="12"/>
  <c r="S41" i="19"/>
  <c r="S41" i="20"/>
  <c r="P52" i="12"/>
  <c r="J43" i="19"/>
  <c r="S39" i="13"/>
  <c r="S39" i="20"/>
  <c r="P54" i="10"/>
  <c r="J38" i="7"/>
  <c r="S40" i="12"/>
  <c r="P54" i="12"/>
  <c r="S38" i="12"/>
  <c r="J40" i="12"/>
  <c r="S39" i="5"/>
  <c r="S40" i="7"/>
  <c r="S43" i="13"/>
  <c r="J40" i="7"/>
  <c r="J40" i="11"/>
  <c r="J42" i="12"/>
  <c r="J44" i="19"/>
  <c r="J42" i="20"/>
  <c r="J40" i="17"/>
  <c r="S38" i="17"/>
  <c r="S42" i="12"/>
  <c r="S39" i="19"/>
  <c r="S41" i="18"/>
  <c r="S43" i="17"/>
  <c r="P55" i="13"/>
  <c r="J42" i="17"/>
  <c r="J43" i="11"/>
  <c r="S44" i="5"/>
  <c r="S44" i="11"/>
  <c r="P53" i="19"/>
  <c r="J38" i="5"/>
  <c r="S38" i="13"/>
  <c r="S40" i="19"/>
  <c r="P51" i="19"/>
  <c r="S42" i="10"/>
  <c r="P53" i="11"/>
  <c r="J40" i="5"/>
  <c r="J44" i="17"/>
  <c r="P57" i="13"/>
  <c r="P56" i="12"/>
  <c r="P55" i="11"/>
  <c r="P57" i="5"/>
  <c r="S44" i="19"/>
  <c r="S42" i="5"/>
  <c r="J39" i="7"/>
  <c r="J39" i="5"/>
  <c r="J39" i="10"/>
  <c r="S43" i="20"/>
  <c r="P51" i="18"/>
  <c r="J44" i="13"/>
  <c r="J44" i="10"/>
  <c r="J38" i="19"/>
  <c r="P54" i="11"/>
  <c r="P52" i="18"/>
  <c r="S42" i="19"/>
  <c r="S44" i="10"/>
  <c r="P54" i="19"/>
  <c r="J44" i="20"/>
  <c r="J41" i="5"/>
  <c r="P54" i="13"/>
  <c r="J44" i="7"/>
  <c r="S40" i="20"/>
  <c r="S42" i="11"/>
  <c r="S43" i="5"/>
  <c r="J40" i="19"/>
  <c r="S41" i="7"/>
  <c r="J39" i="17"/>
  <c r="J40" i="13"/>
  <c r="S41" i="17"/>
  <c r="S38" i="20"/>
  <c r="J43" i="18"/>
  <c r="J43" i="5"/>
  <c r="S38" i="19"/>
  <c r="J44" i="11"/>
  <c r="J44" i="5"/>
  <c r="S39" i="17"/>
  <c r="J41" i="10"/>
  <c r="J40" i="10"/>
  <c r="J42" i="11"/>
  <c r="S41" i="10"/>
  <c r="P52" i="19"/>
  <c r="P56" i="10"/>
  <c r="S44" i="20"/>
  <c r="J38" i="17"/>
  <c r="S42" i="13"/>
  <c r="J38" i="18"/>
  <c r="P53" i="18"/>
  <c r="S42" i="20"/>
  <c r="S40" i="11"/>
  <c r="J39" i="13"/>
  <c r="J39" i="12"/>
  <c r="J38" i="10"/>
  <c r="S42" i="7"/>
  <c r="S43" i="12"/>
  <c r="J43" i="12"/>
  <c r="P56" i="13"/>
  <c r="P55" i="12"/>
  <c r="P57" i="10"/>
  <c r="P56" i="5"/>
  <c r="J42" i="5"/>
  <c r="J39" i="18"/>
  <c r="S43" i="18"/>
  <c r="J44" i="12"/>
  <c r="S43" i="7"/>
  <c r="S41" i="11"/>
  <c r="J42" i="10"/>
  <c r="J41" i="13"/>
  <c r="J43" i="13"/>
  <c r="S40" i="10"/>
  <c r="J41" i="12"/>
  <c r="S38" i="11"/>
  <c r="J41" i="19"/>
  <c r="S41" i="13"/>
  <c r="P54" i="18"/>
  <c r="S38" i="18"/>
  <c r="P54" i="20"/>
  <c r="S40" i="5"/>
  <c r="S39" i="10"/>
  <c r="S44" i="18"/>
  <c r="S42" i="17"/>
  <c r="S43" i="19"/>
  <c r="J39" i="20"/>
  <c r="S42" i="18"/>
  <c r="J38" i="20"/>
  <c r="J38" i="11"/>
  <c r="S43" i="11"/>
  <c r="J40" i="20"/>
  <c r="S38" i="5"/>
  <c r="J38" i="13"/>
  <c r="J42" i="18"/>
  <c r="S40" i="18"/>
  <c r="J38" i="12"/>
  <c r="S38" i="7"/>
  <c r="S40" i="13"/>
  <c r="J39" i="11"/>
  <c r="S44" i="13"/>
  <c r="J41" i="18"/>
  <c r="S39" i="12"/>
  <c r="P57" i="11"/>
  <c r="P57" i="7"/>
  <c r="S39" i="11"/>
  <c r="J40" i="18"/>
  <c r="J43" i="17"/>
  <c r="J42" i="7"/>
  <c r="P54" i="17"/>
  <c r="J41" i="7"/>
  <c r="J42" i="13"/>
  <c r="S44" i="17"/>
  <c r="S39" i="7"/>
  <c r="J41" i="17"/>
  <c r="S43" i="10"/>
  <c r="S38" i="10"/>
  <c r="S44" i="12"/>
  <c r="N57" i="2" l="1"/>
  <c r="O44" i="17"/>
  <c r="O57" i="2"/>
  <c r="O44" i="20"/>
  <c r="O43" i="20"/>
  <c r="L44" i="20"/>
  <c r="K44" i="20"/>
  <c r="L43" i="20"/>
  <c r="K43" i="20"/>
  <c r="O41" i="20"/>
  <c r="N40" i="20"/>
  <c r="L42" i="20"/>
  <c r="K42" i="20"/>
  <c r="O42" i="20"/>
  <c r="L41" i="20"/>
  <c r="K41" i="20"/>
  <c r="O39" i="20"/>
  <c r="L40" i="20"/>
  <c r="K40" i="20"/>
  <c r="L39" i="20"/>
  <c r="K39" i="20"/>
  <c r="O38" i="20"/>
  <c r="L38" i="20"/>
  <c r="K38" i="20"/>
  <c r="O44" i="19"/>
  <c r="O43" i="19"/>
  <c r="L44" i="19"/>
  <c r="K44" i="19"/>
  <c r="O42" i="19"/>
  <c r="L43" i="19"/>
  <c r="K43" i="19"/>
  <c r="O41" i="19"/>
  <c r="L42" i="19"/>
  <c r="K42" i="19"/>
  <c r="O38" i="19"/>
  <c r="O40" i="19"/>
  <c r="L41" i="19"/>
  <c r="K41" i="19"/>
  <c r="L40" i="19"/>
  <c r="K40" i="19"/>
  <c r="L39" i="19"/>
  <c r="K39" i="19"/>
  <c r="O39" i="19"/>
  <c r="L38" i="19"/>
  <c r="K38" i="19"/>
  <c r="O44" i="18"/>
  <c r="O43" i="18"/>
  <c r="L44" i="18"/>
  <c r="K44" i="18"/>
  <c r="O42" i="18"/>
  <c r="L43" i="18"/>
  <c r="K43" i="18"/>
  <c r="L42" i="18"/>
  <c r="K42" i="18"/>
  <c r="O41" i="18"/>
  <c r="O40" i="18"/>
  <c r="O38" i="18"/>
  <c r="L41" i="18"/>
  <c r="K41" i="18"/>
  <c r="L40" i="18"/>
  <c r="K40" i="18"/>
  <c r="L39" i="18"/>
  <c r="K39" i="18"/>
  <c r="O39" i="18"/>
  <c r="L38" i="18"/>
  <c r="K38" i="18"/>
  <c r="O43" i="17"/>
  <c r="L44" i="17"/>
  <c r="K44" i="17"/>
  <c r="O42" i="17"/>
  <c r="L43" i="17"/>
  <c r="K43" i="17"/>
  <c r="O41" i="17"/>
  <c r="L42" i="17"/>
  <c r="K42" i="17"/>
  <c r="N40" i="17"/>
  <c r="L41" i="17"/>
  <c r="K41" i="17"/>
  <c r="O38" i="17"/>
  <c r="L40" i="17"/>
  <c r="K40" i="17"/>
  <c r="O39" i="17"/>
  <c r="L39" i="17"/>
  <c r="K39" i="17"/>
  <c r="L38" i="17"/>
  <c r="K38" i="17"/>
  <c r="O44" i="13"/>
  <c r="L44" i="13"/>
  <c r="K44" i="13"/>
  <c r="N40" i="13"/>
  <c r="L43" i="13"/>
  <c r="K43" i="13"/>
  <c r="O41" i="13"/>
  <c r="O43" i="13"/>
  <c r="L42" i="13"/>
  <c r="K42" i="13"/>
  <c r="O42" i="13"/>
  <c r="L41" i="13"/>
  <c r="K41" i="13"/>
  <c r="O39" i="13"/>
  <c r="L40" i="13"/>
  <c r="K40" i="13"/>
  <c r="O38" i="13"/>
  <c r="L39" i="13"/>
  <c r="K39" i="13"/>
  <c r="L38" i="13"/>
  <c r="K38" i="13"/>
  <c r="O44" i="12"/>
  <c r="O43" i="12"/>
  <c r="O41" i="12"/>
  <c r="L44" i="12"/>
  <c r="K44" i="12"/>
  <c r="L43" i="12"/>
  <c r="K43" i="12"/>
  <c r="O40" i="12"/>
  <c r="L42" i="12"/>
  <c r="K42" i="12"/>
  <c r="O42" i="12"/>
  <c r="N38" i="12"/>
  <c r="L41" i="12"/>
  <c r="K41" i="12"/>
  <c r="L40" i="12"/>
  <c r="K40" i="12"/>
  <c r="L39" i="12"/>
  <c r="K39" i="12"/>
  <c r="O39" i="12"/>
  <c r="L38" i="12"/>
  <c r="K38" i="12"/>
  <c r="O44" i="11"/>
  <c r="L44" i="11"/>
  <c r="K44" i="11"/>
  <c r="O42" i="11"/>
  <c r="O41" i="11"/>
  <c r="L43" i="11"/>
  <c r="K43" i="11"/>
  <c r="O43" i="11"/>
  <c r="N39" i="11"/>
  <c r="L42" i="11"/>
  <c r="K42" i="11"/>
  <c r="K41" i="11"/>
  <c r="L41" i="11"/>
  <c r="O40" i="11"/>
  <c r="L40" i="11"/>
  <c r="K40" i="11"/>
  <c r="K39" i="11"/>
  <c r="L39" i="11"/>
  <c r="O38" i="11"/>
  <c r="L38" i="11"/>
  <c r="K38" i="11"/>
  <c r="O44" i="10"/>
  <c r="O43" i="10"/>
  <c r="L44" i="10"/>
  <c r="K44" i="10"/>
  <c r="O42" i="10"/>
  <c r="N40" i="10"/>
  <c r="L43" i="10"/>
  <c r="K43" i="10"/>
  <c r="O41" i="10"/>
  <c r="L42" i="10"/>
  <c r="K42" i="10"/>
  <c r="L41" i="10"/>
  <c r="K41" i="10"/>
  <c r="O39" i="10"/>
  <c r="L40" i="10"/>
  <c r="K40" i="10"/>
  <c r="L39" i="10"/>
  <c r="K39" i="10"/>
  <c r="O38" i="10"/>
  <c r="L38" i="10"/>
  <c r="K38" i="10"/>
  <c r="O44" i="5"/>
  <c r="N42" i="5"/>
  <c r="L44" i="5"/>
  <c r="K44" i="5"/>
  <c r="O43" i="5"/>
  <c r="L43" i="5"/>
  <c r="K43" i="5"/>
  <c r="N40" i="5"/>
  <c r="O39" i="5"/>
  <c r="N41" i="5"/>
  <c r="L42" i="5"/>
  <c r="K42" i="5"/>
  <c r="L41" i="5"/>
  <c r="K41" i="5"/>
  <c r="L40" i="5"/>
  <c r="K40" i="5"/>
  <c r="O38" i="5"/>
  <c r="L39" i="5"/>
  <c r="K39" i="5"/>
  <c r="L38" i="5"/>
  <c r="K38" i="5"/>
  <c r="O44" i="7"/>
  <c r="N43" i="7"/>
  <c r="L44" i="7"/>
  <c r="K44" i="7"/>
  <c r="O42" i="7"/>
  <c r="O40" i="7"/>
  <c r="L43" i="7"/>
  <c r="K43" i="7"/>
  <c r="L42" i="7"/>
  <c r="K42" i="7"/>
  <c r="O41" i="7"/>
  <c r="L41" i="7"/>
  <c r="K41" i="7"/>
  <c r="L40" i="7"/>
  <c r="K40" i="7"/>
  <c r="O39" i="7"/>
  <c r="L39" i="7"/>
  <c r="K39" i="7"/>
  <c r="O38" i="7"/>
  <c r="L38" i="7"/>
  <c r="K38" i="7"/>
  <c r="O56" i="2"/>
  <c r="N56" i="2"/>
  <c r="O55" i="2"/>
  <c r="N55" i="2"/>
  <c r="AG10" i="16"/>
  <c r="AH9" i="16"/>
  <c r="B15" i="4"/>
  <c r="C15" i="4"/>
  <c r="D15" i="4"/>
  <c r="E15" i="4"/>
  <c r="F15" i="4"/>
  <c r="G15" i="4"/>
  <c r="H15" i="4"/>
  <c r="I15" i="4"/>
  <c r="J15" i="4"/>
  <c r="B13" i="4"/>
  <c r="C13" i="4"/>
  <c r="D13" i="4"/>
  <c r="E13" i="4"/>
  <c r="F13" i="4"/>
  <c r="G13" i="4"/>
  <c r="H13" i="4"/>
  <c r="I13" i="4"/>
  <c r="J13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4" i="4"/>
  <c r="C14" i="4"/>
  <c r="D14" i="4"/>
  <c r="E14" i="4"/>
  <c r="F14" i="4"/>
  <c r="G14" i="4"/>
  <c r="H14" i="4"/>
  <c r="I14" i="4"/>
  <c r="J14" i="4"/>
  <c r="B76" i="2"/>
  <c r="Q57" i="20"/>
  <c r="Q56" i="20"/>
  <c r="Q55" i="20"/>
  <c r="Q57" i="19"/>
  <c r="Q56" i="19"/>
  <c r="Q55" i="19"/>
  <c r="Q57" i="18"/>
  <c r="Q56" i="18"/>
  <c r="Q55" i="18"/>
  <c r="Q57" i="17"/>
  <c r="Q56" i="17"/>
  <c r="Q55" i="17"/>
  <c r="Q57" i="12"/>
  <c r="Q56" i="11"/>
  <c r="Q55" i="10"/>
  <c r="Q55" i="5"/>
  <c r="Q52" i="19"/>
  <c r="P56" i="7"/>
  <c r="Q51" i="20"/>
  <c r="P52" i="13"/>
  <c r="Q52" i="11"/>
  <c r="Q55" i="7"/>
  <c r="P53" i="17"/>
  <c r="Q53" i="20"/>
  <c r="P51" i="11"/>
  <c r="P51" i="5"/>
  <c r="Q54" i="5"/>
  <c r="Q51" i="7"/>
  <c r="Q53" i="12"/>
  <c r="Q52" i="12"/>
  <c r="S33" i="10"/>
  <c r="Q54" i="13"/>
  <c r="P51" i="12"/>
  <c r="Q51" i="10"/>
  <c r="Q51" i="17"/>
  <c r="Q56" i="10"/>
  <c r="Q51" i="13"/>
  <c r="Q53" i="7"/>
  <c r="Q52" i="20"/>
  <c r="P51" i="13"/>
  <c r="Q56" i="7"/>
  <c r="Q53" i="19"/>
  <c r="Q57" i="13"/>
  <c r="Q56" i="12"/>
  <c r="Q55" i="11"/>
  <c r="Q57" i="5"/>
  <c r="Q57" i="7"/>
  <c r="P52" i="11"/>
  <c r="Q51" i="12"/>
  <c r="P55" i="7"/>
  <c r="Q53" i="11"/>
  <c r="P53" i="13"/>
  <c r="Q53" i="17"/>
  <c r="Q51" i="5"/>
  <c r="Q52" i="17"/>
  <c r="Q53" i="10"/>
  <c r="Q51" i="19"/>
  <c r="P54" i="5"/>
  <c r="P51" i="17"/>
  <c r="P51" i="10"/>
  <c r="Q53" i="5"/>
  <c r="Q52" i="5"/>
  <c r="Q52" i="10"/>
  <c r="Q57" i="11"/>
  <c r="Q54" i="20"/>
  <c r="P53" i="7"/>
  <c r="Q54" i="10"/>
  <c r="Q52" i="13"/>
  <c r="P53" i="10"/>
  <c r="Q53" i="13"/>
  <c r="Q56" i="13"/>
  <c r="Q55" i="12"/>
  <c r="Q57" i="10"/>
  <c r="Q56" i="5"/>
  <c r="Q52" i="18"/>
  <c r="P52" i="5"/>
  <c r="P52" i="17"/>
  <c r="P53" i="5"/>
  <c r="Q54" i="7"/>
  <c r="P52" i="10"/>
  <c r="P54" i="7"/>
  <c r="Q54" i="19"/>
  <c r="P53" i="20"/>
  <c r="S37" i="10"/>
  <c r="P52" i="7"/>
  <c r="Q53" i="18"/>
  <c r="P51" i="20"/>
  <c r="Q51" i="18"/>
  <c r="Q54" i="11"/>
  <c r="Q54" i="12"/>
  <c r="P51" i="7"/>
  <c r="Q55" i="13"/>
  <c r="P55" i="5"/>
  <c r="P52" i="20"/>
  <c r="Q54" i="18"/>
  <c r="Q51" i="11"/>
  <c r="Q54" i="17"/>
  <c r="Q52" i="7"/>
  <c r="R57" i="20" l="1"/>
  <c r="I57" i="20" s="1"/>
  <c r="R56" i="20"/>
  <c r="I56" i="20" s="1"/>
  <c r="R55" i="20"/>
  <c r="I55" i="20" s="1"/>
  <c r="R57" i="19"/>
  <c r="I57" i="19" s="1"/>
  <c r="R56" i="19"/>
  <c r="I56" i="19" s="1"/>
  <c r="R55" i="19"/>
  <c r="I55" i="19" s="1"/>
  <c r="R57" i="18"/>
  <c r="I57" i="18" s="1"/>
  <c r="R56" i="18"/>
  <c r="I56" i="18" s="1"/>
  <c r="R55" i="18"/>
  <c r="I55" i="18" s="1"/>
  <c r="R57" i="17"/>
  <c r="I57" i="17" s="1"/>
  <c r="R56" i="17"/>
  <c r="I56" i="17" s="1"/>
  <c r="R55" i="17"/>
  <c r="I55" i="17" s="1"/>
  <c r="R57" i="13"/>
  <c r="I57" i="13" s="1"/>
  <c r="R56" i="13"/>
  <c r="I56" i="13" s="1"/>
  <c r="R55" i="13"/>
  <c r="I55" i="13" s="1"/>
  <c r="R57" i="12"/>
  <c r="I57" i="12" s="1"/>
  <c r="R56" i="12"/>
  <c r="I56" i="12" s="1"/>
  <c r="R55" i="12"/>
  <c r="I55" i="12" s="1"/>
  <c r="R57" i="11"/>
  <c r="I57" i="11" s="1"/>
  <c r="R56" i="11"/>
  <c r="I56" i="11" s="1"/>
  <c r="R55" i="11"/>
  <c r="I55" i="11" s="1"/>
  <c r="R57" i="10"/>
  <c r="I57" i="10" s="1"/>
  <c r="R56" i="10"/>
  <c r="I56" i="10" s="1"/>
  <c r="R55" i="10"/>
  <c r="I55" i="10" s="1"/>
  <c r="R57" i="5"/>
  <c r="I57" i="5" s="1"/>
  <c r="R56" i="5"/>
  <c r="I56" i="5" s="1"/>
  <c r="R55" i="5"/>
  <c r="I55" i="5" s="1"/>
  <c r="R57" i="7"/>
  <c r="I57" i="7" s="1"/>
  <c r="R56" i="7"/>
  <c r="I56" i="7" s="1"/>
  <c r="R55" i="7"/>
  <c r="I55" i="7" s="1"/>
  <c r="R54" i="20"/>
  <c r="I54" i="20" s="1"/>
  <c r="R53" i="20"/>
  <c r="I53" i="20" s="1"/>
  <c r="R52" i="20"/>
  <c r="I52" i="20" s="1"/>
  <c r="R51" i="20"/>
  <c r="I51" i="20" s="1"/>
  <c r="R54" i="19"/>
  <c r="I54" i="19" s="1"/>
  <c r="R53" i="19"/>
  <c r="I53" i="19" s="1"/>
  <c r="R52" i="19"/>
  <c r="I52" i="19" s="1"/>
  <c r="R51" i="19"/>
  <c r="I51" i="19" s="1"/>
  <c r="R54" i="18"/>
  <c r="I54" i="18" s="1"/>
  <c r="R53" i="18"/>
  <c r="I53" i="18" s="1"/>
  <c r="R52" i="18"/>
  <c r="I52" i="18" s="1"/>
  <c r="R51" i="18"/>
  <c r="I51" i="18" s="1"/>
  <c r="R54" i="17"/>
  <c r="I54" i="17" s="1"/>
  <c r="R53" i="17"/>
  <c r="I53" i="17" s="1"/>
  <c r="R52" i="17"/>
  <c r="I52" i="17" s="1"/>
  <c r="R51" i="17"/>
  <c r="I51" i="17" s="1"/>
  <c r="R54" i="13"/>
  <c r="I54" i="13" s="1"/>
  <c r="R53" i="13"/>
  <c r="I53" i="13" s="1"/>
  <c r="R52" i="13"/>
  <c r="I52" i="13" s="1"/>
  <c r="R51" i="13"/>
  <c r="I51" i="13" s="1"/>
  <c r="R54" i="12"/>
  <c r="I54" i="12" s="1"/>
  <c r="R53" i="12"/>
  <c r="I53" i="12" s="1"/>
  <c r="R52" i="12"/>
  <c r="I52" i="12" s="1"/>
  <c r="R51" i="12"/>
  <c r="I51" i="12" s="1"/>
  <c r="R54" i="11"/>
  <c r="I54" i="11" s="1"/>
  <c r="R53" i="11"/>
  <c r="I53" i="11" s="1"/>
  <c r="R52" i="11"/>
  <c r="I52" i="11" s="1"/>
  <c r="R51" i="11"/>
  <c r="I51" i="11" s="1"/>
  <c r="R54" i="10"/>
  <c r="I54" i="10" s="1"/>
  <c r="R53" i="10"/>
  <c r="I53" i="10" s="1"/>
  <c r="R52" i="10"/>
  <c r="I52" i="10" s="1"/>
  <c r="R51" i="10"/>
  <c r="I51" i="10" s="1"/>
  <c r="R54" i="5"/>
  <c r="I54" i="5" s="1"/>
  <c r="R53" i="5"/>
  <c r="I53" i="5" s="1"/>
  <c r="R52" i="5"/>
  <c r="I52" i="5" s="1"/>
  <c r="R51" i="5"/>
  <c r="I51" i="5" s="1"/>
  <c r="R54" i="7"/>
  <c r="I54" i="7" s="1"/>
  <c r="R53" i="7"/>
  <c r="I53" i="7" s="1"/>
  <c r="R52" i="7"/>
  <c r="I52" i="7" s="1"/>
  <c r="R51" i="7"/>
  <c r="I51" i="7" s="1"/>
  <c r="AH8" i="16"/>
  <c r="AH5" i="16"/>
  <c r="AH6" i="16"/>
  <c r="AH10" i="16"/>
  <c r="AH7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 s="1"/>
  <c r="H54" i="2"/>
  <c r="I54" i="2"/>
  <c r="J54" i="2"/>
  <c r="K54" i="2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S37" i="18"/>
  <c r="S36" i="17"/>
  <c r="P49" i="5"/>
  <c r="J34" i="20"/>
  <c r="S36" i="5"/>
  <c r="S37" i="5"/>
  <c r="J34" i="18"/>
  <c r="Q47" i="18"/>
  <c r="Q47" i="17"/>
  <c r="J37" i="17"/>
  <c r="Q48" i="18"/>
  <c r="J35" i="19"/>
  <c r="J36" i="12"/>
  <c r="J35" i="20"/>
  <c r="Q50" i="20"/>
  <c r="J36" i="13"/>
  <c r="P49" i="10"/>
  <c r="S35" i="18"/>
  <c r="J36" i="7"/>
  <c r="Q49" i="19"/>
  <c r="S34" i="20"/>
  <c r="J36" i="5"/>
  <c r="S37" i="12"/>
  <c r="S36" i="13"/>
  <c r="J37" i="12"/>
  <c r="J37" i="19"/>
  <c r="P49" i="12"/>
  <c r="J36" i="19"/>
  <c r="S34" i="19"/>
  <c r="Q49" i="20"/>
  <c r="S37" i="19"/>
  <c r="S37" i="20"/>
  <c r="S34" i="17"/>
  <c r="Q46" i="19"/>
  <c r="S33" i="19"/>
  <c r="Q48" i="20"/>
  <c r="J33" i="17"/>
  <c r="S33" i="20"/>
  <c r="S33" i="17"/>
  <c r="J36" i="10"/>
  <c r="Q49" i="18"/>
  <c r="P49" i="13"/>
  <c r="J35" i="17"/>
  <c r="S37" i="13"/>
  <c r="J35" i="18"/>
  <c r="J36" i="11"/>
  <c r="Q50" i="19"/>
  <c r="Q46" i="18"/>
  <c r="P50" i="12"/>
  <c r="Q50" i="17"/>
  <c r="P50" i="10"/>
  <c r="J37" i="10"/>
  <c r="J36" i="18"/>
  <c r="J33" i="18"/>
  <c r="S35" i="17"/>
  <c r="S35" i="20"/>
  <c r="J34" i="19"/>
  <c r="Q46" i="17"/>
  <c r="J37" i="5"/>
  <c r="S36" i="18"/>
  <c r="S33" i="18"/>
  <c r="Q49" i="17"/>
  <c r="P50" i="11"/>
  <c r="J37" i="20"/>
  <c r="J34" i="17"/>
  <c r="S36" i="7"/>
  <c r="J37" i="18"/>
  <c r="S37" i="7"/>
  <c r="S36" i="20"/>
  <c r="S37" i="11"/>
  <c r="S36" i="10"/>
  <c r="Q47" i="19"/>
  <c r="S36" i="11"/>
  <c r="P50" i="7"/>
  <c r="J33" i="19"/>
  <c r="Q50" i="18"/>
  <c r="P49" i="11"/>
  <c r="S35" i="19"/>
  <c r="J37" i="7"/>
  <c r="P50" i="13"/>
  <c r="J37" i="13"/>
  <c r="J36" i="20"/>
  <c r="J33" i="20"/>
  <c r="P50" i="5"/>
  <c r="P49" i="7"/>
  <c r="J36" i="17"/>
  <c r="S34" i="18"/>
  <c r="J37" i="11"/>
  <c r="S36" i="12"/>
  <c r="Q48" i="17"/>
  <c r="S36" i="19"/>
  <c r="Q48" i="19"/>
  <c r="S37" i="17"/>
  <c r="N54" i="2" l="1"/>
  <c r="O36" i="7"/>
  <c r="O54" i="2"/>
  <c r="O37" i="1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Q50" i="10"/>
  <c r="P48" i="18"/>
  <c r="P50" i="20"/>
  <c r="Q50" i="7"/>
  <c r="J33" i="13"/>
  <c r="Q48" i="12"/>
  <c r="P46" i="11"/>
  <c r="Q49" i="7"/>
  <c r="Q49" i="11"/>
  <c r="P46" i="18"/>
  <c r="P50" i="18"/>
  <c r="P48" i="19"/>
  <c r="Q50" i="13"/>
  <c r="P48" i="20"/>
  <c r="J34" i="12"/>
  <c r="Q50" i="11"/>
  <c r="J35" i="12"/>
  <c r="S33" i="12"/>
  <c r="P46" i="19"/>
  <c r="Q50" i="5"/>
  <c r="J35" i="13"/>
  <c r="S34" i="12"/>
  <c r="P47" i="19"/>
  <c r="P47" i="17"/>
  <c r="Q47" i="20"/>
  <c r="S33" i="13"/>
  <c r="J34" i="11"/>
  <c r="S35" i="13"/>
  <c r="Q46" i="20"/>
  <c r="P47" i="11"/>
  <c r="P46" i="17"/>
  <c r="Q48" i="13"/>
  <c r="Q49" i="13"/>
  <c r="S35" i="11"/>
  <c r="S35" i="12"/>
  <c r="P46" i="20"/>
  <c r="Q49" i="10"/>
  <c r="S34" i="13"/>
  <c r="P50" i="17"/>
  <c r="P48" i="17"/>
  <c r="Q50" i="12"/>
  <c r="P49" i="17"/>
  <c r="P47" i="20"/>
  <c r="P49" i="19"/>
  <c r="J34" i="13"/>
  <c r="J33" i="12"/>
  <c r="P47" i="18"/>
  <c r="Q49" i="12"/>
  <c r="P48" i="11"/>
  <c r="S34" i="11"/>
  <c r="P49" i="18"/>
  <c r="S33" i="11"/>
  <c r="P50" i="19"/>
  <c r="J35" i="11"/>
  <c r="J33" i="11"/>
  <c r="P49" i="20"/>
  <c r="Q49" i="5"/>
  <c r="R50" i="20" l="1"/>
  <c r="I50" i="20" s="1"/>
  <c r="R50" i="19"/>
  <c r="I50" i="19" s="1"/>
  <c r="R50" i="18"/>
  <c r="I50" i="18" s="1"/>
  <c r="R50" i="17"/>
  <c r="I50" i="17" s="1"/>
  <c r="R50" i="13"/>
  <c r="I50" i="13" s="1"/>
  <c r="R50" i="12"/>
  <c r="I50" i="12" s="1"/>
  <c r="R50" i="11"/>
  <c r="I50" i="11" s="1"/>
  <c r="R50" i="10"/>
  <c r="I50" i="10" s="1"/>
  <c r="R50" i="5"/>
  <c r="I50" i="5" s="1"/>
  <c r="R50" i="7"/>
  <c r="I50" i="7" s="1"/>
  <c r="R49" i="20"/>
  <c r="I49" i="20" s="1"/>
  <c r="R49" i="19"/>
  <c r="I49" i="19" s="1"/>
  <c r="R49" i="18"/>
  <c r="I49" i="18" s="1"/>
  <c r="R49" i="17"/>
  <c r="I49" i="17" s="1"/>
  <c r="R49" i="13"/>
  <c r="I49" i="13" s="1"/>
  <c r="R49" i="12"/>
  <c r="I49" i="12" s="1"/>
  <c r="R49" i="11"/>
  <c r="I49" i="11" s="1"/>
  <c r="R49" i="10"/>
  <c r="I49" i="10" s="1"/>
  <c r="R49" i="5"/>
  <c r="I49" i="5" s="1"/>
  <c r="R49" i="7"/>
  <c r="I49" i="7" s="1"/>
  <c r="R48" i="20"/>
  <c r="I48" i="20" s="1"/>
  <c r="R47" i="20"/>
  <c r="I47" i="20" s="1"/>
  <c r="R46" i="20"/>
  <c r="I46" i="20" s="1"/>
  <c r="R48" i="19"/>
  <c r="I48" i="19" s="1"/>
  <c r="R47" i="19"/>
  <c r="I47" i="19" s="1"/>
  <c r="R46" i="19"/>
  <c r="I46" i="19" s="1"/>
  <c r="R48" i="18"/>
  <c r="I48" i="18" s="1"/>
  <c r="R47" i="18"/>
  <c r="I47" i="18" s="1"/>
  <c r="R46" i="18"/>
  <c r="I46" i="18" s="1"/>
  <c r="R48" i="17"/>
  <c r="I48" i="17" s="1"/>
  <c r="R47" i="17"/>
  <c r="I47" i="17" s="1"/>
  <c r="R46" i="17"/>
  <c r="I46" i="17" s="1"/>
  <c r="N35" i="13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Q46" i="12"/>
  <c r="P48" i="7"/>
  <c r="J35" i="10"/>
  <c r="S35" i="5"/>
  <c r="Q47" i="11"/>
  <c r="P46" i="5"/>
  <c r="S33" i="7"/>
  <c r="Q47" i="13"/>
  <c r="Q47" i="12"/>
  <c r="J35" i="5"/>
  <c r="S34" i="5"/>
  <c r="J34" i="5"/>
  <c r="Q46" i="13"/>
  <c r="P47" i="10"/>
  <c r="J34" i="10"/>
  <c r="P46" i="10"/>
  <c r="P48" i="5"/>
  <c r="J33" i="5"/>
  <c r="P47" i="5"/>
  <c r="S34" i="10"/>
  <c r="P47" i="13"/>
  <c r="J34" i="7"/>
  <c r="P48" i="12"/>
  <c r="P47" i="7"/>
  <c r="S33" i="5"/>
  <c r="S35" i="10"/>
  <c r="Q48" i="11"/>
  <c r="P48" i="10"/>
  <c r="J35" i="7"/>
  <c r="S35" i="7"/>
  <c r="P47" i="12"/>
  <c r="J33" i="10"/>
  <c r="P48" i="13"/>
  <c r="Q46" i="11"/>
  <c r="P46" i="12"/>
  <c r="P46" i="13"/>
  <c r="S34" i="7"/>
  <c r="P46" i="7"/>
  <c r="J33" i="7"/>
  <c r="R48" i="13" l="1"/>
  <c r="I48" i="13" s="1"/>
  <c r="R47" i="13"/>
  <c r="I47" i="13" s="1"/>
  <c r="R46" i="13"/>
  <c r="I46" i="13" s="1"/>
  <c r="R48" i="12"/>
  <c r="I48" i="12" s="1"/>
  <c r="R47" i="12"/>
  <c r="I47" i="12" s="1"/>
  <c r="R46" i="12"/>
  <c r="I46" i="12" s="1"/>
  <c r="R48" i="11"/>
  <c r="I48" i="11" s="1"/>
  <c r="R47" i="11"/>
  <c r="I47" i="11" s="1"/>
  <c r="R46" i="11"/>
  <c r="I46" i="11" s="1"/>
  <c r="O35" i="5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Q46" i="10"/>
  <c r="Q47" i="7"/>
  <c r="Q47" i="10"/>
  <c r="Q48" i="10"/>
  <c r="Q48" i="5"/>
  <c r="Q47" i="5"/>
  <c r="Q46" i="5"/>
  <c r="Q46" i="7"/>
  <c r="Q48" i="7"/>
  <c r="R48" i="10" l="1"/>
  <c r="I48" i="10" s="1"/>
  <c r="R47" i="10"/>
  <c r="I47" i="10" s="1"/>
  <c r="R46" i="10"/>
  <c r="I46" i="10" s="1"/>
  <c r="R48" i="5"/>
  <c r="I48" i="5" s="1"/>
  <c r="R47" i="5"/>
  <c r="I47" i="5" s="1"/>
  <c r="R46" i="5"/>
  <c r="I46" i="5" s="1"/>
  <c r="R48" i="7"/>
  <c r="I48" i="7" s="1"/>
  <c r="R47" i="7"/>
  <c r="I47" i="7" s="1"/>
  <c r="R46" i="7"/>
  <c r="I46" i="7" s="1"/>
  <c r="N52" i="2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E29" i="15"/>
  <c r="E25" i="15"/>
  <c r="C29" i="15"/>
  <c r="F23" i="15"/>
  <c r="D21" i="15"/>
  <c r="G29" i="15"/>
  <c r="H30" i="15"/>
  <c r="B29" i="15"/>
  <c r="B28" i="15"/>
  <c r="H25" i="15"/>
  <c r="F26" i="15"/>
  <c r="H22" i="15"/>
  <c r="D29" i="15"/>
  <c r="C26" i="15"/>
  <c r="H26" i="15"/>
  <c r="D30" i="15"/>
  <c r="G22" i="15"/>
  <c r="C23" i="15"/>
  <c r="B24" i="15"/>
  <c r="D26" i="15"/>
  <c r="G23" i="15"/>
  <c r="H27" i="15"/>
  <c r="G25" i="15"/>
  <c r="E22" i="15"/>
  <c r="C24" i="15"/>
  <c r="F25" i="15"/>
  <c r="E21" i="15"/>
  <c r="G28" i="15"/>
  <c r="G24" i="15"/>
  <c r="D22" i="15"/>
  <c r="F22" i="15"/>
  <c r="D24" i="15"/>
  <c r="B26" i="15"/>
  <c r="F29" i="15"/>
  <c r="C22" i="15"/>
  <c r="B22" i="15"/>
  <c r="B30" i="15"/>
  <c r="C27" i="15"/>
  <c r="E27" i="15"/>
  <c r="F28" i="15"/>
  <c r="H21" i="15"/>
  <c r="F21" i="15"/>
  <c r="E30" i="15"/>
  <c r="G21" i="15"/>
  <c r="F27" i="15"/>
  <c r="F30" i="15"/>
  <c r="D28" i="15"/>
  <c r="F24" i="15"/>
  <c r="E23" i="15"/>
  <c r="G26" i="15"/>
  <c r="B27" i="15"/>
  <c r="E24" i="15"/>
  <c r="H28" i="15"/>
  <c r="G30" i="15"/>
  <c r="C21" i="15"/>
  <c r="B23" i="15"/>
  <c r="D27" i="15"/>
  <c r="C25" i="15"/>
  <c r="C30" i="15"/>
  <c r="B21" i="15"/>
  <c r="H24" i="15"/>
  <c r="G27" i="15"/>
  <c r="D25" i="15"/>
  <c r="E28" i="15"/>
  <c r="H23" i="15"/>
  <c r="B25" i="15"/>
  <c r="D23" i="15"/>
  <c r="C28" i="15"/>
  <c r="H29" i="15"/>
  <c r="E26" i="15"/>
  <c r="C11" i="16" l="1"/>
  <c r="C12" i="16"/>
  <c r="C13" i="16"/>
  <c r="C14" i="16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S29" i="7"/>
  <c r="D11" i="16"/>
  <c r="P43" i="13"/>
  <c r="S25" i="19"/>
  <c r="J32" i="5"/>
  <c r="P45" i="13"/>
  <c r="D13" i="16"/>
  <c r="S27" i="20"/>
  <c r="S23" i="18"/>
  <c r="J20" i="18"/>
  <c r="J31" i="18"/>
  <c r="S31" i="12"/>
  <c r="J30" i="20"/>
  <c r="S29" i="12"/>
  <c r="J32" i="12"/>
  <c r="J32" i="13"/>
  <c r="S20" i="17"/>
  <c r="S32" i="17"/>
  <c r="J29" i="7"/>
  <c r="Q44" i="19"/>
  <c r="Q22" i="17"/>
  <c r="S27" i="19"/>
  <c r="S30" i="11"/>
  <c r="J25" i="20"/>
  <c r="J22" i="17"/>
  <c r="J22" i="18"/>
  <c r="J23" i="18"/>
  <c r="S30" i="18"/>
  <c r="S22" i="20"/>
  <c r="S31" i="18"/>
  <c r="J26" i="17"/>
  <c r="S29" i="10"/>
  <c r="S28" i="19"/>
  <c r="S21" i="18"/>
  <c r="S20" i="20"/>
  <c r="Q45" i="20"/>
  <c r="J31" i="19"/>
  <c r="J32" i="19"/>
  <c r="J18" i="19"/>
  <c r="J29" i="5"/>
  <c r="S29" i="18"/>
  <c r="P43" i="11"/>
  <c r="J30" i="5"/>
  <c r="S26" i="19"/>
  <c r="Q32" i="17"/>
  <c r="Q35" i="17"/>
  <c r="P44" i="13"/>
  <c r="Q27" i="17"/>
  <c r="J26" i="19"/>
  <c r="J27" i="19"/>
  <c r="J24" i="17"/>
  <c r="J32" i="11"/>
  <c r="J29" i="17"/>
  <c r="J29" i="18"/>
  <c r="Q23" i="17"/>
  <c r="Q28" i="17"/>
  <c r="S32" i="18"/>
  <c r="S29" i="17"/>
  <c r="Q45" i="17"/>
  <c r="J30" i="19"/>
  <c r="P42" i="7"/>
  <c r="S24" i="20"/>
  <c r="S32" i="20"/>
  <c r="J26" i="18"/>
  <c r="S31" i="7"/>
  <c r="J32" i="20"/>
  <c r="J27" i="18"/>
  <c r="Q24" i="17"/>
  <c r="S32" i="19"/>
  <c r="P45" i="5"/>
  <c r="S19" i="20"/>
  <c r="S20" i="18"/>
  <c r="J26" i="20"/>
  <c r="J20" i="17"/>
  <c r="Q44" i="20"/>
  <c r="J22" i="20"/>
  <c r="S22" i="17"/>
  <c r="P44" i="11"/>
  <c r="S19" i="17"/>
  <c r="J32" i="17"/>
  <c r="Q37" i="17"/>
  <c r="J30" i="17"/>
  <c r="J30" i="12"/>
  <c r="S27" i="17"/>
  <c r="Q36" i="17"/>
  <c r="P43" i="12"/>
  <c r="P45" i="11"/>
  <c r="J32" i="18"/>
  <c r="J31" i="5"/>
  <c r="J18" i="17"/>
  <c r="S30" i="10"/>
  <c r="P42" i="11"/>
  <c r="Q40" i="17"/>
  <c r="S18" i="20"/>
  <c r="J25" i="19"/>
  <c r="Q29" i="17"/>
  <c r="Q34" i="17"/>
  <c r="S18" i="18"/>
  <c r="Q31" i="17"/>
  <c r="S24" i="18"/>
  <c r="J23" i="20"/>
  <c r="S30" i="7"/>
  <c r="J29" i="11"/>
  <c r="J30" i="18"/>
  <c r="S31" i="19"/>
  <c r="S25" i="17"/>
  <c r="S19" i="18"/>
  <c r="J30" i="13"/>
  <c r="S23" i="17"/>
  <c r="Q38" i="17"/>
  <c r="S30" i="20"/>
  <c r="S30" i="19"/>
  <c r="S29" i="20"/>
  <c r="J27" i="20"/>
  <c r="J31" i="17"/>
  <c r="Q21" i="17"/>
  <c r="J29" i="19"/>
  <c r="D14" i="16"/>
  <c r="Q43" i="20"/>
  <c r="J21" i="18"/>
  <c r="J30" i="10"/>
  <c r="P42" i="13"/>
  <c r="Q43" i="19"/>
  <c r="S31" i="20"/>
  <c r="P42" i="5"/>
  <c r="P42" i="12"/>
  <c r="S22" i="19"/>
  <c r="J31" i="12"/>
  <c r="S24" i="17"/>
  <c r="J28" i="20"/>
  <c r="S32" i="10"/>
  <c r="J31" i="20"/>
  <c r="S21" i="17"/>
  <c r="S23" i="19"/>
  <c r="S31" i="13"/>
  <c r="P45" i="12"/>
  <c r="P44" i="12"/>
  <c r="Q43" i="17"/>
  <c r="J28" i="17"/>
  <c r="J19" i="20"/>
  <c r="S31" i="11"/>
  <c r="J23" i="17"/>
  <c r="Q33" i="17"/>
  <c r="S18" i="19"/>
  <c r="J25" i="18"/>
  <c r="S32" i="12"/>
  <c r="J30" i="7"/>
  <c r="S27" i="18"/>
  <c r="S32" i="13"/>
  <c r="S29" i="13"/>
  <c r="J31" i="7"/>
  <c r="S21" i="19"/>
  <c r="S31" i="10"/>
  <c r="J24" i="19"/>
  <c r="Q42" i="17"/>
  <c r="J18" i="18"/>
  <c r="J28" i="19"/>
  <c r="S25" i="20"/>
  <c r="J25" i="17"/>
  <c r="J28" i="18"/>
  <c r="Q26" i="17"/>
  <c r="Q45" i="18"/>
  <c r="S20" i="19"/>
  <c r="S32" i="7"/>
  <c r="J31" i="11"/>
  <c r="J31" i="10"/>
  <c r="S29" i="11"/>
  <c r="J29" i="10"/>
  <c r="S30" i="17"/>
  <c r="S26" i="17"/>
  <c r="P44" i="5"/>
  <c r="S29" i="19"/>
  <c r="S26" i="20"/>
  <c r="J31" i="13"/>
  <c r="S28" i="20"/>
  <c r="P43" i="5"/>
  <c r="J21" i="17"/>
  <c r="S25" i="18"/>
  <c r="P43" i="7"/>
  <c r="P45" i="7"/>
  <c r="S21" i="20"/>
  <c r="S28" i="17"/>
  <c r="S26" i="18"/>
  <c r="Q41" i="17"/>
  <c r="Q45" i="19"/>
  <c r="S28" i="18"/>
  <c r="S18" i="17"/>
  <c r="P44" i="7"/>
  <c r="S30" i="13"/>
  <c r="J21" i="20"/>
  <c r="J29" i="13"/>
  <c r="J23" i="19"/>
  <c r="D12" i="16"/>
  <c r="J22" i="19"/>
  <c r="Q30" i="17"/>
  <c r="J29" i="20"/>
  <c r="J20" i="20"/>
  <c r="J21" i="19"/>
  <c r="Q39" i="17"/>
  <c r="Q19" i="17"/>
  <c r="J24" i="18"/>
  <c r="S24" i="19"/>
  <c r="S32" i="11"/>
  <c r="S19" i="19"/>
  <c r="J19" i="17"/>
  <c r="J20" i="19"/>
  <c r="J29" i="12"/>
  <c r="J32" i="10"/>
  <c r="J27" i="17"/>
  <c r="S30" i="5"/>
  <c r="S32" i="5"/>
  <c r="S31" i="5"/>
  <c r="S23" i="20"/>
  <c r="Q44" i="17"/>
  <c r="Q20" i="17"/>
  <c r="S22" i="18"/>
  <c r="S31" i="17"/>
  <c r="S30" i="12"/>
  <c r="Q25" i="17"/>
  <c r="J19" i="18"/>
  <c r="S29" i="5"/>
  <c r="J19" i="19"/>
  <c r="J24" i="20"/>
  <c r="J30" i="11"/>
  <c r="J32" i="7"/>
  <c r="J18" i="20"/>
  <c r="S60" i="20" l="1"/>
  <c r="S60" i="19"/>
  <c r="S60" i="18"/>
  <c r="S60" i="17"/>
  <c r="H32" i="17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AK5" i="16"/>
  <c r="AK6" i="16"/>
  <c r="Q44" i="5"/>
  <c r="P34" i="19"/>
  <c r="P31" i="17"/>
  <c r="P40" i="17"/>
  <c r="P27" i="20"/>
  <c r="P36" i="19"/>
  <c r="P33" i="18"/>
  <c r="P26" i="20"/>
  <c r="Q38" i="19"/>
  <c r="Q43" i="5"/>
  <c r="Q41" i="18"/>
  <c r="Q37" i="19"/>
  <c r="P38" i="20"/>
  <c r="P28" i="19"/>
  <c r="P33" i="17"/>
  <c r="Q30" i="20"/>
  <c r="Q26" i="20"/>
  <c r="P37" i="17"/>
  <c r="Q39" i="20"/>
  <c r="P43" i="18"/>
  <c r="P25" i="17"/>
  <c r="P30" i="18"/>
  <c r="Q32" i="19"/>
  <c r="Q27" i="18"/>
  <c r="P44" i="19"/>
  <c r="Q44" i="12"/>
  <c r="P35" i="20"/>
  <c r="P21" i="20"/>
  <c r="Q25" i="18"/>
  <c r="P43" i="10"/>
  <c r="P42" i="19"/>
  <c r="P22" i="19"/>
  <c r="P33" i="19"/>
  <c r="Q41" i="20"/>
  <c r="P29" i="20"/>
  <c r="Q21" i="18"/>
  <c r="Q38" i="18"/>
  <c r="Q19" i="19"/>
  <c r="P24" i="17"/>
  <c r="P39" i="20"/>
  <c r="P42" i="18"/>
  <c r="P19" i="18"/>
  <c r="Q42" i="10"/>
  <c r="Q29" i="20"/>
  <c r="P39" i="18"/>
  <c r="Q30" i="19"/>
  <c r="P32" i="20"/>
  <c r="Q19" i="18"/>
  <c r="Q33" i="20"/>
  <c r="Q28" i="18"/>
  <c r="Q44" i="18"/>
  <c r="Q29" i="18"/>
  <c r="P45" i="19"/>
  <c r="Q23" i="20"/>
  <c r="P43" i="20"/>
  <c r="P28" i="17"/>
  <c r="Q40" i="20"/>
  <c r="P35" i="17"/>
  <c r="P23" i="19"/>
  <c r="P31" i="18"/>
  <c r="Q43" i="12"/>
  <c r="P37" i="19"/>
  <c r="Q42" i="12"/>
  <c r="P25" i="19"/>
  <c r="P23" i="20"/>
  <c r="Q42" i="13"/>
  <c r="Q22" i="19"/>
  <c r="P42" i="17"/>
  <c r="Q38" i="20"/>
  <c r="Q43" i="18"/>
  <c r="P24" i="20"/>
  <c r="P28" i="20"/>
  <c r="Q43" i="7"/>
  <c r="P42" i="10"/>
  <c r="Q26" i="19"/>
  <c r="Q45" i="13"/>
  <c r="P23" i="18"/>
  <c r="P40" i="20"/>
  <c r="Q20" i="19"/>
  <c r="P38" i="17"/>
  <c r="Q44" i="10"/>
  <c r="P27" i="18"/>
  <c r="P30" i="19"/>
  <c r="P24" i="18"/>
  <c r="Q29" i="19"/>
  <c r="P19" i="19"/>
  <c r="P42" i="20"/>
  <c r="P19" i="17"/>
  <c r="P20" i="17"/>
  <c r="Q19" i="20"/>
  <c r="P41" i="17"/>
  <c r="P20" i="19"/>
  <c r="P26" i="19"/>
  <c r="P34" i="20"/>
  <c r="P19" i="20"/>
  <c r="P45" i="20"/>
  <c r="P25" i="18"/>
  <c r="Q24" i="19"/>
  <c r="P29" i="19"/>
  <c r="Q42" i="18"/>
  <c r="P40" i="19"/>
  <c r="P38" i="18"/>
  <c r="P34" i="18"/>
  <c r="Q34" i="19"/>
  <c r="Q45" i="11"/>
  <c r="Q42" i="19"/>
  <c r="Q33" i="18"/>
  <c r="P29" i="18"/>
  <c r="Q45" i="12"/>
  <c r="Q33" i="19"/>
  <c r="Q42" i="7"/>
  <c r="Q44" i="11"/>
  <c r="P27" i="19"/>
  <c r="P30" i="20"/>
  <c r="P33" i="20"/>
  <c r="P31" i="20"/>
  <c r="P31" i="19"/>
  <c r="P20" i="18"/>
  <c r="P22" i="17"/>
  <c r="Q22" i="20"/>
  <c r="P26" i="18"/>
  <c r="Q35" i="19"/>
  <c r="P41" i="20"/>
  <c r="Q37" i="18"/>
  <c r="P34" i="17"/>
  <c r="P38" i="19"/>
  <c r="P20" i="20"/>
  <c r="P41" i="18"/>
  <c r="Q31" i="19"/>
  <c r="Q45" i="10"/>
  <c r="P43" i="19"/>
  <c r="Q45" i="5"/>
  <c r="Q27" i="19"/>
  <c r="P22" i="18"/>
  <c r="Q32" i="20"/>
  <c r="Q42" i="11"/>
  <c r="Q44" i="7"/>
  <c r="Q37" i="20"/>
  <c r="Q25" i="20"/>
  <c r="P44" i="20"/>
  <c r="P45" i="10"/>
  <c r="Q28" i="20"/>
  <c r="Q36" i="18"/>
  <c r="P45" i="17"/>
  <c r="Q43" i="10"/>
  <c r="Q44" i="13"/>
  <c r="Q27" i="20"/>
  <c r="P24" i="19"/>
  <c r="Q43" i="13"/>
  <c r="Q22" i="18"/>
  <c r="Q31" i="18"/>
  <c r="Q42" i="5"/>
  <c r="P41" i="19"/>
  <c r="Q30" i="18"/>
  <c r="P44" i="10"/>
  <c r="Q28" i="19"/>
  <c r="Q20" i="18"/>
  <c r="Q43" i="11"/>
  <c r="P36" i="18"/>
  <c r="P30" i="17"/>
  <c r="Q21" i="19"/>
  <c r="P23" i="17"/>
  <c r="Q20" i="20"/>
  <c r="P36" i="17"/>
  <c r="Q36" i="19"/>
  <c r="P35" i="19"/>
  <c r="P26" i="17"/>
  <c r="Q41" i="19"/>
  <c r="Q40" i="18"/>
  <c r="Q25" i="19"/>
  <c r="Q42" i="20"/>
  <c r="Q21" i="20"/>
  <c r="Q24" i="18"/>
  <c r="Q34" i="20"/>
  <c r="P44" i="17"/>
  <c r="Q36" i="20"/>
  <c r="Q23" i="18"/>
  <c r="P28" i="18"/>
  <c r="Q34" i="18"/>
  <c r="Q23" i="19"/>
  <c r="P21" i="18"/>
  <c r="P22" i="20"/>
  <c r="P27" i="17"/>
  <c r="P37" i="18"/>
  <c r="Q39" i="19"/>
  <c r="Q39" i="18"/>
  <c r="P29" i="17"/>
  <c r="Q35" i="20"/>
  <c r="Q24" i="20"/>
  <c r="P43" i="17"/>
  <c r="P21" i="19"/>
  <c r="Q26" i="18"/>
  <c r="P40" i="18"/>
  <c r="P37" i="20"/>
  <c r="Q40" i="19"/>
  <c r="Q35" i="18"/>
  <c r="P32" i="17"/>
  <c r="P39" i="19"/>
  <c r="P32" i="19"/>
  <c r="P35" i="18"/>
  <c r="P32" i="18"/>
  <c r="Q32" i="18"/>
  <c r="P45" i="18"/>
  <c r="Q45" i="7"/>
  <c r="Q31" i="20"/>
  <c r="P36" i="20"/>
  <c r="P44" i="18"/>
  <c r="P39" i="17"/>
  <c r="P21" i="17"/>
  <c r="P25" i="20"/>
  <c r="Z5" i="4" l="1"/>
  <c r="R45" i="20"/>
  <c r="I45" i="20" s="1"/>
  <c r="R45" i="19"/>
  <c r="I45" i="19" s="1"/>
  <c r="R45" i="18"/>
  <c r="I45" i="18" s="1"/>
  <c r="R45" i="17"/>
  <c r="I45" i="17" s="1"/>
  <c r="R45" i="13"/>
  <c r="I45" i="13" s="1"/>
  <c r="R45" i="12"/>
  <c r="I45" i="12" s="1"/>
  <c r="R45" i="11"/>
  <c r="I45" i="11" s="1"/>
  <c r="R45" i="10"/>
  <c r="I45" i="10" s="1"/>
  <c r="R45" i="5"/>
  <c r="I45" i="5" s="1"/>
  <c r="R45" i="7"/>
  <c r="I45" i="7" s="1"/>
  <c r="R44" i="20"/>
  <c r="I44" i="20" s="1"/>
  <c r="R43" i="20"/>
  <c r="I43" i="20" s="1"/>
  <c r="R42" i="20"/>
  <c r="I42" i="20" s="1"/>
  <c r="R41" i="20"/>
  <c r="I41" i="20" s="1"/>
  <c r="R40" i="20"/>
  <c r="I40" i="20" s="1"/>
  <c r="R39" i="20"/>
  <c r="I39" i="20" s="1"/>
  <c r="R38" i="20"/>
  <c r="I38" i="20" s="1"/>
  <c r="R44" i="19"/>
  <c r="I44" i="19" s="1"/>
  <c r="R43" i="19"/>
  <c r="I43" i="19" s="1"/>
  <c r="R42" i="19"/>
  <c r="I42" i="19" s="1"/>
  <c r="R41" i="19"/>
  <c r="I41" i="19" s="1"/>
  <c r="R40" i="19"/>
  <c r="I40" i="19" s="1"/>
  <c r="R39" i="19"/>
  <c r="I39" i="19" s="1"/>
  <c r="R38" i="19"/>
  <c r="I38" i="19" s="1"/>
  <c r="R44" i="18"/>
  <c r="I44" i="18" s="1"/>
  <c r="R43" i="18"/>
  <c r="I43" i="18" s="1"/>
  <c r="R42" i="18"/>
  <c r="I42" i="18" s="1"/>
  <c r="R41" i="18"/>
  <c r="I41" i="18" s="1"/>
  <c r="R40" i="18"/>
  <c r="I40" i="18" s="1"/>
  <c r="R39" i="18"/>
  <c r="I39" i="18" s="1"/>
  <c r="R38" i="18"/>
  <c r="I38" i="18" s="1"/>
  <c r="R44" i="17"/>
  <c r="I44" i="17" s="1"/>
  <c r="R43" i="17"/>
  <c r="I43" i="17" s="1"/>
  <c r="R42" i="17"/>
  <c r="I42" i="17" s="1"/>
  <c r="R41" i="17"/>
  <c r="I41" i="17" s="1"/>
  <c r="R40" i="17"/>
  <c r="I40" i="17" s="1"/>
  <c r="R39" i="17"/>
  <c r="I39" i="17" s="1"/>
  <c r="R38" i="17"/>
  <c r="I38" i="17" s="1"/>
  <c r="R44" i="13"/>
  <c r="I44" i="13" s="1"/>
  <c r="R43" i="13"/>
  <c r="I43" i="13" s="1"/>
  <c r="R42" i="13"/>
  <c r="I42" i="13" s="1"/>
  <c r="R44" i="12"/>
  <c r="I44" i="12" s="1"/>
  <c r="R43" i="12"/>
  <c r="I43" i="12" s="1"/>
  <c r="R42" i="12"/>
  <c r="I42" i="12" s="1"/>
  <c r="R44" i="11"/>
  <c r="I44" i="11" s="1"/>
  <c r="R43" i="11"/>
  <c r="I43" i="11" s="1"/>
  <c r="R42" i="11"/>
  <c r="I42" i="11" s="1"/>
  <c r="R44" i="10"/>
  <c r="I44" i="10" s="1"/>
  <c r="R43" i="10"/>
  <c r="I43" i="10" s="1"/>
  <c r="R42" i="10"/>
  <c r="I42" i="10" s="1"/>
  <c r="R44" i="5"/>
  <c r="I44" i="5" s="1"/>
  <c r="R43" i="5"/>
  <c r="I43" i="5" s="1"/>
  <c r="R42" i="5"/>
  <c r="I42" i="5" s="1"/>
  <c r="R44" i="7"/>
  <c r="I44" i="7" s="1"/>
  <c r="R43" i="7"/>
  <c r="I43" i="7" s="1"/>
  <c r="R42" i="7"/>
  <c r="I42" i="7" s="1"/>
  <c r="W5" i="4"/>
  <c r="R37" i="17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Y5" i="4"/>
  <c r="X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U7" i="16"/>
  <c r="V9" i="16"/>
  <c r="U14" i="16"/>
  <c r="Z16" i="16"/>
  <c r="U15" i="16"/>
  <c r="AA17" i="16"/>
  <c r="U16" i="16"/>
  <c r="V16" i="16"/>
  <c r="T13" i="16"/>
  <c r="T18" i="16"/>
  <c r="V6" i="16"/>
  <c r="U12" i="16"/>
  <c r="U11" i="16"/>
  <c r="U8" i="16"/>
  <c r="Y17" i="16"/>
  <c r="T12" i="16"/>
  <c r="V7" i="16"/>
  <c r="AB12" i="16" l="1"/>
  <c r="AB13" i="16"/>
  <c r="AB18" i="16"/>
  <c r="K6" i="16"/>
  <c r="K7" i="16" s="1"/>
  <c r="K8" i="16" s="1"/>
  <c r="K9" i="16" s="1"/>
  <c r="K10" i="16" s="1"/>
  <c r="K11" i="16" s="1"/>
  <c r="L5" i="16"/>
  <c r="L6" i="16" s="1"/>
  <c r="L7" i="16" s="1"/>
  <c r="L8" i="16" s="1"/>
  <c r="L9" i="16" s="1"/>
  <c r="L10" i="16" s="1"/>
  <c r="L11" i="16" s="1"/>
  <c r="C6" i="16"/>
  <c r="C7" i="16"/>
  <c r="C8" i="16"/>
  <c r="C9" i="16"/>
  <c r="C10" i="16"/>
  <c r="C5" i="16"/>
  <c r="T5" i="16"/>
  <c r="U17" i="16"/>
  <c r="AA16" i="16"/>
  <c r="T11" i="16"/>
  <c r="Y16" i="16"/>
  <c r="V18" i="16"/>
  <c r="U13" i="16"/>
  <c r="D10" i="16"/>
  <c r="D8" i="16"/>
  <c r="U10" i="16"/>
  <c r="T15" i="16"/>
  <c r="T7" i="16"/>
  <c r="D6" i="16"/>
  <c r="T14" i="16"/>
  <c r="T17" i="16"/>
  <c r="V14" i="16"/>
  <c r="U18" i="16"/>
  <c r="D5" i="16"/>
  <c r="V8" i="16"/>
  <c r="V12" i="16"/>
  <c r="D7" i="16"/>
  <c r="T9" i="16"/>
  <c r="Z17" i="16"/>
  <c r="V5" i="16"/>
  <c r="U9" i="16"/>
  <c r="U5" i="16"/>
  <c r="D9" i="16"/>
  <c r="V11" i="16"/>
  <c r="T6" i="16"/>
  <c r="AA18" i="16"/>
  <c r="T10" i="16"/>
  <c r="Z15" i="16"/>
  <c r="Y15" i="16"/>
  <c r="V13" i="16"/>
  <c r="T16" i="16"/>
  <c r="Z18" i="16"/>
  <c r="Y18" i="16"/>
  <c r="T8" i="16"/>
  <c r="V17" i="16"/>
  <c r="AA15" i="16"/>
  <c r="U6" i="16"/>
  <c r="V15" i="16"/>
  <c r="V10" i="16"/>
  <c r="AB6" i="16" l="1"/>
  <c r="AB10" i="16"/>
  <c r="AB5" i="16"/>
  <c r="AB14" i="16"/>
  <c r="AB16" i="16"/>
  <c r="AB15" i="16"/>
  <c r="AB17" i="16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S27" i="12"/>
  <c r="J23" i="13"/>
  <c r="S22" i="13"/>
  <c r="S21" i="11"/>
  <c r="S23" i="12"/>
  <c r="S20" i="12"/>
  <c r="J19" i="11"/>
  <c r="S26" i="11"/>
  <c r="J25" i="11"/>
  <c r="J26" i="13"/>
  <c r="S19" i="11"/>
  <c r="S24" i="11"/>
  <c r="S21" i="12"/>
  <c r="S20" i="13"/>
  <c r="J27" i="11"/>
  <c r="S26" i="12"/>
  <c r="J20" i="13"/>
  <c r="Q41" i="12"/>
  <c r="S19" i="13"/>
  <c r="S22" i="11"/>
  <c r="J18" i="11"/>
  <c r="S25" i="11"/>
  <c r="J21" i="13"/>
  <c r="J19" i="12"/>
  <c r="S20" i="11"/>
  <c r="S26" i="13"/>
  <c r="S18" i="13"/>
  <c r="S27" i="13"/>
  <c r="J26" i="12"/>
  <c r="J19" i="13"/>
  <c r="J22" i="13"/>
  <c r="S18" i="12"/>
  <c r="J24" i="11"/>
  <c r="J21" i="12"/>
  <c r="J24" i="12"/>
  <c r="J25" i="13"/>
  <c r="J27" i="13"/>
  <c r="Q40" i="11"/>
  <c r="J28" i="12"/>
  <c r="Q41" i="11"/>
  <c r="J27" i="12"/>
  <c r="Q40" i="13"/>
  <c r="J22" i="11"/>
  <c r="S24" i="12"/>
  <c r="J18" i="12"/>
  <c r="S27" i="11"/>
  <c r="S23" i="11"/>
  <c r="J18" i="13"/>
  <c r="S19" i="12"/>
  <c r="S28" i="13"/>
  <c r="J23" i="12"/>
  <c r="S25" i="13"/>
  <c r="S28" i="11"/>
  <c r="J24" i="13"/>
  <c r="J20" i="11"/>
  <c r="S24" i="13"/>
  <c r="J28" i="13"/>
  <c r="S18" i="11"/>
  <c r="J22" i="12"/>
  <c r="J21" i="11"/>
  <c r="S22" i="12"/>
  <c r="Q40" i="12"/>
  <c r="J26" i="11"/>
  <c r="Q41" i="13"/>
  <c r="S21" i="13"/>
  <c r="S23" i="13"/>
  <c r="J20" i="12"/>
  <c r="J23" i="11"/>
  <c r="S25" i="12"/>
  <c r="J25" i="12"/>
  <c r="S28" i="12"/>
  <c r="J28" i="11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60" i="13"/>
  <c r="S60" i="12"/>
  <c r="S60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H43" i="7" l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27" i="12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N8" i="5"/>
  <c r="O24" i="5"/>
  <c r="N25" i="10"/>
  <c r="N14" i="10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H28" i="12" l="1"/>
  <c r="I18" i="7"/>
  <c r="E5" i="4"/>
  <c r="D5" i="4"/>
  <c r="H29" i="12" l="1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AE6" i="4" l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D6" i="4"/>
  <c r="AD7" i="4" s="1"/>
  <c r="AC6" i="4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B6" i="4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A6" i="4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Y6" i="4"/>
  <c r="Y7" i="4" s="1"/>
  <c r="Y8" i="4" s="1"/>
  <c r="Y9" i="4" s="1"/>
  <c r="Y10" i="4" s="1"/>
  <c r="Y11" i="4" s="1"/>
  <c r="Y12" i="4" s="1"/>
  <c r="Y13" i="4" s="1"/>
  <c r="Y14" i="4" s="1"/>
  <c r="Y15" i="4" s="1"/>
  <c r="X6" i="4"/>
  <c r="X7" i="4" s="1"/>
  <c r="X8" i="4" s="1"/>
  <c r="X9" i="4" s="1"/>
  <c r="X10" i="4" s="1"/>
  <c r="X11" i="4" s="1"/>
  <c r="X12" i="4" s="1"/>
  <c r="X13" i="4" s="1"/>
  <c r="X14" i="4" s="1"/>
  <c r="X15" i="4" s="1"/>
  <c r="Z6" i="4"/>
  <c r="K6" i="4"/>
  <c r="W6" i="4"/>
  <c r="W7" i="4" s="1"/>
  <c r="W8" i="4" s="1"/>
  <c r="W9" i="4" s="1"/>
  <c r="W10" i="4" s="1"/>
  <c r="W11" i="4" s="1"/>
  <c r="W12" i="4" s="1"/>
  <c r="W13" i="4" s="1"/>
  <c r="W14" i="4" s="1"/>
  <c r="W15" i="4" s="1"/>
  <c r="J6" i="4"/>
  <c r="I6" i="4"/>
  <c r="H6" i="4"/>
  <c r="H31" i="12"/>
  <c r="AK7" i="16"/>
  <c r="C6" i="4"/>
  <c r="E6" i="4"/>
  <c r="F6" i="4"/>
  <c r="G6" i="4"/>
  <c r="B6" i="4"/>
  <c r="B38" i="4" s="1"/>
  <c r="P76" i="2"/>
  <c r="O8" i="2"/>
  <c r="O12" i="2"/>
  <c r="S76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O11" i="2"/>
  <c r="O15" i="2"/>
  <c r="O19" i="2"/>
  <c r="N16" i="2"/>
  <c r="N12" i="2"/>
  <c r="N8" i="2"/>
  <c r="N18" i="2"/>
  <c r="N14" i="2"/>
  <c r="N10" i="2"/>
  <c r="N6" i="2"/>
  <c r="O5" i="2"/>
  <c r="AE36" i="4" l="1"/>
  <c r="M11" i="16"/>
  <c r="P11" i="16"/>
  <c r="AD8" i="4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N11" i="16"/>
  <c r="O11" i="16"/>
  <c r="Z7" i="4"/>
  <c r="Y16" i="4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W16" i="4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V5" i="4"/>
  <c r="V6" i="4" s="1"/>
  <c r="V7" i="4" s="1"/>
  <c r="V8" i="4" s="1"/>
  <c r="V9" i="4" s="1"/>
  <c r="V10" i="4" s="1"/>
  <c r="V11" i="4" s="1"/>
  <c r="V12" i="4" s="1"/>
  <c r="V13" i="4" s="1"/>
  <c r="V14" i="4" s="1"/>
  <c r="V15" i="4" s="1"/>
  <c r="AH5" i="4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H32" i="12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O8" i="16"/>
  <c r="O9" i="16"/>
  <c r="O5" i="16"/>
  <c r="O6" i="16"/>
  <c r="O10" i="16"/>
  <c r="O7" i="16"/>
  <c r="P6" i="16"/>
  <c r="P10" i="16"/>
  <c r="P5" i="16"/>
  <c r="P7" i="16"/>
  <c r="P9" i="16"/>
  <c r="P8" i="16"/>
  <c r="M6" i="16"/>
  <c r="M10" i="16"/>
  <c r="M7" i="16"/>
  <c r="M5" i="16"/>
  <c r="M8" i="16"/>
  <c r="M9" i="16"/>
  <c r="AG5" i="4"/>
  <c r="AG6" i="4" s="1"/>
  <c r="AG7" i="4" s="1"/>
  <c r="AG8" i="4" s="1"/>
  <c r="AG9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N8" i="16"/>
  <c r="N6" i="16"/>
  <c r="N10" i="16"/>
  <c r="N5" i="16"/>
  <c r="N9" i="16"/>
  <c r="N7" i="16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Q28" i="13"/>
  <c r="P38" i="11"/>
  <c r="Q26" i="5"/>
  <c r="X14" i="16"/>
  <c r="Q38" i="11"/>
  <c r="Q26" i="13"/>
  <c r="S26" i="5"/>
  <c r="P35" i="12"/>
  <c r="S24" i="5"/>
  <c r="P19" i="13"/>
  <c r="P30" i="12"/>
  <c r="Q23" i="7"/>
  <c r="P30" i="7"/>
  <c r="P34" i="5"/>
  <c r="Y5" i="16"/>
  <c r="Q19" i="10"/>
  <c r="P35" i="11"/>
  <c r="P25" i="11"/>
  <c r="J21" i="7"/>
  <c r="Q24" i="7"/>
  <c r="Q32" i="13"/>
  <c r="S23" i="5"/>
  <c r="J27" i="7"/>
  <c r="W6" i="16"/>
  <c r="J25" i="10"/>
  <c r="Q36" i="5"/>
  <c r="X15" i="16"/>
  <c r="Q28" i="7"/>
  <c r="S21" i="10"/>
  <c r="P33" i="11"/>
  <c r="P36" i="10"/>
  <c r="X11" i="16"/>
  <c r="S23" i="10"/>
  <c r="P25" i="10"/>
  <c r="Q27" i="12"/>
  <c r="Q25" i="10"/>
  <c r="S27" i="10"/>
  <c r="Q32" i="10"/>
  <c r="Q21" i="5"/>
  <c r="Q21" i="12"/>
  <c r="P26" i="7"/>
  <c r="P40" i="12"/>
  <c r="P28" i="12"/>
  <c r="P19" i="12"/>
  <c r="P32" i="13"/>
  <c r="Q31" i="5"/>
  <c r="P35" i="10"/>
  <c r="Q24" i="11"/>
  <c r="Y13" i="16"/>
  <c r="J25" i="5"/>
  <c r="Q40" i="10"/>
  <c r="Q30" i="5"/>
  <c r="X6" i="16"/>
  <c r="Q24" i="12"/>
  <c r="Y14" i="16"/>
  <c r="P40" i="7"/>
  <c r="Q37" i="13"/>
  <c r="Q35" i="11"/>
  <c r="Q38" i="12"/>
  <c r="X5" i="16"/>
  <c r="J26" i="5"/>
  <c r="P36" i="12"/>
  <c r="P23" i="11"/>
  <c r="P30" i="13"/>
  <c r="AA6" i="16"/>
  <c r="W12" i="16"/>
  <c r="P22" i="11"/>
  <c r="Q31" i="13"/>
  <c r="J22" i="5"/>
  <c r="P34" i="12"/>
  <c r="AA11" i="16"/>
  <c r="J19" i="7"/>
  <c r="P31" i="11"/>
  <c r="Q29" i="12"/>
  <c r="Y10" i="16"/>
  <c r="Q29" i="5"/>
  <c r="Z13" i="16"/>
  <c r="P25" i="12"/>
  <c r="P20" i="10"/>
  <c r="Y7" i="16"/>
  <c r="Q27" i="13"/>
  <c r="P22" i="12"/>
  <c r="J23" i="10"/>
  <c r="P21" i="7"/>
  <c r="Q36" i="12"/>
  <c r="Q36" i="13"/>
  <c r="P27" i="7"/>
  <c r="P29" i="7"/>
  <c r="P26" i="10"/>
  <c r="J22" i="10"/>
  <c r="P27" i="10"/>
  <c r="J21" i="5"/>
  <c r="Q29" i="7"/>
  <c r="Q28" i="12"/>
  <c r="P29" i="10"/>
  <c r="J20" i="5"/>
  <c r="Q32" i="11"/>
  <c r="X18" i="16"/>
  <c r="Q30" i="12"/>
  <c r="Q39" i="12"/>
  <c r="X9" i="16"/>
  <c r="P30" i="11"/>
  <c r="Z6" i="16"/>
  <c r="S22" i="7"/>
  <c r="Q32" i="12"/>
  <c r="Q30" i="7"/>
  <c r="P20" i="5"/>
  <c r="Q22" i="13"/>
  <c r="P39" i="13"/>
  <c r="P37" i="11"/>
  <c r="Q39" i="13"/>
  <c r="AA7" i="16"/>
  <c r="P24" i="12"/>
  <c r="Q33" i="10"/>
  <c r="S23" i="7"/>
  <c r="P23" i="12"/>
  <c r="X8" i="16"/>
  <c r="W11" i="16"/>
  <c r="Q37" i="10"/>
  <c r="J23" i="5"/>
  <c r="Z12" i="16"/>
  <c r="Q25" i="5"/>
  <c r="P20" i="7"/>
  <c r="Q37" i="11"/>
  <c r="P21" i="10"/>
  <c r="Q40" i="7"/>
  <c r="P24" i="11"/>
  <c r="J22" i="7"/>
  <c r="Q30" i="13"/>
  <c r="S25" i="5"/>
  <c r="Q23" i="10"/>
  <c r="X13" i="16"/>
  <c r="Q39" i="11"/>
  <c r="Q34" i="5"/>
  <c r="P33" i="7"/>
  <c r="Y12" i="16"/>
  <c r="P41" i="5"/>
  <c r="Q27" i="7"/>
  <c r="P20" i="11"/>
  <c r="P27" i="5"/>
  <c r="Q40" i="5"/>
  <c r="X12" i="16"/>
  <c r="Q19" i="7"/>
  <c r="P23" i="7"/>
  <c r="P22" i="7"/>
  <c r="P28" i="11"/>
  <c r="J19" i="5"/>
  <c r="Q21" i="10"/>
  <c r="Q19" i="5"/>
  <c r="P22" i="5"/>
  <c r="S25" i="7"/>
  <c r="Q23" i="11"/>
  <c r="Q33" i="13"/>
  <c r="P31" i="10"/>
  <c r="S19" i="7"/>
  <c r="J20" i="7"/>
  <c r="Q19" i="13"/>
  <c r="P22" i="10"/>
  <c r="Q26" i="7"/>
  <c r="P32" i="11"/>
  <c r="P26" i="5"/>
  <c r="P36" i="13"/>
  <c r="Q37" i="7"/>
  <c r="Q22" i="5"/>
  <c r="S28" i="7"/>
  <c r="Y8" i="16"/>
  <c r="P35" i="5"/>
  <c r="Q31" i="11"/>
  <c r="Q27" i="10"/>
  <c r="AA10" i="16"/>
  <c r="P41" i="7"/>
  <c r="Q34" i="11"/>
  <c r="P33" i="12"/>
  <c r="Z14" i="16"/>
  <c r="Q26" i="12"/>
  <c r="J28" i="5"/>
  <c r="S25" i="10"/>
  <c r="AA9" i="16"/>
  <c r="P32" i="5"/>
  <c r="P25" i="7"/>
  <c r="Q22" i="11"/>
  <c r="Q35" i="13"/>
  <c r="S20" i="7"/>
  <c r="Q33" i="12"/>
  <c r="Q34" i="7"/>
  <c r="S22" i="5"/>
  <c r="Q20" i="5"/>
  <c r="P23" i="5"/>
  <c r="J28" i="10"/>
  <c r="P38" i="10"/>
  <c r="Q21" i="11"/>
  <c r="Q20" i="7"/>
  <c r="Q34" i="13"/>
  <c r="P33" i="13"/>
  <c r="Q38" i="5"/>
  <c r="AA8" i="16"/>
  <c r="S28" i="10"/>
  <c r="Q31" i="10"/>
  <c r="J26" i="10"/>
  <c r="P39" i="5"/>
  <c r="P31" i="13"/>
  <c r="Y9" i="16"/>
  <c r="J18" i="10"/>
  <c r="S26" i="7"/>
  <c r="Z7" i="16"/>
  <c r="P35" i="13"/>
  <c r="P29" i="12"/>
  <c r="P21" i="5"/>
  <c r="Q35" i="5"/>
  <c r="P21" i="12"/>
  <c r="Q38" i="7"/>
  <c r="P32" i="7"/>
  <c r="P19" i="5"/>
  <c r="P31" i="5"/>
  <c r="X7" i="16"/>
  <c r="P37" i="7"/>
  <c r="P19" i="11"/>
  <c r="AA5" i="16"/>
  <c r="Q36" i="10"/>
  <c r="Q38" i="13"/>
  <c r="P37" i="5"/>
  <c r="P38" i="5"/>
  <c r="Q33" i="11"/>
  <c r="W13" i="16"/>
  <c r="J20" i="10"/>
  <c r="P40" i="13"/>
  <c r="W14" i="16"/>
  <c r="P29" i="13"/>
  <c r="S18" i="10"/>
  <c r="P35" i="7"/>
  <c r="Q26" i="11"/>
  <c r="S27" i="7"/>
  <c r="Q24" i="13"/>
  <c r="Q34" i="12"/>
  <c r="P38" i="13"/>
  <c r="P23" i="13"/>
  <c r="P27" i="12"/>
  <c r="P39" i="12"/>
  <c r="P39" i="7"/>
  <c r="P38" i="7"/>
  <c r="P37" i="10"/>
  <c r="J25" i="7"/>
  <c r="S20" i="10"/>
  <c r="Q37" i="12"/>
  <c r="P31" i="12"/>
  <c r="P29" i="5"/>
  <c r="J28" i="7"/>
  <c r="P30" i="5"/>
  <c r="Q21" i="7"/>
  <c r="Q33" i="5"/>
  <c r="Q37" i="5"/>
  <c r="P41" i="11"/>
  <c r="Q22" i="7"/>
  <c r="J23" i="7"/>
  <c r="Y6" i="16"/>
  <c r="Q32" i="5"/>
  <c r="Q20" i="12"/>
  <c r="P36" i="11"/>
  <c r="Q19" i="12"/>
  <c r="Q41" i="5"/>
  <c r="P25" i="5"/>
  <c r="P20" i="13"/>
  <c r="Q24" i="10"/>
  <c r="Q29" i="10"/>
  <c r="Q35" i="7"/>
  <c r="Z11" i="16"/>
  <c r="Y11" i="16"/>
  <c r="S22" i="10"/>
  <c r="P20" i="12"/>
  <c r="P37" i="13"/>
  <c r="P19" i="10"/>
  <c r="P29" i="11"/>
  <c r="P40" i="5"/>
  <c r="P28" i="10"/>
  <c r="J24" i="7"/>
  <c r="P24" i="13"/>
  <c r="J24" i="5"/>
  <c r="Z5" i="16"/>
  <c r="Q24" i="5"/>
  <c r="Z10" i="16"/>
  <c r="J21" i="10"/>
  <c r="Q32" i="7"/>
  <c r="P23" i="10"/>
  <c r="P36" i="5"/>
  <c r="Q23" i="5"/>
  <c r="P34" i="13"/>
  <c r="P25" i="13"/>
  <c r="P30" i="10"/>
  <c r="Q23" i="12"/>
  <c r="Q33" i="7"/>
  <c r="S19" i="10"/>
  <c r="P22" i="13"/>
  <c r="P34" i="11"/>
  <c r="Z9" i="16"/>
  <c r="Q25" i="11"/>
  <c r="S24" i="7"/>
  <c r="P27" i="11"/>
  <c r="P28" i="5"/>
  <c r="Q35" i="10"/>
  <c r="P24" i="10"/>
  <c r="P21" i="11"/>
  <c r="S26" i="10"/>
  <c r="X16" i="16"/>
  <c r="J27" i="5"/>
  <c r="P19" i="7"/>
  <c r="S20" i="5"/>
  <c r="Q28" i="5"/>
  <c r="P32" i="12"/>
  <c r="Q38" i="10"/>
  <c r="Q41" i="10"/>
  <c r="J24" i="10"/>
  <c r="Q39" i="5"/>
  <c r="P39" i="11"/>
  <c r="P32" i="10"/>
  <c r="Q25" i="12"/>
  <c r="AA13" i="16"/>
  <c r="S21" i="5"/>
  <c r="Q26" i="10"/>
  <c r="Q22" i="10"/>
  <c r="AA12" i="16"/>
  <c r="S21" i="7"/>
  <c r="P21" i="13"/>
  <c r="Q28" i="10"/>
  <c r="Q34" i="10"/>
  <c r="J18" i="7"/>
  <c r="S27" i="5"/>
  <c r="P39" i="10"/>
  <c r="Q29" i="13"/>
  <c r="Q35" i="12"/>
  <c r="Q21" i="13"/>
  <c r="Q20" i="10"/>
  <c r="Z8" i="16"/>
  <c r="Q39" i="7"/>
  <c r="S19" i="5"/>
  <c r="P26" i="12"/>
  <c r="S18" i="5"/>
  <c r="Q20" i="13"/>
  <c r="Q22" i="12"/>
  <c r="Q28" i="11"/>
  <c r="Q27" i="11"/>
  <c r="P33" i="10"/>
  <c r="S28" i="5"/>
  <c r="Q36" i="7"/>
  <c r="Q25" i="7"/>
  <c r="J27" i="10"/>
  <c r="P26" i="13"/>
  <c r="P40" i="11"/>
  <c r="P33" i="5"/>
  <c r="J26" i="7"/>
  <c r="P37" i="12"/>
  <c r="P40" i="10"/>
  <c r="Q29" i="11"/>
  <c r="J19" i="10"/>
  <c r="P34" i="7"/>
  <c r="Q30" i="10"/>
  <c r="Q19" i="11"/>
  <c r="P24" i="5"/>
  <c r="P41" i="12"/>
  <c r="P28" i="13"/>
  <c r="Q20" i="11"/>
  <c r="P34" i="10"/>
  <c r="Q27" i="5"/>
  <c r="Q36" i="11"/>
  <c r="Q31" i="7"/>
  <c r="P36" i="7"/>
  <c r="J18" i="5"/>
  <c r="S18" i="7"/>
  <c r="W5" i="16"/>
  <c r="Q41" i="7"/>
  <c r="Q30" i="11"/>
  <c r="P38" i="12"/>
  <c r="P26" i="11"/>
  <c r="P24" i="7"/>
  <c r="P31" i="7"/>
  <c r="AA14" i="16"/>
  <c r="P41" i="10"/>
  <c r="Q25" i="13"/>
  <c r="Q23" i="13"/>
  <c r="X17" i="16"/>
  <c r="Q31" i="12"/>
  <c r="P41" i="13"/>
  <c r="W7" i="16"/>
  <c r="P27" i="13"/>
  <c r="S24" i="10"/>
  <c r="X10" i="16"/>
  <c r="P28" i="7"/>
  <c r="Q39" i="10"/>
  <c r="W17" i="16"/>
  <c r="W8" i="16"/>
  <c r="W18" i="16"/>
  <c r="W15" i="16"/>
  <c r="W16" i="16"/>
  <c r="AE37" i="4" l="1"/>
  <c r="E19" i="16" s="1"/>
  <c r="F19" i="16" s="1"/>
  <c r="AD33" i="4"/>
  <c r="R28" i="7"/>
  <c r="I28" i="7" s="1"/>
  <c r="R27" i="13"/>
  <c r="I27" i="13" s="1"/>
  <c r="R41" i="13"/>
  <c r="I41" i="13" s="1"/>
  <c r="R41" i="10"/>
  <c r="I41" i="10" s="1"/>
  <c r="R31" i="7"/>
  <c r="I31" i="7" s="1"/>
  <c r="R24" i="7"/>
  <c r="I24" i="7" s="1"/>
  <c r="R26" i="11"/>
  <c r="I26" i="11" s="1"/>
  <c r="R38" i="12"/>
  <c r="I38" i="12" s="1"/>
  <c r="S60" i="7"/>
  <c r="K18" i="5"/>
  <c r="L18" i="5"/>
  <c r="R36" i="7"/>
  <c r="I36" i="7" s="1"/>
  <c r="R34" i="10"/>
  <c r="I34" i="10" s="1"/>
  <c r="R28" i="13"/>
  <c r="I28" i="13" s="1"/>
  <c r="R41" i="12"/>
  <c r="I41" i="12" s="1"/>
  <c r="R24" i="5"/>
  <c r="I24" i="5" s="1"/>
  <c r="R34" i="7"/>
  <c r="I34" i="7" s="1"/>
  <c r="L19" i="10"/>
  <c r="K19" i="10"/>
  <c r="R40" i="10"/>
  <c r="I40" i="10" s="1"/>
  <c r="R37" i="12"/>
  <c r="I37" i="12" s="1"/>
  <c r="L26" i="7"/>
  <c r="K26" i="7"/>
  <c r="R33" i="5"/>
  <c r="I33" i="5" s="1"/>
  <c r="R40" i="11"/>
  <c r="I40" i="11" s="1"/>
  <c r="R26" i="13"/>
  <c r="I26" i="13" s="1"/>
  <c r="L27" i="10"/>
  <c r="K27" i="10"/>
  <c r="R33" i="10"/>
  <c r="I33" i="10" s="1"/>
  <c r="S60" i="5"/>
  <c r="R26" i="12"/>
  <c r="I26" i="12" s="1"/>
  <c r="R39" i="10"/>
  <c r="I39" i="10" s="1"/>
  <c r="K18" i="7"/>
  <c r="L18" i="7"/>
  <c r="R21" i="13"/>
  <c r="I21" i="13" s="1"/>
  <c r="R32" i="10"/>
  <c r="I32" i="10" s="1"/>
  <c r="R39" i="11"/>
  <c r="I39" i="11" s="1"/>
  <c r="L24" i="10"/>
  <c r="K24" i="10"/>
  <c r="R32" i="12"/>
  <c r="I32" i="12" s="1"/>
  <c r="R19" i="7"/>
  <c r="I19" i="7" s="1"/>
  <c r="L27" i="5"/>
  <c r="K27" i="5"/>
  <c r="R21" i="11"/>
  <c r="I21" i="11" s="1"/>
  <c r="R24" i="10"/>
  <c r="I24" i="10" s="1"/>
  <c r="R28" i="5"/>
  <c r="I28" i="5" s="1"/>
  <c r="R27" i="11"/>
  <c r="I27" i="11" s="1"/>
  <c r="R34" i="11"/>
  <c r="I34" i="11" s="1"/>
  <c r="R22" i="13"/>
  <c r="I22" i="13" s="1"/>
  <c r="R30" i="10"/>
  <c r="I30" i="10" s="1"/>
  <c r="R25" i="13"/>
  <c r="I25" i="13" s="1"/>
  <c r="R34" i="13"/>
  <c r="I34" i="13" s="1"/>
  <c r="R36" i="5"/>
  <c r="I36" i="5" s="1"/>
  <c r="R23" i="10"/>
  <c r="I23" i="10" s="1"/>
  <c r="L21" i="10"/>
  <c r="K21" i="10"/>
  <c r="K24" i="5"/>
  <c r="L24" i="5"/>
  <c r="R24" i="13"/>
  <c r="I24" i="13" s="1"/>
  <c r="L24" i="7"/>
  <c r="K24" i="7"/>
  <c r="R28" i="10"/>
  <c r="I28" i="10" s="1"/>
  <c r="R40" i="5"/>
  <c r="I40" i="5" s="1"/>
  <c r="R29" i="11"/>
  <c r="I29" i="11" s="1"/>
  <c r="R19" i="10"/>
  <c r="I19" i="10" s="1"/>
  <c r="R37" i="13"/>
  <c r="I37" i="13" s="1"/>
  <c r="R20" i="12"/>
  <c r="I20" i="12" s="1"/>
  <c r="R20" i="13"/>
  <c r="I20" i="13" s="1"/>
  <c r="R25" i="5"/>
  <c r="I25" i="5" s="1"/>
  <c r="R36" i="11"/>
  <c r="I36" i="11" s="1"/>
  <c r="L23" i="7"/>
  <c r="K23" i="7"/>
  <c r="R41" i="11"/>
  <c r="I41" i="11" s="1"/>
  <c r="R30" i="5"/>
  <c r="I30" i="5" s="1"/>
  <c r="L28" i="7"/>
  <c r="K28" i="7"/>
  <c r="R29" i="5"/>
  <c r="I29" i="5" s="1"/>
  <c r="R31" i="12"/>
  <c r="I31" i="12" s="1"/>
  <c r="L25" i="7"/>
  <c r="K25" i="7"/>
  <c r="R37" i="10"/>
  <c r="I37" i="10" s="1"/>
  <c r="R38" i="7"/>
  <c r="I38" i="7" s="1"/>
  <c r="R39" i="7"/>
  <c r="I39" i="7" s="1"/>
  <c r="R39" i="12"/>
  <c r="I39" i="12" s="1"/>
  <c r="R27" i="12"/>
  <c r="I27" i="12" s="1"/>
  <c r="R23" i="13"/>
  <c r="I23" i="13" s="1"/>
  <c r="R38" i="13"/>
  <c r="I38" i="13" s="1"/>
  <c r="R35" i="7"/>
  <c r="I35" i="7" s="1"/>
  <c r="S60" i="10"/>
  <c r="R29" i="13"/>
  <c r="I29" i="13" s="1"/>
  <c r="R40" i="13"/>
  <c r="I40" i="13" s="1"/>
  <c r="L20" i="10"/>
  <c r="K20" i="10"/>
  <c r="R38" i="5"/>
  <c r="I38" i="5" s="1"/>
  <c r="R37" i="5"/>
  <c r="I37" i="5" s="1"/>
  <c r="R19" i="11"/>
  <c r="I19" i="11" s="1"/>
  <c r="R37" i="7"/>
  <c r="I37" i="7" s="1"/>
  <c r="R31" i="5"/>
  <c r="I31" i="5" s="1"/>
  <c r="R19" i="5"/>
  <c r="I19" i="5" s="1"/>
  <c r="R32" i="7"/>
  <c r="I32" i="7" s="1"/>
  <c r="R21" i="12"/>
  <c r="I21" i="12" s="1"/>
  <c r="R21" i="5"/>
  <c r="I21" i="5" s="1"/>
  <c r="R29" i="12"/>
  <c r="I29" i="12" s="1"/>
  <c r="R35" i="13"/>
  <c r="I35" i="13" s="1"/>
  <c r="L18" i="10"/>
  <c r="K18" i="10"/>
  <c r="R31" i="13"/>
  <c r="I31" i="13" s="1"/>
  <c r="R39" i="5"/>
  <c r="I39" i="5" s="1"/>
  <c r="L26" i="10"/>
  <c r="K26" i="10"/>
  <c r="R33" i="13"/>
  <c r="I33" i="13" s="1"/>
  <c r="R38" i="10"/>
  <c r="I38" i="10" s="1"/>
  <c r="L28" i="10"/>
  <c r="K28" i="10"/>
  <c r="R23" i="5"/>
  <c r="I23" i="5" s="1"/>
  <c r="R25" i="7"/>
  <c r="I25" i="7" s="1"/>
  <c r="R32" i="5"/>
  <c r="I32" i="5" s="1"/>
  <c r="K28" i="5"/>
  <c r="L28" i="5"/>
  <c r="R33" i="12"/>
  <c r="I33" i="12" s="1"/>
  <c r="R41" i="7"/>
  <c r="I41" i="7" s="1"/>
  <c r="R35" i="5"/>
  <c r="I35" i="5" s="1"/>
  <c r="R36" i="13"/>
  <c r="I36" i="13" s="1"/>
  <c r="R26" i="5"/>
  <c r="I26" i="5" s="1"/>
  <c r="R32" i="11"/>
  <c r="I32" i="11" s="1"/>
  <c r="R22" i="10"/>
  <c r="I22" i="10" s="1"/>
  <c r="L20" i="7"/>
  <c r="K20" i="7"/>
  <c r="R31" i="10"/>
  <c r="I31" i="10" s="1"/>
  <c r="R22" i="5"/>
  <c r="I22" i="5" s="1"/>
  <c r="K19" i="5"/>
  <c r="L19" i="5"/>
  <c r="R28" i="11"/>
  <c r="I28" i="11" s="1"/>
  <c r="R22" i="7"/>
  <c r="I22" i="7" s="1"/>
  <c r="R23" i="7"/>
  <c r="I23" i="7" s="1"/>
  <c r="R27" i="5"/>
  <c r="I27" i="5" s="1"/>
  <c r="R20" i="11"/>
  <c r="I20" i="11" s="1"/>
  <c r="R41" i="5"/>
  <c r="I41" i="5" s="1"/>
  <c r="R33" i="7"/>
  <c r="I33" i="7" s="1"/>
  <c r="L22" i="7"/>
  <c r="K22" i="7"/>
  <c r="R24" i="11"/>
  <c r="I24" i="11" s="1"/>
  <c r="R21" i="10"/>
  <c r="I21" i="10" s="1"/>
  <c r="R20" i="7"/>
  <c r="I20" i="7" s="1"/>
  <c r="L23" i="5"/>
  <c r="K23" i="5"/>
  <c r="R23" i="12"/>
  <c r="I23" i="12" s="1"/>
  <c r="R24" i="12"/>
  <c r="I24" i="12" s="1"/>
  <c r="R37" i="11"/>
  <c r="I37" i="11" s="1"/>
  <c r="R39" i="13"/>
  <c r="I39" i="13" s="1"/>
  <c r="R20" i="5"/>
  <c r="I20" i="5" s="1"/>
  <c r="R30" i="11"/>
  <c r="I30" i="11" s="1"/>
  <c r="L20" i="5"/>
  <c r="K20" i="5"/>
  <c r="R29" i="10"/>
  <c r="I29" i="10" s="1"/>
  <c r="L21" i="5"/>
  <c r="K21" i="5"/>
  <c r="R27" i="10"/>
  <c r="I27" i="10" s="1"/>
  <c r="K22" i="10"/>
  <c r="L22" i="10"/>
  <c r="R26" i="10"/>
  <c r="I26" i="10" s="1"/>
  <c r="R29" i="7"/>
  <c r="I29" i="7" s="1"/>
  <c r="R27" i="7"/>
  <c r="I27" i="7" s="1"/>
  <c r="R21" i="7"/>
  <c r="I21" i="7" s="1"/>
  <c r="K23" i="10"/>
  <c r="L23" i="10"/>
  <c r="R22" i="12"/>
  <c r="I22" i="12" s="1"/>
  <c r="R20" i="10"/>
  <c r="I20" i="10" s="1"/>
  <c r="R25" i="12"/>
  <c r="I25" i="12" s="1"/>
  <c r="R31" i="11"/>
  <c r="I31" i="11" s="1"/>
  <c r="L19" i="7"/>
  <c r="K19" i="7"/>
  <c r="R34" i="12"/>
  <c r="I34" i="12" s="1"/>
  <c r="K22" i="5"/>
  <c r="L22" i="5"/>
  <c r="R22" i="11"/>
  <c r="I22" i="11" s="1"/>
  <c r="R30" i="13"/>
  <c r="I30" i="13" s="1"/>
  <c r="R23" i="11"/>
  <c r="I23" i="11" s="1"/>
  <c r="R36" i="12"/>
  <c r="I36" i="12" s="1"/>
  <c r="L26" i="5"/>
  <c r="K26" i="5"/>
  <c r="R40" i="7"/>
  <c r="I40" i="7" s="1"/>
  <c r="L25" i="5"/>
  <c r="K25" i="5"/>
  <c r="R35" i="10"/>
  <c r="I35" i="10" s="1"/>
  <c r="R32" i="13"/>
  <c r="I32" i="13" s="1"/>
  <c r="R19" i="12"/>
  <c r="I19" i="12" s="1"/>
  <c r="R28" i="12"/>
  <c r="I28" i="12" s="1"/>
  <c r="R40" i="12"/>
  <c r="I40" i="12" s="1"/>
  <c r="R26" i="7"/>
  <c r="I26" i="7" s="1"/>
  <c r="R25" i="10"/>
  <c r="I25" i="10" s="1"/>
  <c r="R36" i="10"/>
  <c r="I36" i="10" s="1"/>
  <c r="R33" i="11"/>
  <c r="I33" i="11" s="1"/>
  <c r="K25" i="10"/>
  <c r="L25" i="10"/>
  <c r="K27" i="7"/>
  <c r="L27" i="7"/>
  <c r="L21" i="7"/>
  <c r="K21" i="7"/>
  <c r="R25" i="11"/>
  <c r="I25" i="11" s="1"/>
  <c r="R35" i="11"/>
  <c r="I35" i="11" s="1"/>
  <c r="R34" i="5"/>
  <c r="I34" i="5" s="1"/>
  <c r="R30" i="7"/>
  <c r="I30" i="7" s="1"/>
  <c r="R30" i="12"/>
  <c r="I30" i="12" s="1"/>
  <c r="R19" i="13"/>
  <c r="I19" i="13" s="1"/>
  <c r="R35" i="12"/>
  <c r="I35" i="12" s="1"/>
  <c r="R38" i="11"/>
  <c r="I38" i="11" s="1"/>
  <c r="Z8" i="4"/>
  <c r="U16" i="4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AH16" i="4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R16" i="4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V16" i="4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T16" i="4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Q16" i="4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S16" i="4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G12" i="15"/>
  <c r="G13" i="15"/>
  <c r="AG10" i="4"/>
  <c r="G11" i="15"/>
  <c r="G10" i="15"/>
  <c r="E10" i="16"/>
  <c r="F10" i="16" s="1"/>
  <c r="E7" i="16"/>
  <c r="F7" i="16" s="1"/>
  <c r="E6" i="16"/>
  <c r="F6" i="16" s="1"/>
  <c r="W9" i="16"/>
  <c r="AD34" i="4" l="1"/>
  <c r="Z9" i="4"/>
  <c r="E11" i="16"/>
  <c r="F11" i="16" s="1"/>
  <c r="E8" i="16"/>
  <c r="F8" i="16" s="1"/>
  <c r="AG11" i="4"/>
  <c r="E5" i="16"/>
  <c r="F5" i="16" s="1"/>
  <c r="AI6" i="4"/>
  <c r="AI5" i="4"/>
  <c r="W10" i="16"/>
  <c r="AD35" i="4" l="1"/>
  <c r="Z10" i="4"/>
  <c r="AG12" i="4"/>
  <c r="AD36" i="4" l="1"/>
  <c r="Z11" i="4"/>
  <c r="E14" i="16"/>
  <c r="F14" i="16" s="1"/>
  <c r="AG13" i="4"/>
  <c r="AD37" i="4" l="1"/>
  <c r="E18" i="16" s="1"/>
  <c r="F18" i="16" s="1"/>
  <c r="Z12" i="4"/>
  <c r="AG14" i="4"/>
  <c r="AI10" i="4"/>
  <c r="AI9" i="4"/>
  <c r="Z13" i="4" l="1"/>
  <c r="E12" i="16"/>
  <c r="F12" i="16" s="1"/>
  <c r="E9" i="16"/>
  <c r="F9" i="16" s="1"/>
  <c r="AG15" i="4"/>
  <c r="AI8" i="4"/>
  <c r="Z14" i="4" l="1"/>
  <c r="AG16" i="4"/>
  <c r="AI7" i="4"/>
  <c r="Z15" i="4" l="1"/>
  <c r="AG17" i="4"/>
  <c r="AJ12" i="16"/>
  <c r="Z16" i="4" l="1"/>
  <c r="AG18" i="4"/>
  <c r="AJ13" i="16"/>
  <c r="AI12" i="4"/>
  <c r="AI14" i="4"/>
  <c r="AI11" i="4"/>
  <c r="Z17" i="4" l="1"/>
  <c r="AG19" i="4"/>
  <c r="AJ14" i="16"/>
  <c r="AI13" i="4"/>
  <c r="Z18" i="4" l="1"/>
  <c r="AG20" i="4"/>
  <c r="AJ15" i="16"/>
  <c r="AI15" i="4"/>
  <c r="Z19" i="4" l="1"/>
  <c r="AG21" i="4"/>
  <c r="AJ16" i="16"/>
  <c r="Z20" i="4" l="1"/>
  <c r="AG22" i="4"/>
  <c r="AG23" i="4" s="1"/>
  <c r="AJ17" i="16"/>
  <c r="AI16" i="4"/>
  <c r="AG24" i="4" l="1"/>
  <c r="AJ20" i="16" s="1"/>
  <c r="AJ19" i="16"/>
  <c r="Z21" i="4"/>
  <c r="AI12" i="16"/>
  <c r="AJ18" i="16"/>
  <c r="AI17" i="4"/>
  <c r="AI13" i="16" s="1"/>
  <c r="AG25" i="4" l="1"/>
  <c r="AJ21" i="16" s="1"/>
  <c r="Z22" i="4"/>
  <c r="AI18" i="4"/>
  <c r="AI14" i="16" s="1"/>
  <c r="AG26" i="4" l="1"/>
  <c r="Z23" i="4"/>
  <c r="AI19" i="4"/>
  <c r="AJ22" i="16" l="1"/>
  <c r="AJ5" i="16"/>
  <c r="AG27" i="4"/>
  <c r="Z24" i="4"/>
  <c r="AI15" i="16"/>
  <c r="AI20" i="4"/>
  <c r="AI16" i="16" s="1"/>
  <c r="AG28" i="4" l="1"/>
  <c r="AJ7" i="16" s="1"/>
  <c r="AJ6" i="16"/>
  <c r="AJ23" i="16"/>
  <c r="Z25" i="4"/>
  <c r="AI21" i="4"/>
  <c r="AG29" i="4" l="1"/>
  <c r="AJ8" i="16" s="1"/>
  <c r="AJ24" i="16"/>
  <c r="Z26" i="4"/>
  <c r="AI17" i="16"/>
  <c r="AI22" i="4"/>
  <c r="AG30" i="4" l="1"/>
  <c r="AJ9" i="16" s="1"/>
  <c r="AJ25" i="16"/>
  <c r="Z27" i="4"/>
  <c r="AI18" i="16"/>
  <c r="AI23" i="4"/>
  <c r="AI19" i="16" s="1"/>
  <c r="AF26" i="4"/>
  <c r="AF24" i="4"/>
  <c r="AF25" i="4"/>
  <c r="AJ26" i="16" l="1"/>
  <c r="AG31" i="4"/>
  <c r="AJ10" i="16" s="1"/>
  <c r="Z28" i="4"/>
  <c r="AI26" i="4"/>
  <c r="AI22" i="16" s="1"/>
  <c r="AI24" i="4"/>
  <c r="AI25" i="4"/>
  <c r="AI21" i="16" s="1"/>
  <c r="AF27" i="4"/>
  <c r="AJ27" i="16" l="1"/>
  <c r="AG32" i="4"/>
  <c r="AI20" i="16"/>
  <c r="Z29" i="4"/>
  <c r="AI27" i="4"/>
  <c r="AI23" i="16" s="1"/>
  <c r="AJ11" i="16" l="1"/>
  <c r="AG33" i="4"/>
  <c r="AJ29" i="16" s="1"/>
  <c r="AJ28" i="16"/>
  <c r="Z30" i="4"/>
  <c r="AF28" i="4"/>
  <c r="AG34" i="4" l="1"/>
  <c r="AJ30" i="16" s="1"/>
  <c r="Z31" i="4"/>
  <c r="AI28" i="4"/>
  <c r="AF29" i="4"/>
  <c r="AG35" i="4" l="1"/>
  <c r="AI24" i="16"/>
  <c r="E17" i="16"/>
  <c r="F17" i="16" s="1"/>
  <c r="E15" i="16"/>
  <c r="F15" i="16" s="1"/>
  <c r="Z32" i="4"/>
  <c r="E16" i="16"/>
  <c r="F16" i="16" s="1"/>
  <c r="AI29" i="4"/>
  <c r="AF30" i="4"/>
  <c r="AI25" i="16" l="1"/>
  <c r="AG36" i="4"/>
  <c r="AJ31" i="16"/>
  <c r="Z33" i="4"/>
  <c r="AI30" i="4"/>
  <c r="AF31" i="4"/>
  <c r="AI26" i="16" l="1"/>
  <c r="AG37" i="4"/>
  <c r="F6" i="15" s="1"/>
  <c r="Z34" i="4"/>
  <c r="AI31" i="4"/>
  <c r="AF32" i="4"/>
  <c r="AI27" i="16" l="1"/>
  <c r="G6" i="15"/>
  <c r="Z35" i="4"/>
  <c r="AI32" i="4"/>
  <c r="Z36" i="4" l="1"/>
  <c r="AI28" i="16"/>
  <c r="AF33" i="4"/>
  <c r="Z37" i="4" l="1"/>
  <c r="E13" i="16" s="1"/>
  <c r="F13" i="16" s="1"/>
  <c r="AI33" i="4"/>
  <c r="AF34" i="4"/>
  <c r="AI29" i="16" l="1"/>
  <c r="C12" i="15"/>
  <c r="C11" i="15"/>
  <c r="F20" i="16"/>
  <c r="D12" i="15" s="1"/>
  <c r="C10" i="15"/>
  <c r="AI34" i="4"/>
  <c r="AF35" i="4"/>
  <c r="AI7" i="16" l="1"/>
  <c r="AI30" i="16"/>
  <c r="D10" i="15"/>
  <c r="D11" i="15"/>
  <c r="AI35" i="4"/>
  <c r="AF36" i="4"/>
  <c r="AI31" i="16" l="1"/>
  <c r="AI8" i="16"/>
  <c r="AI36" i="4"/>
  <c r="AF37" i="4"/>
  <c r="AI5" i="16" l="1"/>
  <c r="AI9" i="16"/>
  <c r="AI37" i="4"/>
  <c r="AI10" i="16" l="1"/>
  <c r="AI11" i="16"/>
  <c r="G5" i="15"/>
  <c r="AI6" i="16"/>
  <c r="F5" i="15"/>
</calcChain>
</file>

<file path=xl/sharedStrings.xml><?xml version="1.0" encoding="utf-8"?>
<sst xmlns="http://schemas.openxmlformats.org/spreadsheetml/2006/main" count="930" uniqueCount="347">
  <si>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</si>
  <si>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</si>
  <si>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</si>
  <si>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</si>
  <si>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</si>
  <si>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</si>
  <si>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</si>
  <si>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</si>
  <si>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</si>
  <si>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</si>
  <si>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</si>
  <si>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</si>
  <si>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</si>
  <si>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</si>
  <si>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</si>
  <si>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</si>
  <si>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</si>
  <si>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</si>
  <si>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</si>
  <si>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</si>
  <si>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</si>
  <si>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</si>
  <si>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</si>
  <si>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</si>
  <si>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</si>
  <si>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</si>
  <si>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</si>
  <si>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</si>
  <si>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</si>
  <si>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</si>
  <si>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</si>
  <si>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</si>
  <si>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</si>
  <si>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</si>
  <si>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</si>
  <si>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</si>
  <si>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</si>
  <si>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</si>
  <si>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</si>
  <si>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</si>
  <si>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</si>
  <si>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</si>
  <si>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</si>
  <si>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</si>
  <si>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</si>
  <si>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</si>
  <si>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</si>
  <si>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</si>
  <si>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</si>
  <si>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</si>
  <si>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</si>
  <si>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</si>
  <si>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</si>
  <si>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</si>
  <si>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</si>
  <si>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</si>
  <si>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</si>
  <si>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</si>
  <si>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</si>
  <si>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</si>
  <si>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</si>
  <si>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</si>
  <si>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</si>
  <si>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</si>
  <si>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</si>
  <si>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</si>
  <si>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</si>
  <si>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</si>
  <si>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</si>
  <si>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</si>
  <si>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</si>
  <si>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</si>
  <si>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</si>
  <si>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</si>
  <si>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</si>
  <si>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</si>
  <si>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</si>
  <si>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</si>
  <si>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</si>
  <si>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</si>
  <si>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</si>
  <si>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</si>
  <si>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</si>
  <si>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</si>
  <si>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</si>
  <si>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</si>
  <si>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</si>
  <si>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</si>
  <si>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</si>
  <si>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</si>
  <si>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</si>
  <si>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</si>
  <si>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</si>
  <si>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</si>
  <si>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</si>
  <si>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</si>
  <si>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</si>
  <si>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</si>
  <si>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</si>
  <si>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</si>
  <si>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</si>
  <si>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</si>
  <si>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</si>
  <si>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</si>
  <si>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</si>
  <si>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</si>
  <si>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</si>
  <si>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</si>
  <si>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</si>
  <si>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</si>
  <si>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</si>
  <si>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</si>
  <si>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</si>
  <si>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</si>
  <si>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</si>
  <si>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</si>
  <si>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</si>
  <si>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</si>
  <si>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</si>
  <si>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</si>
  <si>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</si>
  <si>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</si>
  <si>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</si>
  <si>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</si>
  <si>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</si>
  <si>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</si>
  <si>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</si>
  <si>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</si>
  <si>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</si>
  <si>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</si>
  <si>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</si>
  <si>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</si>
  <si>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</si>
  <si>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</si>
  <si>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</si>
  <si>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</si>
  <si>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</si>
  <si>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</si>
  <si>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</si>
  <si>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</si>
  <si>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</si>
  <si>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</si>
  <si>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</si>
  <si>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</si>
  <si>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</si>
  <si>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</si>
  <si>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</si>
  <si>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</si>
  <si>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</si>
  <si>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</si>
  <si>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</si>
  <si>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</si>
  <si>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</si>
  <si>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</si>
  <si>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</si>
  <si>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</si>
  <si>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</si>
  <si>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</si>
  <si>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</si>
  <si>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</si>
  <si>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</si>
  <si>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</si>
  <si>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</si>
  <si>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</si>
  <si>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</si>
  <si>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</si>
  <si>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</si>
  <si>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</si>
  <si>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</si>
  <si>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</si>
  <si>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</si>
  <si>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</si>
  <si>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</si>
  <si>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</si>
  <si>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</si>
  <si>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</si>
  <si>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</si>
  <si>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</si>
  <si>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</si>
  <si>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</si>
  <si>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</si>
  <si>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</si>
  <si>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</si>
  <si>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</si>
  <si>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</si>
  <si>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</si>
  <si>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</si>
  <si>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</si>
  <si>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</si>
  <si>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</si>
  <si>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</si>
  <si>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</si>
  <si>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</si>
  <si>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</si>
  <si>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</si>
  <si>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</si>
  <si>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</si>
  <si>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</si>
  <si>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</si>
  <si>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</si>
  <si>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</si>
  <si>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</si>
  <si>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</si>
  <si>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</si>
  <si>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</si>
  <si>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</si>
  <si>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</si>
  <si>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</si>
  <si>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</si>
  <si>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</si>
  <si>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</si>
  <si>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</si>
  <si>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</si>
  <si>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</si>
  <si>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</si>
  <si>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</si>
  <si>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</si>
  <si>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</si>
  <si>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</si>
  <si>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</si>
  <si>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</si>
  <si>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</si>
  <si>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</si>
  <si>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</si>
  <si>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</si>
  <si>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</si>
  <si>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</si>
  <si>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</si>
  <si>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</si>
  <si>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</si>
  <si>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</si>
  <si>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</si>
  <si>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</si>
  <si>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</si>
  <si>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</si>
  <si>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</si>
  <si>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</si>
  <si>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</si>
  <si>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</si>
  <si>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</si>
  <si>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</si>
  <si>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</si>
  <si>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</si>
  <si>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</si>
  <si>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</si>
  <si>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</si>
  <si>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</si>
  <si>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</si>
  <si>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</si>
  <si>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</si>
  <si>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</si>
  <si>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</si>
  <si>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</si>
  <si>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</si>
  <si>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</si>
  <si>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</si>
  <si>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</si>
  <si>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</si>
  <si>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</si>
  <si>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</si>
  <si>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</si>
  <si>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</si>
  <si>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</si>
  <si>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</si>
  <si>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</si>
  <si>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</si>
  <si>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</si>
  <si>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</si>
  <si>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</si>
  <si>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</si>
  <si>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</si>
  <si>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</si>
  <si>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</si>
  <si>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</si>
  <si>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</si>
  <si>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</si>
  <si>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</si>
  <si>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</si>
  <si>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</si>
  <si>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</si>
  <si>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</si>
  <si>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</si>
  <si>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</si>
  <si>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</si>
  <si>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</si>
  <si>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</si>
  <si>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</si>
  <si>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</si>
  <si>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</si>
  <si>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</si>
  <si>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</si>
  <si>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</si>
  <si>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</si>
  <si>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</si>
  <si>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</si>
  <si>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</si>
  <si>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</si>
  <si>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</si>
  <si>
    <t>9/24/20 12:20p</t>
  </si>
  <si>
    <t>9/28/20 10:13a</t>
  </si>
  <si>
    <t>9/28/20 10:35a</t>
  </si>
  <si>
    <t>STEP 1</t>
  </si>
  <si>
    <t>Right-click and format control</t>
  </si>
  <si>
    <t>Change maximum value to be [# of rows in position table]-6</t>
  </si>
  <si>
    <t>For example, as # of rows = 18 -&gt; Maximum value = 18-6 = 12</t>
  </si>
  <si>
    <t>If there are new stocks that need to be included, make sure to do the following:</t>
  </si>
  <si>
    <t>1. Construct a new sheet called XXX (name of stock), and make the new table called tbl_XXX</t>
  </si>
  <si>
    <t>2. Insert new row in lookup (symbol) with stock XXX</t>
  </si>
  <si>
    <t>3. In position table, insert two columns, corresponding to the price and # of shares.</t>
  </si>
  <si>
    <t xml:space="preserve">    If inserted correctly, the calculation in last columns will work.</t>
  </si>
  <si>
    <t>4. Insert new stock in dashboard_backend sheet (table 1: stock holding)</t>
  </si>
  <si>
    <t>10/7/20 12:34p</t>
  </si>
  <si>
    <t>AMD</t>
  </si>
  <si>
    <t>10/7/20 12:50p</t>
  </si>
  <si>
    <t>10/7/20 12:51p</t>
  </si>
  <si>
    <t>10/9/20 12:50p</t>
  </si>
  <si>
    <t>10/9/20 12:51p</t>
  </si>
  <si>
    <t>Price_AMD</t>
  </si>
  <si>
    <t>Shares_AMD</t>
  </si>
  <si>
    <t>AMD Data</t>
  </si>
  <si>
    <t>CVX Data</t>
  </si>
  <si>
    <t>CVX</t>
  </si>
  <si>
    <t>Price_CVX</t>
  </si>
  <si>
    <t>Shares_CVX</t>
  </si>
  <si>
    <t>10/12/20 2:46p</t>
  </si>
  <si>
    <t>10/12/20 3:12p</t>
  </si>
  <si>
    <t>10/12/20 3:13p</t>
  </si>
  <si>
    <t>10/12/20 3:15p</t>
  </si>
  <si>
    <t>QCOM</t>
  </si>
  <si>
    <t>QCOM Data</t>
  </si>
  <si>
    <t>Price_QCOM</t>
  </si>
  <si>
    <t>Shares_QCOM</t>
  </si>
  <si>
    <t>10/13/20 1:49p</t>
  </si>
  <si>
    <t>F Data</t>
  </si>
  <si>
    <t>F</t>
  </si>
  <si>
    <t>Price_F</t>
  </si>
  <si>
    <t>Shares_F</t>
  </si>
  <si>
    <t>10/13/20 2:52p</t>
  </si>
  <si>
    <t>10/19/20 11:04a</t>
  </si>
  <si>
    <t>10/19/20 11:05a</t>
  </si>
  <si>
    <t>10/21/20 10:17a</t>
  </si>
  <si>
    <t>LTHM</t>
  </si>
  <si>
    <t>Price_LTHM</t>
  </si>
  <si>
    <t>Shares_LTHM</t>
  </si>
  <si>
    <t>10/21/20 10:19a</t>
  </si>
  <si>
    <t>10/21/20 10:25a</t>
  </si>
  <si>
    <t>10/23/20 12:44p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</si>
</sst>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  <xf numFmtId="44" fontId="37" fillId="0" borderId="0" xfId="1" applyNumberFormat="1" applyFont="1"/>
    <xf numFmtId="0" fontId="0" fillId="6" borderId="0" xfId="0" applyFill="1"/>
    <xf numFmtId="44" fontId="38" fillId="0" borderId="0" xfId="1" applyNumberFormat="1" applyFont="1"/>
    <xf numFmtId="0" fontId="0" fillId="7" borderId="0" xfId="0" applyFill="1"/>
    <xf numFmtId="0" fontId="0" fillId="8" borderId="0" xfId="0" applyFill="1"/>
    <xf numFmtId="0" fontId="0" fillId="9" borderId="0" xfId="0" applyFill="1"/>
    <xf numFmtId="1" fontId="39" fillId="0" borderId="0" xfId="0" applyNumberFormat="1" applyFont="1"/>
    <xf numFmtId="14" fontId="39" fillId="0" borderId="0" xfId="0" applyNumberFormat="1" applyFont="1"/>
    <xf numFmtId="167" fontId="39" fillId="0" borderId="0" xfId="1" applyNumberFormat="1" applyFont="1"/>
    <xf numFmtId="0" fontId="39" fillId="0" borderId="0" xfId="0" applyFont="1"/>
    <xf numFmtId="0" fontId="0" fillId="10" borderId="0" xfId="0" applyFill="1"/>
    <xf numFmtId="44" fontId="40" fillId="0" borderId="0" xfId="1" applyNumberFormat="1" applyFont="1"/>
  </cellXfs>
  <cellStyles count="2">
    <cellStyle name="Currency" xfId="1" builtinId="4"/>
    <cellStyle name="Normal" xfId="0" builtinId="0"/>
  </cellStyles>
  <dxfs count="3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8866.7000000000007</c:v>
                </c:pt>
                <c:pt idx="1">
                  <c:v>9164.5</c:v>
                </c:pt>
                <c:pt idx="2">
                  <c:v>3970.5</c:v>
                </c:pt>
                <c:pt idx="3">
                  <c:v>5892.4</c:v>
                </c:pt>
                <c:pt idx="4">
                  <c:v>3014.9</c:v>
                </c:pt>
                <c:pt idx="5">
                  <c:v>2198.1999999999998</c:v>
                </c:pt>
                <c:pt idx="6">
                  <c:v>1741.2</c:v>
                </c:pt>
                <c:pt idx="7">
                  <c:v>3561.9</c:v>
                </c:pt>
                <c:pt idx="8">
                  <c:v>3203.9</c:v>
                </c:pt>
                <c:pt idx="9">
                  <c:v>3633</c:v>
                </c:pt>
                <c:pt idx="10">
                  <c:v>4132.5</c:v>
                </c:pt>
                <c:pt idx="11">
                  <c:v>2844.3</c:v>
                </c:pt>
                <c:pt idx="12">
                  <c:v>1905.7</c:v>
                </c:pt>
                <c:pt idx="13">
                  <c:v>2076.3000000000002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27432"/>
        <c:axId val="365425864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10/07</c:v>
                </c:pt>
                <c:pt idx="1">
                  <c:v>10/08</c:v>
                </c:pt>
                <c:pt idx="2">
                  <c:v>10/09</c:v>
                </c:pt>
                <c:pt idx="3">
                  <c:v>10/12</c:v>
                </c:pt>
                <c:pt idx="4">
                  <c:v>10/13</c:v>
                </c:pt>
                <c:pt idx="5">
                  <c:v>10/14</c:v>
                </c:pt>
                <c:pt idx="6">
                  <c:v>10/15</c:v>
                </c:pt>
                <c:pt idx="7">
                  <c:v>10/16</c:v>
                </c:pt>
                <c:pt idx="8">
                  <c:v>10/19</c:v>
                </c:pt>
                <c:pt idx="9">
                  <c:v>10/20</c:v>
                </c:pt>
                <c:pt idx="10">
                  <c:v>10/21</c:v>
                </c:pt>
                <c:pt idx="11">
                  <c:v>10/22</c:v>
                </c:pt>
                <c:pt idx="12">
                  <c:v>10/23</c:v>
                </c:pt>
                <c:pt idx="13">
                  <c:v>10/26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11.97</c:v>
                </c:pt>
                <c:pt idx="1">
                  <c:v>11.72</c:v>
                </c:pt>
                <c:pt idx="2">
                  <c:v>11.43</c:v>
                </c:pt>
                <c:pt idx="3">
                  <c:v>11.07</c:v>
                </c:pt>
                <c:pt idx="4">
                  <c:v>11.01</c:v>
                </c:pt>
                <c:pt idx="5">
                  <c:v>11</c:v>
                </c:pt>
                <c:pt idx="6">
                  <c:v>10.97</c:v>
                </c:pt>
                <c:pt idx="7">
                  <c:v>10.210000000000001</c:v>
                </c:pt>
                <c:pt idx="8">
                  <c:v>10.15</c:v>
                </c:pt>
                <c:pt idx="9">
                  <c:v>10.39</c:v>
                </c:pt>
                <c:pt idx="10">
                  <c:v>10.97</c:v>
                </c:pt>
                <c:pt idx="11">
                  <c:v>10.6</c:v>
                </c:pt>
                <c:pt idx="12">
                  <c:v>10.79</c:v>
                </c:pt>
                <c:pt idx="13">
                  <c:v>10.62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28608"/>
        <c:axId val="365431352"/>
      </c:lineChart>
      <c:catAx>
        <c:axId val="3654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1352"/>
        <c:crosses val="autoZero"/>
        <c:auto val="1"/>
        <c:lblAlgn val="ctr"/>
        <c:lblOffset val="100"/>
        <c:noMultiLvlLbl val="0"/>
      </c:catAx>
      <c:valAx>
        <c:axId val="3654313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8608"/>
        <c:crosses val="autoZero"/>
        <c:crossBetween val="between"/>
      </c:valAx>
      <c:valAx>
        <c:axId val="365425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7432"/>
        <c:crosses val="max"/>
        <c:crossBetween val="between"/>
      </c:valAx>
      <c:catAx>
        <c:axId val="365427432"/>
        <c:scaling>
          <c:orientation val="minMax"/>
        </c:scaling>
        <c:delete val="1"/>
        <c:axPos val="b"/>
        <c:majorTickMark val="out"/>
        <c:minorTickMark val="none"/>
        <c:tickLblPos val="nextTo"/>
        <c:crossAx val="36542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10/07</c:v>
                </c:pt>
                <c:pt idx="1">
                  <c:v>10/08</c:v>
                </c:pt>
                <c:pt idx="2">
                  <c:v>10/09</c:v>
                </c:pt>
                <c:pt idx="3">
                  <c:v>10/12</c:v>
                </c:pt>
                <c:pt idx="4">
                  <c:v>10/13</c:v>
                </c:pt>
                <c:pt idx="5">
                  <c:v>10/14</c:v>
                </c:pt>
                <c:pt idx="6">
                  <c:v>10/15</c:v>
                </c:pt>
                <c:pt idx="7">
                  <c:v>10/16</c:v>
                </c:pt>
                <c:pt idx="8">
                  <c:v>10/19</c:v>
                </c:pt>
                <c:pt idx="9">
                  <c:v>10/20</c:v>
                </c:pt>
                <c:pt idx="10">
                  <c:v>10/21</c:v>
                </c:pt>
                <c:pt idx="11">
                  <c:v>10/22</c:v>
                </c:pt>
                <c:pt idx="12">
                  <c:v>10/23</c:v>
                </c:pt>
                <c:pt idx="13">
                  <c:v>10/26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11.97</c:v>
                </c:pt>
                <c:pt idx="1">
                  <c:v>11.72</c:v>
                </c:pt>
                <c:pt idx="2">
                  <c:v>11.43</c:v>
                </c:pt>
                <c:pt idx="3">
                  <c:v>11.07</c:v>
                </c:pt>
                <c:pt idx="4">
                  <c:v>11.01</c:v>
                </c:pt>
                <c:pt idx="5">
                  <c:v>11</c:v>
                </c:pt>
                <c:pt idx="6">
                  <c:v>10.97</c:v>
                </c:pt>
                <c:pt idx="7">
                  <c:v>10.210000000000001</c:v>
                </c:pt>
                <c:pt idx="8">
                  <c:v>10.15</c:v>
                </c:pt>
                <c:pt idx="9">
                  <c:v>10.39</c:v>
                </c:pt>
                <c:pt idx="10">
                  <c:v>10.97</c:v>
                </c:pt>
                <c:pt idx="11">
                  <c:v>10.6</c:v>
                </c:pt>
                <c:pt idx="12">
                  <c:v>10.79</c:v>
                </c:pt>
                <c:pt idx="13">
                  <c:v>10.62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10/07</c:v>
                </c:pt>
                <c:pt idx="1">
                  <c:v>10/08</c:v>
                </c:pt>
                <c:pt idx="2">
                  <c:v>10/09</c:v>
                </c:pt>
                <c:pt idx="3">
                  <c:v>10/12</c:v>
                </c:pt>
                <c:pt idx="4">
                  <c:v>10/13</c:v>
                </c:pt>
                <c:pt idx="5">
                  <c:v>10/14</c:v>
                </c:pt>
                <c:pt idx="6">
                  <c:v>10/15</c:v>
                </c:pt>
                <c:pt idx="7">
                  <c:v>10/16</c:v>
                </c:pt>
                <c:pt idx="8">
                  <c:v>10/19</c:v>
                </c:pt>
                <c:pt idx="9">
                  <c:v>10/20</c:v>
                </c:pt>
                <c:pt idx="10">
                  <c:v>10/21</c:v>
                </c:pt>
                <c:pt idx="11">
                  <c:v>10/22</c:v>
                </c:pt>
                <c:pt idx="12">
                  <c:v>10/23</c:v>
                </c:pt>
                <c:pt idx="13">
                  <c:v>10/26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9.4317367135789087</c:v>
                </c:pt>
                <c:pt idx="1">
                  <c:v>9.6605630422210176</c:v>
                </c:pt>
                <c:pt idx="2">
                  <c:v>9.8375067379989147</c:v>
                </c:pt>
                <c:pt idx="3">
                  <c:v>9.9607560641990229</c:v>
                </c:pt>
                <c:pt idx="4">
                  <c:v>10.06568045777912</c:v>
                </c:pt>
                <c:pt idx="5">
                  <c:v>10.159112412001209</c:v>
                </c:pt>
                <c:pt idx="6">
                  <c:v>10.240201170801088</c:v>
                </c:pt>
                <c:pt idx="7">
                  <c:v>10.237181053720978</c:v>
                </c:pt>
                <c:pt idx="8">
                  <c:v>10.228462948348881</c:v>
                </c:pt>
                <c:pt idx="9">
                  <c:v>10.244616653513992</c:v>
                </c:pt>
                <c:pt idx="10">
                  <c:v>10.317154988162592</c:v>
                </c:pt>
                <c:pt idx="11">
                  <c:v>10.345439489346333</c:v>
                </c:pt>
                <c:pt idx="12">
                  <c:v>10.3898955404117</c:v>
                </c:pt>
                <c:pt idx="13">
                  <c:v>10.41290598637053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7824"/>
        <c:axId val="365426648"/>
      </c:lineChart>
      <c:catAx>
        <c:axId val="3654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6648"/>
        <c:crosses val="autoZero"/>
        <c:auto val="1"/>
        <c:lblAlgn val="ctr"/>
        <c:lblOffset val="100"/>
        <c:noMultiLvlLbl val="0"/>
      </c:catAx>
      <c:valAx>
        <c:axId val="36542664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10/07</c:v>
                </c:pt>
                <c:pt idx="1">
                  <c:v>10/08</c:v>
                </c:pt>
                <c:pt idx="2">
                  <c:v>10/09</c:v>
                </c:pt>
                <c:pt idx="3">
                  <c:v>10/12</c:v>
                </c:pt>
                <c:pt idx="4">
                  <c:v>10/13</c:v>
                </c:pt>
                <c:pt idx="5">
                  <c:v>10/14</c:v>
                </c:pt>
                <c:pt idx="6">
                  <c:v>10/15</c:v>
                </c:pt>
                <c:pt idx="7">
                  <c:v>10/16</c:v>
                </c:pt>
                <c:pt idx="8">
                  <c:v>10/19</c:v>
                </c:pt>
                <c:pt idx="9">
                  <c:v>10/20</c:v>
                </c:pt>
                <c:pt idx="10">
                  <c:v>10/21</c:v>
                </c:pt>
                <c:pt idx="11">
                  <c:v>10/22</c:v>
                </c:pt>
                <c:pt idx="12">
                  <c:v>10/23</c:v>
                </c:pt>
                <c:pt idx="13">
                  <c:v>10/26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74.193548387096783</c:v>
                </c:pt>
                <c:pt idx="1">
                  <c:v>70.957613814756684</c:v>
                </c:pt>
                <c:pt idx="2">
                  <c:v>75.459098497495816</c:v>
                </c:pt>
                <c:pt idx="3">
                  <c:v>71.860095389507165</c:v>
                </c:pt>
                <c:pt idx="4">
                  <c:v>80.714285714285708</c:v>
                </c:pt>
                <c:pt idx="5">
                  <c:v>80.109489051094897</c:v>
                </c:pt>
                <c:pt idx="6">
                  <c:v>78.986866791744859</c:v>
                </c:pt>
                <c:pt idx="7">
                  <c:v>66.126126126126138</c:v>
                </c:pt>
                <c:pt idx="8">
                  <c:v>60.728744939271259</c:v>
                </c:pt>
                <c:pt idx="9">
                  <c:v>64.031620553359687</c:v>
                </c:pt>
                <c:pt idx="10">
                  <c:v>67.383512544802869</c:v>
                </c:pt>
                <c:pt idx="11">
                  <c:v>59.594095940959392</c:v>
                </c:pt>
                <c:pt idx="12">
                  <c:v>43.55670103092784</c:v>
                </c:pt>
                <c:pt idx="13">
                  <c:v>39.795918367346943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8216"/>
        <c:axId val="365430960"/>
      </c:lineChart>
      <c:catAx>
        <c:axId val="3654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30960"/>
        <c:crosses val="autoZero"/>
        <c:auto val="1"/>
        <c:lblAlgn val="ctr"/>
        <c:lblOffset val="100"/>
        <c:noMultiLvlLbl val="0"/>
      </c:catAx>
      <c:valAx>
        <c:axId val="3654309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10/07</c:v>
                </c:pt>
                <c:pt idx="1">
                  <c:v>10/08</c:v>
                </c:pt>
                <c:pt idx="2">
                  <c:v>10/09</c:v>
                </c:pt>
                <c:pt idx="3">
                  <c:v>10/12</c:v>
                </c:pt>
                <c:pt idx="4">
                  <c:v>10/13</c:v>
                </c:pt>
                <c:pt idx="5">
                  <c:v>10/14</c:v>
                </c:pt>
                <c:pt idx="6">
                  <c:v>10/15</c:v>
                </c:pt>
                <c:pt idx="7">
                  <c:v>10/16</c:v>
                </c:pt>
                <c:pt idx="8">
                  <c:v>10/19</c:v>
                </c:pt>
                <c:pt idx="9">
                  <c:v>10/20</c:v>
                </c:pt>
                <c:pt idx="10">
                  <c:v>10/21</c:v>
                </c:pt>
                <c:pt idx="11">
                  <c:v>10/22</c:v>
                </c:pt>
                <c:pt idx="12">
                  <c:v>10/23</c:v>
                </c:pt>
                <c:pt idx="13">
                  <c:v>10/26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9.1892857142857167</c:v>
                </c:pt>
                <c:pt idx="1">
                  <c:v>9.3800000000000008</c:v>
                </c:pt>
                <c:pt idx="2">
                  <c:v>9.5978571428571424</c:v>
                </c:pt>
                <c:pt idx="3">
                  <c:v>9.7942857142857118</c:v>
                </c:pt>
                <c:pt idx="4">
                  <c:v>10.039999999999997</c:v>
                </c:pt>
                <c:pt idx="5">
                  <c:v>10.275714285714285</c:v>
                </c:pt>
                <c:pt idx="6">
                  <c:v>10.496428571428572</c:v>
                </c:pt>
                <c:pt idx="7">
                  <c:v>10.624285714285717</c:v>
                </c:pt>
                <c:pt idx="8">
                  <c:v>10.700000000000003</c:v>
                </c:pt>
                <c:pt idx="9">
                  <c:v>10.80142857142857</c:v>
                </c:pt>
                <c:pt idx="10">
                  <c:v>10.94</c:v>
                </c:pt>
                <c:pt idx="11">
                  <c:v>11.014285714285714</c:v>
                </c:pt>
                <c:pt idx="12">
                  <c:v>10.97857142857143</c:v>
                </c:pt>
                <c:pt idx="13">
                  <c:v>10.921428571428573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10/07</c:v>
                </c:pt>
                <c:pt idx="1">
                  <c:v>10/08</c:v>
                </c:pt>
                <c:pt idx="2">
                  <c:v>10/09</c:v>
                </c:pt>
                <c:pt idx="3">
                  <c:v>10/12</c:v>
                </c:pt>
                <c:pt idx="4">
                  <c:v>10/13</c:v>
                </c:pt>
                <c:pt idx="5">
                  <c:v>10/14</c:v>
                </c:pt>
                <c:pt idx="6">
                  <c:v>10/15</c:v>
                </c:pt>
                <c:pt idx="7">
                  <c:v>10/16</c:v>
                </c:pt>
                <c:pt idx="8">
                  <c:v>10/19</c:v>
                </c:pt>
                <c:pt idx="9">
                  <c:v>10/20</c:v>
                </c:pt>
                <c:pt idx="10">
                  <c:v>10/21</c:v>
                </c:pt>
                <c:pt idx="11">
                  <c:v>10/22</c:v>
                </c:pt>
                <c:pt idx="12">
                  <c:v>10/23</c:v>
                </c:pt>
                <c:pt idx="13">
                  <c:v>10/26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12.013265059227745</c:v>
                </c:pt>
                <c:pt idx="1">
                  <c:v>12.507751711570254</c:v>
                </c:pt>
                <c:pt idx="2">
                  <c:v>12.848051727057419</c:v>
                </c:pt>
                <c:pt idx="3">
                  <c:v>13.044201351398755</c:v>
                </c:pt>
                <c:pt idx="4">
                  <c:v>13.078805433313997</c:v>
                </c:pt>
                <c:pt idx="5">
                  <c:v>13.031393336867952</c:v>
                </c:pt>
                <c:pt idx="6">
                  <c:v>12.89773087377467</c:v>
                </c:pt>
                <c:pt idx="7">
                  <c:v>12.720578622264933</c:v>
                </c:pt>
                <c:pt idx="8">
                  <c:v>12.627341732502611</c:v>
                </c:pt>
                <c:pt idx="9">
                  <c:v>12.468463842023224</c:v>
                </c:pt>
                <c:pt idx="10">
                  <c:v>12.258903973876677</c:v>
                </c:pt>
                <c:pt idx="11">
                  <c:v>12.09379313146091</c:v>
                </c:pt>
                <c:pt idx="12">
                  <c:v>12.051851294370501</c:v>
                </c:pt>
                <c:pt idx="13">
                  <c:v>11.97853222380526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10/07</c:v>
                </c:pt>
                <c:pt idx="1">
                  <c:v>10/08</c:v>
                </c:pt>
                <c:pt idx="2">
                  <c:v>10/09</c:v>
                </c:pt>
                <c:pt idx="3">
                  <c:v>10/12</c:v>
                </c:pt>
                <c:pt idx="4">
                  <c:v>10/13</c:v>
                </c:pt>
                <c:pt idx="5">
                  <c:v>10/14</c:v>
                </c:pt>
                <c:pt idx="6">
                  <c:v>10/15</c:v>
                </c:pt>
                <c:pt idx="7">
                  <c:v>10/16</c:v>
                </c:pt>
                <c:pt idx="8">
                  <c:v>10/19</c:v>
                </c:pt>
                <c:pt idx="9">
                  <c:v>10/20</c:v>
                </c:pt>
                <c:pt idx="10">
                  <c:v>10/21</c:v>
                </c:pt>
                <c:pt idx="11">
                  <c:v>10/22</c:v>
                </c:pt>
                <c:pt idx="12">
                  <c:v>10/23</c:v>
                </c:pt>
                <c:pt idx="13">
                  <c:v>10/26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6.3653063693436884</c:v>
                </c:pt>
                <c:pt idx="1">
                  <c:v>6.2522482884297483</c:v>
                </c:pt>
                <c:pt idx="2">
                  <c:v>6.3476625586568662</c:v>
                </c:pt>
                <c:pt idx="3">
                  <c:v>6.5443700771726698</c:v>
                </c:pt>
                <c:pt idx="4">
                  <c:v>7.0011945666859976</c:v>
                </c:pt>
                <c:pt idx="5">
                  <c:v>7.5200352345606181</c:v>
                </c:pt>
                <c:pt idx="6">
                  <c:v>8.0951262690824741</c:v>
                </c:pt>
                <c:pt idx="7">
                  <c:v>8.5279928063065018</c:v>
                </c:pt>
                <c:pt idx="8">
                  <c:v>8.7726582674973947</c:v>
                </c:pt>
                <c:pt idx="9">
                  <c:v>9.1343933008339153</c:v>
                </c:pt>
                <c:pt idx="10">
                  <c:v>9.6210960261233218</c:v>
                </c:pt>
                <c:pt idx="11">
                  <c:v>9.934778297110519</c:v>
                </c:pt>
                <c:pt idx="12">
                  <c:v>9.9052915627723586</c:v>
                </c:pt>
                <c:pt idx="13">
                  <c:v>9.8643249190518851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24688"/>
        <c:axId val="365425080"/>
      </c:lineChart>
      <c:catAx>
        <c:axId val="3654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5080"/>
        <c:crosses val="autoZero"/>
        <c:auto val="1"/>
        <c:lblAlgn val="ctr"/>
        <c:lblOffset val="100"/>
        <c:noMultiLvlLbl val="0"/>
      </c:catAx>
      <c:valAx>
        <c:axId val="36542508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4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10/16</c:v>
                </c:pt>
                <c:pt idx="1">
                  <c:v>10/19</c:v>
                </c:pt>
                <c:pt idx="2">
                  <c:v>10/20</c:v>
                </c:pt>
                <c:pt idx="3">
                  <c:v>10/21</c:v>
                </c:pt>
                <c:pt idx="4">
                  <c:v>10/22</c:v>
                </c:pt>
                <c:pt idx="5">
                  <c:v>10/23</c:v>
                </c:pt>
                <c:pt idx="6">
                  <c:v>10/26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24282.709999999992</c:v>
                </c:pt>
                <c:pt idx="1">
                  <c:v>26991.709999999992</c:v>
                </c:pt>
                <c:pt idx="2">
                  <c:v>26991.709999999992</c:v>
                </c:pt>
                <c:pt idx="3">
                  <c:v>10525.979999999992</c:v>
                </c:pt>
                <c:pt idx="4">
                  <c:v>10525.979999999992</c:v>
                </c:pt>
                <c:pt idx="5">
                  <c:v>15421.979999999992</c:v>
                </c:pt>
                <c:pt idx="6">
                  <c:v>15421.979999999992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426256"/>
        <c:axId val="367550944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10/16</c:v>
                </c:pt>
                <c:pt idx="1">
                  <c:v>10/19</c:v>
                </c:pt>
                <c:pt idx="2">
                  <c:v>10/20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103720.199549</c:v>
                </c:pt>
                <c:pt idx="1">
                  <c:v>102875.58979899999</c:v>
                </c:pt>
                <c:pt idx="2">
                  <c:v>102475.49</c:v>
                </c:pt>
                <c:pt idx="3">
                  <c:v>101644.92</c:v>
                </c:pt>
                <c:pt idx="4">
                  <c:v>101396.58</c:v>
                </c:pt>
                <c:pt idx="5">
                  <c:v>102035.44</c:v>
                </c:pt>
                <c:pt idx="6">
                  <c:v>100319.14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26256"/>
        <c:axId val="367550944"/>
      </c:lineChart>
      <c:catAx>
        <c:axId val="3654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50944"/>
        <c:crosses val="autoZero"/>
        <c:auto val="1"/>
        <c:lblAlgn val="ctr"/>
        <c:lblOffset val="100"/>
        <c:noMultiLvlLbl val="0"/>
      </c:catAx>
      <c:valAx>
        <c:axId val="36755094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6542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/>
</file>

<file path=xl/ctrlProps/ctrlProp2.xml><?xml version="1.0" encoding="utf-8"?>
<formControlPr xmlns="http://schemas.microsoft.com/office/spreadsheetml/2009/9/main" objectType="Scroll" dx="22" fmlaLink="$V$3" horiz="1" max="27" page="0" val="27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18</xdr:row>
          <xdr:rowOff>165100</xdr:rowOff>
        </xdr:from>
        <xdr:to>
          <xdr:col>8</xdr:col>
          <xdr:colOff>114300</xdr:colOff>
          <xdr:row>29</xdr:row>
          <xdr:rowOff>177800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1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184150</xdr:colOff>
          <xdr:row>13</xdr:row>
          <xdr:rowOff>57150</xdr:rowOff>
        </xdr:from>
        <xdr:to>
          <xdr:col>20</xdr:col>
          <xdr:colOff>203200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1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4</xdr:row>
      <xdr:rowOff>9526</xdr:rowOff>
    </xdr:from>
    <xdr:to>
      <xdr:col>8</xdr:col>
      <xdr:colOff>404141</xdr:colOff>
      <xdr:row>20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6"/>
          <a:ext cx="472849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4</xdr:row>
      <xdr:rowOff>104776</xdr:rowOff>
    </xdr:from>
    <xdr:to>
      <xdr:col>15</xdr:col>
      <xdr:colOff>533400</xdr:colOff>
      <xdr:row>20</xdr:row>
      <xdr:rowOff>186504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885826"/>
          <a:ext cx="3314700" cy="3129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ransaction" displayName="tbl_transaction" ref="A4:S76" totalsRowCount="1">
  <autoFilter ref="A4:S75" xr:uid="{00000000-0009-0000-0100-000003000000}"/>
  <tableColumns count="19">
    <tableColumn id="1" xr3:uid="{00000000-0010-0000-0000-000001000000}" name="Symbol" totalsRowLabel="Total"/>
    <tableColumn id="2" xr3:uid="{00000000-0010-0000-0000-000002000000}" name="Order Date" totalsRowFunction="count"/>
    <tableColumn id="3" xr3:uid="{00000000-0010-0000-0000-000003000000}" name="Transaction Date"/>
    <tableColumn id="4" xr3:uid="{00000000-0010-0000-0000-000004000000}" name="Transactions"/>
    <tableColumn id="5" xr3:uid="{00000000-0010-0000-0000-000005000000}" name="Cancel Reason"/>
    <tableColumn id="6" xr3:uid="{00000000-0010-0000-0000-000006000000}" name="Amount" dataDxfId="69"/>
    <tableColumn id="7" xr3:uid="{00000000-0010-0000-0000-000007000000}" name="Execution_Price" dataDxfId="68"/>
    <tableColumn id="8" xr3:uid="{00000000-0010-0000-0000-000008000000}" name="Month_order" dataDxfId="67">
      <calculatedColumnFormula>VALUE(LEFT(tbl_transaction[[#This Row],[Order Date]],FIND("/",tbl_transaction[[#This Row],[Order Date]])-1))</calculatedColumnFormula>
    </tableColumn>
    <tableColumn id="9" xr3:uid="{00000000-0010-0000-0000-000009000000}" name="Date_order" dataDxfId="66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xr3:uid="{00000000-0010-0000-0000-00000A000000}" name="Year_order" dataDxfId="65">
      <calculatedColumnFormula>MID(tbl_transaction[[#This Row],[Order Date]], FIND("/",tbl_transaction[[#This Row],[Order Date]], FIND("/", tbl_transaction[[#This Row],[Order Date]])+1)+1, 2)</calculatedColumnFormula>
    </tableColumn>
    <tableColumn id="11" xr3:uid="{00000000-0010-0000-0000-00000B000000}" name="Month_Transact" dataDxfId="64">
      <calculatedColumnFormula>VALUE(LEFT(tbl_transaction[[#This Row],[Transaction Date]],FIND("/",tbl_transaction[[#This Row],[Transaction Date]])-1))</calculatedColumnFormula>
    </tableColumn>
    <tableColumn id="12" xr3:uid="{00000000-0010-0000-0000-00000C000000}" name="Date_Transact" dataDxfId="63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xr3:uid="{00000000-0010-0000-0000-00000D000000}" name="Year_Transact" dataDxfId="62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xr3:uid="{00000000-0010-0000-0000-00000E000000}" name="Order_Date" dataDxfId="61">
      <calculatedColumnFormula>DATE(tbl_transaction[[#This Row],[Year_order]]+2000, tbl_transaction[[#This Row],[Month_order]], tbl_transaction[[#This Row],[Date_order]])</calculatedColumnFormula>
    </tableColumn>
    <tableColumn id="15" xr3:uid="{00000000-0010-0000-0000-00000F000000}" name="Transaction_Date" dataDxfId="60">
      <calculatedColumnFormula>DATE(tbl_transaction[[#This Row],[Year_Transact]]+2000,tbl_transaction[[#This Row],[Month_Transact]],tbl_transaction[[#This Row],[Date_Transact]])</calculatedColumnFormula>
    </tableColumn>
    <tableColumn id="16" xr3:uid="{00000000-0010-0000-0000-000010000000}" name="Net_Cash_Change" totalsRowFunction="sum" dataDxfId="59" totalsRowDxfId="58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xr3:uid="{00000000-0010-0000-0000-000011000000}" name="Net_Stock_Change" dataDxfId="57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xr3:uid="{00000000-0010-0000-0000-000012000000}" name="Net_Debt_Change" dataDxfId="56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xr3:uid="{00000000-0010-0000-0000-000013000000}" name="Stock Holding Change" totalsRowFunction="sum" dataDxfId="55" totalsRowDxfId="54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_IBM" displayName="tbl_IBM" ref="A4:S60" totalsRowCount="1">
  <autoFilter ref="A4:S59" xr:uid="{00000000-0009-0000-0100-00000C000000}"/>
  <tableColumns count="19">
    <tableColumn id="1" xr3:uid="{00000000-0010-0000-0900-000001000000}" name="Date" totalsRowLabel="Total" dataDxfId="284"/>
    <tableColumn id="2" xr3:uid="{00000000-0010-0000-0900-000002000000}" name="Open" dataDxfId="283"/>
    <tableColumn id="3" xr3:uid="{00000000-0010-0000-0900-000003000000}" name="High" dataDxfId="282"/>
    <tableColumn id="4" xr3:uid="{00000000-0010-0000-0900-000004000000}" name="Low" dataDxfId="281"/>
    <tableColumn id="5" xr3:uid="{00000000-0010-0000-0900-000005000000}" name="Close" dataDxfId="280"/>
    <tableColumn id="6" xr3:uid="{00000000-0010-0000-0900-000006000000}" name="Adj Close" dataDxfId="279"/>
    <tableColumn id="7" xr3:uid="{00000000-0010-0000-0900-000007000000}" name="Volume"/>
    <tableColumn id="8" xr3:uid="{00000000-0010-0000-0900-000008000000}" name="EMA" dataDxfId="278">
      <calculatedColumnFormula>IF(tbl_IBM[[#This Row],[Date]]=$A$5, $F5, EMA_Beta*$H4 + (1-EMA_Beta)*$F5)</calculatedColumnFormula>
    </tableColumn>
    <tableColumn id="9" xr3:uid="{00000000-0010-0000-0900-000009000000}" name="RSI" dataDxfId="277">
      <calculatedColumnFormula>IF(tbl_IBM[[#This Row],[RS]]= "", "", 100-(100/(1+tbl_IBM[[#This Row],[RS]])))</calculatedColumnFormula>
    </tableColumn>
    <tableColumn id="10" xr3:uid="{00000000-0010-0000-0900-00000A000000}" name="BB_Mean" dataDxfId="276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900-00000B000000}" name="BB_Upper" dataDxfId="275">
      <calculatedColumnFormula>IF(tbl_IBM[[#This Row],[BB_Mean]]="", "", tbl_IBM[[#This Row],[BB_Mean]]+(BB_Width*tbl_IBM[[#This Row],[BB_Stdev]]))</calculatedColumnFormula>
    </tableColumn>
    <tableColumn id="12" xr3:uid="{00000000-0010-0000-0900-00000C000000}" name="BB_Lower" dataDxfId="274">
      <calculatedColumnFormula>IF(tbl_IBM[[#This Row],[BB_Mean]]="", "", tbl_IBM[[#This Row],[BB_Mean]]-(BB_Width*tbl_IBM[[#This Row],[BB_Stdev]]))</calculatedColumnFormula>
    </tableColumn>
    <tableColumn id="13" xr3:uid="{00000000-0010-0000-0900-00000D000000}" name="Move" dataDxfId="273">
      <calculatedColumnFormula>IF(ROW(tbl_IBM[[#This Row],[Adj Close]])=5, 0, $F5-$F4)</calculatedColumnFormula>
    </tableColumn>
    <tableColumn id="14" xr3:uid="{00000000-0010-0000-0900-00000E000000}" name="Upmove" dataDxfId="272">
      <calculatedColumnFormula>MAX(tbl_IBM[[#This Row],[Move]],0)</calculatedColumnFormula>
    </tableColumn>
    <tableColumn id="15" xr3:uid="{00000000-0010-0000-0900-00000F000000}" name="Downmove" dataDxfId="271">
      <calculatedColumnFormula>MAX(-tbl_IBM[[#This Row],[Move]],0)</calculatedColumnFormula>
    </tableColumn>
    <tableColumn id="16" xr3:uid="{00000000-0010-0000-0900-000010000000}" name="Avg_Upmove" dataDxfId="27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900-000011000000}" name="Avg_Downmove" dataDxfId="26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900-000012000000}" name="RS" dataDxfId="268">
      <calculatedColumnFormula>IF(tbl_IBM[[#This Row],[Avg_Upmove]]="", "", tbl_IBM[[#This Row],[Avg_Upmove]]/tbl_IBM[[#This Row],[Avg_Downmove]])</calculatedColumnFormula>
    </tableColumn>
    <tableColumn id="19" xr3:uid="{00000000-0010-0000-0900-000013000000}" name="BB_Stdev" totalsRowFunction="count" dataDxfId="267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bl_ORCL" displayName="tbl_ORCL" ref="A4:S60" totalsRowCount="1">
  <autoFilter ref="A4:S59" xr:uid="{00000000-0009-0000-0100-00000D000000}"/>
  <tableColumns count="19">
    <tableColumn id="1" xr3:uid="{00000000-0010-0000-0A00-000001000000}" name="Date" totalsRowLabel="Total" dataDxfId="266"/>
    <tableColumn id="2" xr3:uid="{00000000-0010-0000-0A00-000002000000}" name="Open" totalsRowDxfId="265" dataCellStyle="Currency"/>
    <tableColumn id="3" xr3:uid="{00000000-0010-0000-0A00-000003000000}" name="High" totalsRowDxfId="264" dataCellStyle="Currency"/>
    <tableColumn id="4" xr3:uid="{00000000-0010-0000-0A00-000004000000}" name="Low" totalsRowDxfId="263" dataCellStyle="Currency"/>
    <tableColumn id="5" xr3:uid="{00000000-0010-0000-0A00-000005000000}" name="Close" totalsRowDxfId="262" dataCellStyle="Currency"/>
    <tableColumn id="6" xr3:uid="{00000000-0010-0000-0A00-000006000000}" name="Adj Close" totalsRowDxfId="261" dataCellStyle="Currency"/>
    <tableColumn id="7" xr3:uid="{00000000-0010-0000-0A00-000007000000}" name="Volume"/>
    <tableColumn id="8" xr3:uid="{00000000-0010-0000-0A00-000008000000}" name="EMA" dataDxfId="260" totalsRowDxfId="259" dataCellStyle="Currency">
      <calculatedColumnFormula>IF(tbl_ORCL[[#This Row],[Date]]=$A$5, $F5, EMA_Beta*$H4 + (1-EMA_Beta)*$F5)</calculatedColumnFormula>
    </tableColumn>
    <tableColumn id="9" xr3:uid="{00000000-0010-0000-0A00-000009000000}" name="RSI" dataDxfId="258" totalsRowDxfId="257" dataCellStyle="Currency">
      <calculatedColumnFormula>IF(tbl_ORCL[[#This Row],[RS]]= "", "", 100-(100/(1+tbl_ORCL[[#This Row],[RS]])))</calculatedColumnFormula>
    </tableColumn>
    <tableColumn id="10" xr3:uid="{00000000-0010-0000-0A00-00000A000000}" name="BB_Mean" dataDxfId="256" totalsRowDxfId="25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A00-00000B000000}" name="BB_Upper" dataDxfId="254" totalsRowDxfId="253" dataCellStyle="Currency">
      <calculatedColumnFormula>IF(tbl_ORCL[[#This Row],[BB_Mean]]="", "", tbl_ORCL[[#This Row],[BB_Mean]]+(BB_Width*tbl_ORCL[[#This Row],[BB_Stdev]]))</calculatedColumnFormula>
    </tableColumn>
    <tableColumn id="12" xr3:uid="{00000000-0010-0000-0A00-00000C000000}" name="BB_Lower" dataDxfId="252" totalsRowDxfId="251" dataCellStyle="Currency">
      <calculatedColumnFormula>IF(tbl_ORCL[[#This Row],[BB_Mean]]="", "", tbl_ORCL[[#This Row],[BB_Mean]]-(BB_Width*tbl_ORCL[[#This Row],[BB_Stdev]]))</calculatedColumnFormula>
    </tableColumn>
    <tableColumn id="13" xr3:uid="{00000000-0010-0000-0A00-00000D000000}" name="Move" dataDxfId="250" totalsRowDxfId="249" dataCellStyle="Currency">
      <calculatedColumnFormula>IF(ROW(tbl_ORCL[[#This Row],[Adj Close]])=5, 0, $F5-$F4)</calculatedColumnFormula>
    </tableColumn>
    <tableColumn id="14" xr3:uid="{00000000-0010-0000-0A00-00000E000000}" name="Upmove" dataDxfId="248" totalsRowDxfId="247" dataCellStyle="Currency">
      <calculatedColumnFormula>MAX(tbl_ORCL[[#This Row],[Move]],0)</calculatedColumnFormula>
    </tableColumn>
    <tableColumn id="15" xr3:uid="{00000000-0010-0000-0A00-00000F000000}" name="Downmove" dataDxfId="246" totalsRowDxfId="245" dataCellStyle="Currency">
      <calculatedColumnFormula>MAX(-tbl_ORCL[[#This Row],[Move]],0)</calculatedColumnFormula>
    </tableColumn>
    <tableColumn id="16" xr3:uid="{00000000-0010-0000-0A00-000010000000}" name="Avg_Upmove" dataDxfId="244" totalsRowDxfId="243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A00-000011000000}" name="Avg_Downmove" dataDxfId="242" totalsRowDxfId="241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A00-000012000000}" name="RS" dataDxfId="240" totalsRowDxfId="239" dataCellStyle="Currency">
      <calculatedColumnFormula>IF(tbl_ORCL[[#This Row],[Avg_Upmove]]="", "", tbl_ORCL[[#This Row],[Avg_Upmove]]/tbl_ORCL[[#This Row],[Avg_Downmove]])</calculatedColumnFormula>
    </tableColumn>
    <tableColumn id="19" xr3:uid="{00000000-0010-0000-0A00-000013000000}" name="BB_Stdev" totalsRowFunction="count" dataDxfId="238" totalsRowDxfId="23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bl_AKRO" displayName="tbl_AKRO" ref="A4:S60" totalsRowCount="1">
  <autoFilter ref="A4:S59" xr:uid="{00000000-0009-0000-0100-00000E000000}"/>
  <tableColumns count="19">
    <tableColumn id="1" xr3:uid="{00000000-0010-0000-0B00-000001000000}" name="Date" totalsRowLabel="Total" dataDxfId="236"/>
    <tableColumn id="2" xr3:uid="{00000000-0010-0000-0B00-000002000000}" name="Open" totalsRowDxfId="162" dataCellStyle="Currency"/>
    <tableColumn id="3" xr3:uid="{00000000-0010-0000-0B00-000003000000}" name="High" totalsRowDxfId="161" dataCellStyle="Currency"/>
    <tableColumn id="4" xr3:uid="{00000000-0010-0000-0B00-000004000000}" name="Low" totalsRowDxfId="160" dataCellStyle="Currency"/>
    <tableColumn id="5" xr3:uid="{00000000-0010-0000-0B00-000005000000}" name="Close" totalsRowDxfId="159" dataCellStyle="Currency"/>
    <tableColumn id="6" xr3:uid="{00000000-0010-0000-0B00-000006000000}" name="Adj Close" totalsRowDxfId="158" dataCellStyle="Currency"/>
    <tableColumn id="7" xr3:uid="{00000000-0010-0000-0B00-000007000000}" name="Volume"/>
    <tableColumn id="8" xr3:uid="{00000000-0010-0000-0B00-000008000000}" name="EMA" totalsRowDxfId="157" dataCellStyle="Currency">
      <calculatedColumnFormula>IF(tbl_AKRO[[#This Row],[Date]]=$A$5, $F5, EMA_Beta*$H4 + (1-EMA_Beta)*$F5)</calculatedColumnFormula>
    </tableColumn>
    <tableColumn id="9" xr3:uid="{00000000-0010-0000-0B00-000009000000}" name="RSI" dataDxfId="235">
      <calculatedColumnFormula>IF(tbl_AKRO[[#This Row],[RS]]= "", "", 100-(100/(1+tbl_AKRO[[#This Row],[RS]])))</calculatedColumnFormula>
    </tableColumn>
    <tableColumn id="10" xr3:uid="{00000000-0010-0000-0B00-00000A000000}" name="BB_Mean" totalsRowDxfId="156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B00-00000B000000}" name="BB_Upper" dataDxfId="234" totalsRowDxfId="155" dataCellStyle="Currency">
      <calculatedColumnFormula>IF(tbl_AKRO[[#This Row],[BB_Mean]]="", "", tbl_AKRO[[#This Row],[BB_Mean]]+(BB_Width*tbl_AKRO[[#This Row],[BB_Stdev]]))</calculatedColumnFormula>
    </tableColumn>
    <tableColumn id="12" xr3:uid="{00000000-0010-0000-0B00-00000C000000}" name="BB_Lower" dataDxfId="233" totalsRowDxfId="154" dataCellStyle="Currency">
      <calculatedColumnFormula>IF(tbl_AKRO[[#This Row],[BB_Mean]]="", "", tbl_AKRO[[#This Row],[BB_Mean]]-(BB_Width*tbl_AKRO[[#This Row],[BB_Stdev]]))</calculatedColumnFormula>
    </tableColumn>
    <tableColumn id="13" xr3:uid="{00000000-0010-0000-0B00-00000D000000}" name="Move" dataDxfId="232">
      <calculatedColumnFormula>IF(ROW(tbl_AKRO[[#This Row],[Adj Close]])=5, 0, $F5-$F4)</calculatedColumnFormula>
    </tableColumn>
    <tableColumn id="14" xr3:uid="{00000000-0010-0000-0B00-00000E000000}" name="Upmove" dataDxfId="231">
      <calculatedColumnFormula>MAX(tbl_AKRO[[#This Row],[Move]],0)</calculatedColumnFormula>
    </tableColumn>
    <tableColumn id="15" xr3:uid="{00000000-0010-0000-0B00-00000F000000}" name="Downmove" dataDxfId="230">
      <calculatedColumnFormula>MAX(-tbl_AKRO[[#This Row],[Move]],0)</calculatedColumnFormula>
    </tableColumn>
    <tableColumn id="16" xr3:uid="{00000000-0010-0000-0B00-000010000000}" name="Avg_Upmove" dataDxfId="229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B00-000011000000}" name="Avg_Downmove" dataDxfId="228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B00-000012000000}" name="RS" dataDxfId="227">
      <calculatedColumnFormula>IF(tbl_AKRO[[#This Row],[Avg_Upmove]]="", "", tbl_AKRO[[#This Row],[Avg_Upmove]]/tbl_AKRO[[#This Row],[Avg_Downmove]])</calculatedColumnFormula>
    </tableColumn>
    <tableColumn id="19" xr3:uid="{00000000-0010-0000-0B00-000013000000}" name="BB_Stdev" totalsRowFunction="count" totalsRowDxfId="153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bl_FDX" displayName="tbl_FDX" ref="A4:S60" totalsRowCount="1">
  <autoFilter ref="A4:S59" xr:uid="{00000000-0009-0000-0100-000010000000}"/>
  <tableColumns count="19">
    <tableColumn id="1" xr3:uid="{00000000-0010-0000-0C00-000001000000}" name="Date" totalsRowLabel="Total" dataDxfId="226"/>
    <tableColumn id="2" xr3:uid="{00000000-0010-0000-0C00-000002000000}" name="Open" totalsRowDxfId="152" dataCellStyle="Currency"/>
    <tableColumn id="3" xr3:uid="{00000000-0010-0000-0C00-000003000000}" name="High" totalsRowDxfId="151" dataCellStyle="Currency"/>
    <tableColumn id="4" xr3:uid="{00000000-0010-0000-0C00-000004000000}" name="Low" totalsRowDxfId="150" dataCellStyle="Currency"/>
    <tableColumn id="5" xr3:uid="{00000000-0010-0000-0C00-000005000000}" name="Close" totalsRowDxfId="149" dataCellStyle="Currency"/>
    <tableColumn id="6" xr3:uid="{00000000-0010-0000-0C00-000006000000}" name="Adj Close" totalsRowDxfId="148" dataCellStyle="Currency"/>
    <tableColumn id="7" xr3:uid="{00000000-0010-0000-0C00-000007000000}" name="Volume"/>
    <tableColumn id="8" xr3:uid="{00000000-0010-0000-0C00-000008000000}" name="EMA" totalsRowDxfId="147" dataCellStyle="Currency">
      <calculatedColumnFormula>IF(tbl_FDX[[#This Row],[Date]]=$A$5, $F5, EMA_Beta*$H4 + (1-EMA_Beta)*$F5)</calculatedColumnFormula>
    </tableColumn>
    <tableColumn id="9" xr3:uid="{00000000-0010-0000-0C00-000009000000}" name="RSI" dataDxfId="225">
      <calculatedColumnFormula>IF(tbl_FDX[[#This Row],[RS]]= "", "", 100-(100/(1+tbl_FDX[[#This Row],[RS]])))</calculatedColumnFormula>
    </tableColumn>
    <tableColumn id="10" xr3:uid="{00000000-0010-0000-0C00-00000A000000}" name="BB_Mean" totalsRowDxfId="146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C00-00000B000000}" name="BB_Upper" totalsRowDxfId="145" dataCellStyle="Currency">
      <calculatedColumnFormula>IF(tbl_FDX[[#This Row],[BB_Mean]]="", "", tbl_FDX[[#This Row],[BB_Mean]]+(BB_Width*tbl_FDX[[#This Row],[BB_Stdev]]))</calculatedColumnFormula>
    </tableColumn>
    <tableColumn id="12" xr3:uid="{00000000-0010-0000-0C00-00000C000000}" name="BB_Lower" dataDxfId="224" totalsRowDxfId="144" dataCellStyle="Currency">
      <calculatedColumnFormula>IF(tbl_FDX[[#This Row],[BB_Mean]]="", "", tbl_FDX[[#This Row],[BB_Mean]]-(BB_Width*tbl_FDX[[#This Row],[BB_Stdev]]))</calculatedColumnFormula>
    </tableColumn>
    <tableColumn id="13" xr3:uid="{00000000-0010-0000-0C00-00000D000000}" name="Move" dataDxfId="223">
      <calculatedColumnFormula>IF(ROW(tbl_FDX[[#This Row],[Adj Close]])=5, 0, $F5-$F4)</calculatedColumnFormula>
    </tableColumn>
    <tableColumn id="14" xr3:uid="{00000000-0010-0000-0C00-00000E000000}" name="Upmove" dataDxfId="222">
      <calculatedColumnFormula>MAX(tbl_FDX[[#This Row],[Move]],0)</calculatedColumnFormula>
    </tableColumn>
    <tableColumn id="15" xr3:uid="{00000000-0010-0000-0C00-00000F000000}" name="Downmove" dataDxfId="221">
      <calculatedColumnFormula>MAX(-tbl_FDX[[#This Row],[Move]],0)</calculatedColumnFormula>
    </tableColumn>
    <tableColumn id="16" xr3:uid="{00000000-0010-0000-0C00-000010000000}" name="Avg_Upmove" dataDxfId="22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C00-000011000000}" name="Avg_Downmove" dataDxfId="21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C00-000012000000}" name="RS" dataDxfId="218">
      <calculatedColumnFormula>IF(tbl_FDX[[#This Row],[Avg_Upmove]]="", "", tbl_FDX[[#This Row],[Avg_Upmove]]/tbl_FDX[[#This Row],[Avg_Downmove]])</calculatedColumnFormula>
    </tableColumn>
    <tableColumn id="19" xr3:uid="{00000000-0010-0000-0C00-000013000000}" name="BB_Stdev" totalsRowFunction="count" totalsRowDxfId="143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bl_NKLA" displayName="tbl_NKLA" ref="A4:S60" totalsRowCount="1">
  <autoFilter ref="A4:S59" xr:uid="{00000000-0009-0000-0100-000011000000}"/>
  <tableColumns count="19">
    <tableColumn id="1" xr3:uid="{00000000-0010-0000-0D00-000001000000}" name="Date" totalsRowLabel="Total" dataDxfId="217"/>
    <tableColumn id="2" xr3:uid="{00000000-0010-0000-0D00-000002000000}" name="Open"/>
    <tableColumn id="3" xr3:uid="{00000000-0010-0000-0D00-000003000000}" name="High"/>
    <tableColumn id="4" xr3:uid="{00000000-0010-0000-0D00-000004000000}" name="Low"/>
    <tableColumn id="5" xr3:uid="{00000000-0010-0000-0D00-000005000000}" name="Close"/>
    <tableColumn id="6" xr3:uid="{00000000-0010-0000-0D00-000006000000}" name="Adj Close"/>
    <tableColumn id="7" xr3:uid="{00000000-0010-0000-0D00-000007000000}" name="Volume"/>
    <tableColumn id="8" xr3:uid="{00000000-0010-0000-0D00-000008000000}" name="EMA" totalsRowDxfId="142" dataCellStyle="Currency">
      <calculatedColumnFormula>IF(tbl_NKLA[[#This Row],[Date]]=$A$5, $F5, EMA_Beta*$H4 + (1-EMA_Beta)*$F5)</calculatedColumnFormula>
    </tableColumn>
    <tableColumn id="9" xr3:uid="{00000000-0010-0000-0D00-000009000000}" name="RSI" dataDxfId="216">
      <calculatedColumnFormula>IF(tbl_NKLA[[#This Row],[RS]]= "", "", 100-(100/(1+tbl_NKLA[[#This Row],[RS]])))</calculatedColumnFormula>
    </tableColumn>
    <tableColumn id="10" xr3:uid="{00000000-0010-0000-0D00-00000A000000}" name="BB_Mean" totalsRowDxfId="14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D00-00000B000000}" name="BB_Upper" totalsRowDxfId="140" dataCellStyle="Currency">
      <calculatedColumnFormula>IF(tbl_NKLA[[#This Row],[BB_Mean]]="", "", tbl_NKLA[[#This Row],[BB_Mean]]+(BB_Width*tbl_NKLA[[#This Row],[BB_Stdev]]))</calculatedColumnFormula>
    </tableColumn>
    <tableColumn id="12" xr3:uid="{00000000-0010-0000-0D00-00000C000000}" name="BB_Lower" totalsRowDxfId="139" dataCellStyle="Currency">
      <calculatedColumnFormula>IF(tbl_NKLA[[#This Row],[BB_Mean]]="", "", tbl_NKLA[[#This Row],[BB_Mean]]-(BB_Width*tbl_NKLA[[#This Row],[BB_Stdev]]))</calculatedColumnFormula>
    </tableColumn>
    <tableColumn id="13" xr3:uid="{00000000-0010-0000-0D00-00000D000000}" name="Move" dataDxfId="215">
      <calculatedColumnFormula>IF(ROW(tbl_NKLA[[#This Row],[Adj Close]])=5, 0, $F5-$F4)</calculatedColumnFormula>
    </tableColumn>
    <tableColumn id="14" xr3:uid="{00000000-0010-0000-0D00-00000E000000}" name="Upmove" dataDxfId="214">
      <calculatedColumnFormula>MAX(tbl_NKLA[[#This Row],[Move]],0)</calculatedColumnFormula>
    </tableColumn>
    <tableColumn id="15" xr3:uid="{00000000-0010-0000-0D00-00000F000000}" name="Downmove" dataDxfId="213">
      <calculatedColumnFormula>MAX(-tbl_NKLA[[#This Row],[Move]],0)</calculatedColumnFormula>
    </tableColumn>
    <tableColumn id="16" xr3:uid="{00000000-0010-0000-0D00-000010000000}" name="Avg_Upmove" dataDxfId="21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D00-000011000000}" name="Avg_Downmove" dataDxfId="21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D00-000012000000}" name="RS" dataDxfId="210">
      <calculatedColumnFormula>IF(tbl_NKLA[[#This Row],[Avg_Upmove]]="", "", tbl_NKLA[[#This Row],[Avg_Upmove]]/tbl_NKLA[[#This Row],[Avg_Downmove]])</calculatedColumnFormula>
    </tableColumn>
    <tableColumn id="19" xr3:uid="{00000000-0010-0000-0D00-000013000000}" name="BB_Stdev" totalsRowFunction="count" totalsRowDxfId="13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bl_SPXS" displayName="tbl_SPXS" ref="A4:S60" totalsRowCount="1">
  <autoFilter ref="A4:S59" xr:uid="{00000000-0009-0000-0100-000012000000}"/>
  <tableColumns count="19">
    <tableColumn id="1" xr3:uid="{00000000-0010-0000-0E00-000001000000}" name="Date" totalsRowLabel="Total" dataDxfId="209"/>
    <tableColumn id="2" xr3:uid="{00000000-0010-0000-0E00-000002000000}" name="Open" totalsRowDxfId="137" dataCellStyle="Currency"/>
    <tableColumn id="3" xr3:uid="{00000000-0010-0000-0E00-000003000000}" name="High" totalsRowDxfId="136" dataCellStyle="Currency"/>
    <tableColumn id="4" xr3:uid="{00000000-0010-0000-0E00-000004000000}" name="Low" totalsRowDxfId="135" dataCellStyle="Currency"/>
    <tableColumn id="5" xr3:uid="{00000000-0010-0000-0E00-000005000000}" name="Close" totalsRowDxfId="134" dataCellStyle="Currency"/>
    <tableColumn id="6" xr3:uid="{00000000-0010-0000-0E00-000006000000}" name="Adj Close" totalsRowDxfId="133" dataCellStyle="Currency"/>
    <tableColumn id="7" xr3:uid="{00000000-0010-0000-0E00-000007000000}" name="Volume"/>
    <tableColumn id="8" xr3:uid="{00000000-0010-0000-0E00-000008000000}" name="EMA" totalsRowDxfId="132" dataCellStyle="Currency">
      <calculatedColumnFormula>IF(tbl_SPXS[[#This Row],[Date]]=$A$5, $F5, EMA_Beta*$H4 + (1-EMA_Beta)*$F5)</calculatedColumnFormula>
    </tableColumn>
    <tableColumn id="9" xr3:uid="{00000000-0010-0000-0E00-000009000000}" name="RSI" dataDxfId="208">
      <calculatedColumnFormula>IF(tbl_SPXS[[#This Row],[RS]]= "", "", 100-(100/(1+tbl_SPXS[[#This Row],[RS]])))</calculatedColumnFormula>
    </tableColumn>
    <tableColumn id="10" xr3:uid="{00000000-0010-0000-0E00-00000A000000}" name="BB_Mean" totalsRowDxfId="13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E00-00000B000000}" name="BB_Upper" totalsRowDxfId="130" dataCellStyle="Currency">
      <calculatedColumnFormula>IF(tbl_SPXS[[#This Row],[BB_Mean]]="", "", tbl_SPXS[[#This Row],[BB_Mean]]+(BB_Width*tbl_SPXS[[#This Row],[BB_Stdev]]))</calculatedColumnFormula>
    </tableColumn>
    <tableColumn id="12" xr3:uid="{00000000-0010-0000-0E00-00000C000000}" name="BB_Lower" totalsRowDxfId="129" dataCellStyle="Currency">
      <calculatedColumnFormula>IF(tbl_SPXS[[#This Row],[BB_Mean]]="", "", tbl_SPXS[[#This Row],[BB_Mean]]-(BB_Width*tbl_SPXS[[#This Row],[BB_Stdev]]))</calculatedColumnFormula>
    </tableColumn>
    <tableColumn id="13" xr3:uid="{00000000-0010-0000-0E00-00000D000000}" name="Move" dataDxfId="207">
      <calculatedColumnFormula>IF(ROW(tbl_SPXS[[#This Row],[Adj Close]])=5, 0, $F5-$F4)</calculatedColumnFormula>
    </tableColumn>
    <tableColumn id="14" xr3:uid="{00000000-0010-0000-0E00-00000E000000}" name="Upmove" dataDxfId="206">
      <calculatedColumnFormula>MAX(tbl_SPXS[[#This Row],[Move]],0)</calculatedColumnFormula>
    </tableColumn>
    <tableColumn id="15" xr3:uid="{00000000-0010-0000-0E00-00000F000000}" name="Downmove" dataDxfId="205">
      <calculatedColumnFormula>MAX(-tbl_SPXS[[#This Row],[Move]],0)</calculatedColumnFormula>
    </tableColumn>
    <tableColumn id="16" xr3:uid="{00000000-0010-0000-0E00-000010000000}" name="Avg_Upmove" dataDxfId="204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E00-000011000000}" name="Avg_Downmove" dataDxfId="203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E00-000012000000}" name="RS" dataDxfId="202">
      <calculatedColumnFormula>IF(tbl_SPXS[[#This Row],[Avg_Upmove]]="", "", tbl_SPXS[[#This Row],[Avg_Upmove]]/tbl_SPXS[[#This Row],[Avg_Downmove]])</calculatedColumnFormula>
    </tableColumn>
    <tableColumn id="19" xr3:uid="{00000000-0010-0000-0E00-000013000000}" name="BB_Stdev" totalsRowFunction="count" totalsRowDxfId="12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tbl_AMD" displayName="tbl_AMD" ref="A4:S60" totalsRowCount="1">
  <autoFilter ref="A4:S59" xr:uid="{00000000-0009-0000-0100-000008000000}"/>
  <tableColumns count="19">
    <tableColumn id="1" xr3:uid="{00000000-0010-0000-0F00-000001000000}" name="Date" totalsRowLabel="Total" dataDxfId="201"/>
    <tableColumn id="2" xr3:uid="{00000000-0010-0000-0F00-000002000000}" name="Open" totalsRowDxfId="127" dataCellStyle="Currency"/>
    <tableColumn id="3" xr3:uid="{00000000-0010-0000-0F00-000003000000}" name="High" totalsRowDxfId="126" dataCellStyle="Currency"/>
    <tableColumn id="4" xr3:uid="{00000000-0010-0000-0F00-000004000000}" name="Low" totalsRowDxfId="125" dataCellStyle="Currency"/>
    <tableColumn id="5" xr3:uid="{00000000-0010-0000-0F00-000005000000}" name="Close" totalsRowDxfId="124" dataCellStyle="Currency"/>
    <tableColumn id="6" xr3:uid="{00000000-0010-0000-0F00-000006000000}" name="Adj Close" totalsRowDxfId="123" dataCellStyle="Currency"/>
    <tableColumn id="7" xr3:uid="{00000000-0010-0000-0F00-000007000000}" name="Volume"/>
    <tableColumn id="8" xr3:uid="{00000000-0010-0000-0F00-000008000000}" name="EMA" totalsRowDxfId="122" dataCellStyle="Currency">
      <calculatedColumnFormula>IF(tbl_AMD[[#This Row],[Date]]=$A$5, $F5, EMA_Beta*$H4 + (1-EMA_Beta)*$F5)</calculatedColumnFormula>
    </tableColumn>
    <tableColumn id="9" xr3:uid="{00000000-0010-0000-0F00-000009000000}" name="RSI" dataDxfId="200">
      <calculatedColumnFormula>IF(tbl_AMD[[#This Row],[RS]]= "", "", 100-(100/(1+tbl_AMD[[#This Row],[RS]])))</calculatedColumnFormula>
    </tableColumn>
    <tableColumn id="10" xr3:uid="{00000000-0010-0000-0F00-00000A000000}" name="BB_Mean" totalsRowDxfId="12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F00-00000B000000}" name="BB_Upper" totalsRowDxfId="120" dataCellStyle="Currency">
      <calculatedColumnFormula>IF(tbl_AMD[[#This Row],[BB_Mean]]="", "", tbl_AMD[[#This Row],[BB_Mean]]+(BB_Width*tbl_AMD[[#This Row],[BB_Stdev]]))</calculatedColumnFormula>
    </tableColumn>
    <tableColumn id="12" xr3:uid="{00000000-0010-0000-0F00-00000C000000}" name="BB_Lower" totalsRowDxfId="119" dataCellStyle="Currency">
      <calculatedColumnFormula>IF(tbl_AMD[[#This Row],[BB_Mean]]="", "", tbl_AMD[[#This Row],[BB_Mean]]-(BB_Width*tbl_AMD[[#This Row],[BB_Stdev]]))</calculatedColumnFormula>
    </tableColumn>
    <tableColumn id="13" xr3:uid="{00000000-0010-0000-0F00-00000D000000}" name="Move" dataDxfId="199">
      <calculatedColumnFormula>IF(ROW(tbl_AMD[[#This Row],[Adj Close]])=5, 0, $F5-$F4)</calculatedColumnFormula>
    </tableColumn>
    <tableColumn id="14" xr3:uid="{00000000-0010-0000-0F00-00000E000000}" name="Upmove" dataDxfId="198">
      <calculatedColumnFormula>MAX(tbl_AMD[[#This Row],[Move]],0)</calculatedColumnFormula>
    </tableColumn>
    <tableColumn id="15" xr3:uid="{00000000-0010-0000-0F00-00000F000000}" name="Downmove" dataDxfId="197">
      <calculatedColumnFormula>MAX(-tbl_AMD[[#This Row],[Move]],0)</calculatedColumnFormula>
    </tableColumn>
    <tableColumn id="16" xr3:uid="{00000000-0010-0000-0F00-000010000000}" name="Avg_Upmove" dataDxfId="19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F00-000011000000}" name="Avg_Downmove" dataDxfId="19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F00-000012000000}" name="RS" dataDxfId="194">
      <calculatedColumnFormula>IF(tbl_AMD[[#This Row],[Avg_Upmove]]="", "", tbl_AMD[[#This Row],[Avg_Upmove]]/tbl_AMD[[#This Row],[Avg_Downmove]])</calculatedColumnFormula>
    </tableColumn>
    <tableColumn id="19" xr3:uid="{00000000-0010-0000-0F00-000013000000}" name="BB_Stdev" totalsRowFunction="count" totalsRowDxfId="11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tbl_CVX" displayName="tbl_CVX" ref="A4:S60" totalsRowCount="1">
  <autoFilter ref="A4:S59" xr:uid="{00000000-0009-0000-0100-000013000000}"/>
  <tableColumns count="19">
    <tableColumn id="1" xr3:uid="{00000000-0010-0000-1000-000001000000}" name="Date" totalsRowLabel="Total" dataDxfId="193"/>
    <tableColumn id="2" xr3:uid="{00000000-0010-0000-1000-000002000000}" name="Open" totalsRowDxfId="117" dataCellStyle="Currency"/>
    <tableColumn id="3" xr3:uid="{00000000-0010-0000-1000-000003000000}" name="High" totalsRowDxfId="116" dataCellStyle="Currency"/>
    <tableColumn id="4" xr3:uid="{00000000-0010-0000-1000-000004000000}" name="Low" totalsRowDxfId="115" dataCellStyle="Currency"/>
    <tableColumn id="5" xr3:uid="{00000000-0010-0000-1000-000005000000}" name="Close" totalsRowDxfId="114" dataCellStyle="Currency"/>
    <tableColumn id="6" xr3:uid="{00000000-0010-0000-1000-000006000000}" name="Adj Close" totalsRowDxfId="113" dataCellStyle="Currency"/>
    <tableColumn id="7" xr3:uid="{00000000-0010-0000-1000-000007000000}" name="Volume"/>
    <tableColumn id="8" xr3:uid="{00000000-0010-0000-1000-000008000000}" name="EMA" totalsRowDxfId="112" dataCellStyle="Currency">
      <calculatedColumnFormula>IF(tbl_CVX[[#This Row],[Date]]=$A$5, $F5, EMA_Beta*$H4 + (1-EMA_Beta)*$F5)</calculatedColumnFormula>
    </tableColumn>
    <tableColumn id="9" xr3:uid="{00000000-0010-0000-1000-000009000000}" name="RSI" dataDxfId="192">
      <calculatedColumnFormula>IF(tbl_CVX[[#This Row],[RS]]= "", "", 100-(100/(1+tbl_CVX[[#This Row],[RS]])))</calculatedColumnFormula>
    </tableColumn>
    <tableColumn id="10" xr3:uid="{00000000-0010-0000-1000-00000A000000}" name="BB_Mean" totalsRowDxfId="11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1000-00000B000000}" name="BB_Upper" totalsRowDxfId="110" dataCellStyle="Currency">
      <calculatedColumnFormula>IF(tbl_CVX[[#This Row],[BB_Mean]]="", "", tbl_CVX[[#This Row],[BB_Mean]]+(BB_Width*tbl_CVX[[#This Row],[BB_Stdev]]))</calculatedColumnFormula>
    </tableColumn>
    <tableColumn id="12" xr3:uid="{00000000-0010-0000-1000-00000C000000}" name="BB_Lower" totalsRowDxfId="109" dataCellStyle="Currency">
      <calculatedColumnFormula>IF(tbl_CVX[[#This Row],[BB_Mean]]="", "", tbl_CVX[[#This Row],[BB_Mean]]-(BB_Width*tbl_CVX[[#This Row],[BB_Stdev]]))</calculatedColumnFormula>
    </tableColumn>
    <tableColumn id="13" xr3:uid="{00000000-0010-0000-1000-00000D000000}" name="Move" dataDxfId="191">
      <calculatedColumnFormula>IF(ROW(tbl_CVX[[#This Row],[Adj Close]])=5, 0, $F5-$F4)</calculatedColumnFormula>
    </tableColumn>
    <tableColumn id="14" xr3:uid="{00000000-0010-0000-1000-00000E000000}" name="Upmove" dataDxfId="190">
      <calculatedColumnFormula>MAX(tbl_CVX[[#This Row],[Move]],0)</calculatedColumnFormula>
    </tableColumn>
    <tableColumn id="15" xr3:uid="{00000000-0010-0000-1000-00000F000000}" name="Downmove" dataDxfId="189">
      <calculatedColumnFormula>MAX(-tbl_CVX[[#This Row],[Move]],0)</calculatedColumnFormula>
    </tableColumn>
    <tableColumn id="16" xr3:uid="{00000000-0010-0000-1000-000010000000}" name="Avg_Upmove" dataDxfId="18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1000-000011000000}" name="Avg_Downmove" dataDxfId="18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1000-000012000000}" name="RS" dataDxfId="186">
      <calculatedColumnFormula>IF(tbl_CVX[[#This Row],[Avg_Upmove]]="", "", tbl_CVX[[#This Row],[Avg_Upmove]]/tbl_CVX[[#This Row],[Avg_Downmove]])</calculatedColumnFormula>
    </tableColumn>
    <tableColumn id="19" xr3:uid="{00000000-0010-0000-1000-000013000000}" name="BB_Stdev" totalsRowFunction="count" totalsRowDxfId="10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1000000}" name="tbl_QCOM" displayName="tbl_QCOM" ref="A4:S60" totalsRowCount="1">
  <autoFilter ref="A4:S59" xr:uid="{00000000-0009-0000-0100-000014000000}"/>
  <tableColumns count="19">
    <tableColumn id="1" xr3:uid="{00000000-0010-0000-1100-000001000000}" name="Date" totalsRowLabel="Total" dataDxfId="185"/>
    <tableColumn id="2" xr3:uid="{00000000-0010-0000-1100-000002000000}" name="Open" totalsRowDxfId="107" dataCellStyle="Currency"/>
    <tableColumn id="3" xr3:uid="{00000000-0010-0000-1100-000003000000}" name="High" totalsRowDxfId="106" dataCellStyle="Currency"/>
    <tableColumn id="4" xr3:uid="{00000000-0010-0000-1100-000004000000}" name="Low" totalsRowDxfId="105" dataCellStyle="Currency"/>
    <tableColumn id="5" xr3:uid="{00000000-0010-0000-1100-000005000000}" name="Close" totalsRowDxfId="104" dataCellStyle="Currency"/>
    <tableColumn id="6" xr3:uid="{00000000-0010-0000-1100-000006000000}" name="Adj Close" totalsRowDxfId="103" dataCellStyle="Currency"/>
    <tableColumn id="7" xr3:uid="{00000000-0010-0000-1100-000007000000}" name="Volume"/>
    <tableColumn id="8" xr3:uid="{00000000-0010-0000-1100-000008000000}" name="EMA" totalsRowDxfId="102" dataCellStyle="Currency">
      <calculatedColumnFormula>IF(tbl_QCOM[[#This Row],[Date]]=$A$5, $F5, EMA_Beta*$H4 + (1-EMA_Beta)*$F5)</calculatedColumnFormula>
    </tableColumn>
    <tableColumn id="9" xr3:uid="{00000000-0010-0000-1100-000009000000}" name="RSI" dataDxfId="184">
      <calculatedColumnFormula>IF(tbl_QCOM[[#This Row],[RS]]= "", "", 100-(100/(1+tbl_QCOM[[#This Row],[RS]])))</calculatedColumnFormula>
    </tableColumn>
    <tableColumn id="10" xr3:uid="{00000000-0010-0000-1100-00000A000000}" name="BB_Mean" totalsRowDxfId="10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1100-00000B000000}" name="BB_Upper" totalsRowDxfId="100" dataCellStyle="Currency">
      <calculatedColumnFormula>IF(tbl_QCOM[[#This Row],[BB_Mean]]="", "", tbl_QCOM[[#This Row],[BB_Mean]]+(BB_Width*tbl_QCOM[[#This Row],[BB_Stdev]]))</calculatedColumnFormula>
    </tableColumn>
    <tableColumn id="12" xr3:uid="{00000000-0010-0000-1100-00000C000000}" name="BB_Lower" totalsRowDxfId="99" dataCellStyle="Currency">
      <calculatedColumnFormula>IF(tbl_QCOM[[#This Row],[BB_Mean]]="", "", tbl_QCOM[[#This Row],[BB_Mean]]-(BB_Width*tbl_QCOM[[#This Row],[BB_Stdev]]))</calculatedColumnFormula>
    </tableColumn>
    <tableColumn id="13" xr3:uid="{00000000-0010-0000-1100-00000D000000}" name="Move" dataDxfId="183">
      <calculatedColumnFormula>IF(ROW(tbl_QCOM[[#This Row],[Adj Close]])=5, 0, $F5-$F4)</calculatedColumnFormula>
    </tableColumn>
    <tableColumn id="14" xr3:uid="{00000000-0010-0000-1100-00000E000000}" name="Upmove" dataDxfId="182">
      <calculatedColumnFormula>MAX(tbl_QCOM[[#This Row],[Move]],0)</calculatedColumnFormula>
    </tableColumn>
    <tableColumn id="15" xr3:uid="{00000000-0010-0000-1100-00000F000000}" name="Downmove" dataDxfId="181">
      <calculatedColumnFormula>MAX(-tbl_QCOM[[#This Row],[Move]],0)</calculatedColumnFormula>
    </tableColumn>
    <tableColumn id="16" xr3:uid="{00000000-0010-0000-1100-000010000000}" name="Avg_Upmove" dataDxfId="18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1100-000011000000}" name="Avg_Downmove" dataDxfId="17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1100-000012000000}" name="RS" dataDxfId="178">
      <calculatedColumnFormula>IF(tbl_QCOM[[#This Row],[Avg_Upmove]]="", "", tbl_QCOM[[#This Row],[Avg_Upmove]]/tbl_QCOM[[#This Row],[Avg_Downmove]])</calculatedColumnFormula>
    </tableColumn>
    <tableColumn id="19" xr3:uid="{00000000-0010-0000-1100-000013000000}" name="BB_Stdev" totalsRowFunction="count" totalsRowDxfId="9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2000000}" name="tbl_F" displayName="tbl_F" ref="A4:S60" totalsRowCount="1">
  <autoFilter ref="A4:S59" xr:uid="{00000000-0009-0000-0100-000015000000}"/>
  <tableColumns count="19">
    <tableColumn id="1" xr3:uid="{00000000-0010-0000-1200-000001000000}" name="Date" totalsRowLabel="Total" dataDxfId="177"/>
    <tableColumn id="2" xr3:uid="{00000000-0010-0000-1200-000002000000}" name="Open" totalsRowDxfId="97" dataCellStyle="Currency"/>
    <tableColumn id="3" xr3:uid="{00000000-0010-0000-1200-000003000000}" name="High" totalsRowDxfId="96" dataCellStyle="Currency"/>
    <tableColumn id="4" xr3:uid="{00000000-0010-0000-1200-000004000000}" name="Low" totalsRowDxfId="95" dataCellStyle="Currency"/>
    <tableColumn id="5" xr3:uid="{00000000-0010-0000-1200-000005000000}" name="Close" totalsRowDxfId="94" dataCellStyle="Currency"/>
    <tableColumn id="6" xr3:uid="{00000000-0010-0000-1200-000006000000}" name="Adj Close" totalsRowDxfId="93" dataCellStyle="Currency"/>
    <tableColumn id="7" xr3:uid="{00000000-0010-0000-1200-000007000000}" name="Volume"/>
    <tableColumn id="8" xr3:uid="{00000000-0010-0000-1200-000008000000}" name="EMA" totalsRowDxfId="92" dataCellStyle="Currency">
      <calculatedColumnFormula>IF(tbl_F[[#This Row],[Date]]=$A$5, $F5, EMA_Beta*$H4 + (1-EMA_Beta)*$F5)</calculatedColumnFormula>
    </tableColumn>
    <tableColumn id="9" xr3:uid="{00000000-0010-0000-1200-000009000000}" name="RSI" dataDxfId="176">
      <calculatedColumnFormula>IF(tbl_F[[#This Row],[RS]]= "", "", 100-(100/(1+tbl_F[[#This Row],[RS]])))</calculatedColumnFormula>
    </tableColumn>
    <tableColumn id="10" xr3:uid="{00000000-0010-0000-1200-00000A000000}" name="BB_Mean" totalsRowDxfId="91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1200-00000B000000}" name="BB_Upper" totalsRowDxfId="90" dataCellStyle="Currency">
      <calculatedColumnFormula>IF(tbl_F[[#This Row],[BB_Mean]]="", "", tbl_F[[#This Row],[BB_Mean]]+(BB_Width*tbl_F[[#This Row],[BB_Stdev]]))</calculatedColumnFormula>
    </tableColumn>
    <tableColumn id="12" xr3:uid="{00000000-0010-0000-1200-00000C000000}" name="BB_Lower" totalsRowDxfId="89" dataCellStyle="Currency">
      <calculatedColumnFormula>IF(tbl_F[[#This Row],[BB_Mean]]="", "", tbl_F[[#This Row],[BB_Mean]]-(BB_Width*tbl_F[[#This Row],[BB_Stdev]]))</calculatedColumnFormula>
    </tableColumn>
    <tableColumn id="13" xr3:uid="{00000000-0010-0000-1200-00000D000000}" name="Move" dataDxfId="175">
      <calculatedColumnFormula>IF(ROW(tbl_F[[#This Row],[Adj Close]])=5, 0, $F5-$F4)</calculatedColumnFormula>
    </tableColumn>
    <tableColumn id="14" xr3:uid="{00000000-0010-0000-1200-00000E000000}" name="Upmove" dataDxfId="174">
      <calculatedColumnFormula>MAX(tbl_F[[#This Row],[Move]],0)</calculatedColumnFormula>
    </tableColumn>
    <tableColumn id="15" xr3:uid="{00000000-0010-0000-1200-00000F000000}" name="Downmove" dataDxfId="173">
      <calculatedColumnFormula>MAX(-tbl_F[[#This Row],[Move]],0)</calculatedColumnFormula>
    </tableColumn>
    <tableColumn id="16" xr3:uid="{00000000-0010-0000-1200-000010000000}" name="Avg_Upmove" dataDxfId="17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1200-000011000000}" name="Avg_Downmove" dataDxfId="17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1200-000012000000}" name="RS" dataDxfId="170">
      <calculatedColumnFormula>IF(tbl_F[[#This Row],[Avg_Upmove]]="", "", tbl_F[[#This Row],[Avg_Upmove]]/tbl_F[[#This Row],[Avg_Downmove]])</calculatedColumnFormula>
    </tableColumn>
    <tableColumn id="19" xr3:uid="{00000000-0010-0000-1200-000013000000}" name="BB_Stdev" totalsRowFunction="count" totalsRowDxfId="8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ymbol" displayName="tbl_symbol" ref="A3:A18" totalsRowShown="0" headerRowDxfId="354">
  <autoFilter ref="A3:A18" xr:uid="{00000000-0009-0000-0100-000001000000}"/>
  <tableColumns count="1">
    <tableColumn id="1" xr3:uid="{00000000-0010-0000-0100-000001000000}" name="Symbol"/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8BD3864-2685-4D22-B68D-343D0FAC100A}" name="tbl_LTHM" displayName="tbl_LTHM" ref="A4:S60" totalsRowCount="1">
  <autoFilter ref="A4:S59" xr:uid="{00000000-0009-0000-0100-000015000000}"/>
  <tableColumns count="19">
    <tableColumn id="1" xr3:uid="{96B33CE0-C23F-4CA7-98B9-511A51945E7F}" name="Date" totalsRowLabel="Total" dataDxfId="87"/>
    <tableColumn id="2" xr3:uid="{D9D80DB9-003E-48C6-9B1A-A205E99B9FF9}" name="Open" totalsRowDxfId="79" dataCellStyle="Currency"/>
    <tableColumn id="3" xr3:uid="{5E1630C0-FDE7-436F-873D-5B882776AD84}" name="High" totalsRowDxfId="78" dataCellStyle="Currency"/>
    <tableColumn id="4" xr3:uid="{B2A4A40B-733F-47D7-AA83-3AC52EEA4985}" name="Low" totalsRowDxfId="77" dataCellStyle="Currency"/>
    <tableColumn id="5" xr3:uid="{F4ECF193-C440-4EF2-82E4-3B904728BEC1}" name="Close" totalsRowDxfId="76" dataCellStyle="Currency"/>
    <tableColumn id="6" xr3:uid="{C0D1C366-90AD-4897-9AFD-A4A7B1B8E464}" name="Adj Close" totalsRowDxfId="75" dataCellStyle="Currency"/>
    <tableColumn id="7" xr3:uid="{787F9A11-5FA4-48BF-8598-8B9258CF5C39}" name="Volume"/>
    <tableColumn id="8" xr3:uid="{08FB11B5-3FAD-42F4-822C-11A336E329B3}" name="EMA" totalsRowDxfId="74" dataCellStyle="Currency">
      <calculatedColumnFormula>IF(tbl_LTHM[[#This Row],[Date]]=$A$5, $F5, EMA_Beta*$H4 + (1-EMA_Beta)*$F5)</calculatedColumnFormula>
    </tableColumn>
    <tableColumn id="9" xr3:uid="{651F7290-BB22-4FF7-A921-C4F31C844972}" name="RSI" dataDxfId="86">
      <calculatedColumnFormula>IF(tbl_LTHM[[#This Row],[RS]]= "", "", 100-(100/(1+tbl_LTHM[[#This Row],[RS]])))</calculatedColumnFormula>
    </tableColumn>
    <tableColumn id="10" xr3:uid="{72A26CE9-87AD-47F5-9899-455EF0A2605C}" name="BB_Mean" totalsRowDxfId="7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3A9FDD6B-9972-4AD2-A16A-5A6C1B895E39}" name="BB_Upper" totalsRowDxfId="72" dataCellStyle="Currency">
      <calculatedColumnFormula>IF(tbl_LTHM[[#This Row],[BB_Mean]]="", "", tbl_LTHM[[#This Row],[BB_Mean]]+(BB_Width*tbl_LTHM[[#This Row],[BB_Stdev]]))</calculatedColumnFormula>
    </tableColumn>
    <tableColumn id="12" xr3:uid="{7754EA68-4E43-4A6B-AAC8-8DD5F60EAD66}" name="BB_Lower" totalsRowDxfId="71" dataCellStyle="Currency">
      <calculatedColumnFormula>IF(tbl_LTHM[[#This Row],[BB_Mean]]="", "", tbl_LTHM[[#This Row],[BB_Mean]]-(BB_Width*tbl_LTHM[[#This Row],[BB_Stdev]]))</calculatedColumnFormula>
    </tableColumn>
    <tableColumn id="13" xr3:uid="{99BF6118-0E4C-46CB-86C7-67ECF7E6E9FE}" name="Move" dataDxfId="85">
      <calculatedColumnFormula>IF(ROW(tbl_LTHM[[#This Row],[Adj Close]])=5, 0, $F5-$F4)</calculatedColumnFormula>
    </tableColumn>
    <tableColumn id="14" xr3:uid="{40563122-1004-42FF-B17D-675CE19085B0}" name="Upmove" dataDxfId="84">
      <calculatedColumnFormula>MAX(tbl_LTHM[[#This Row],[Move]],0)</calculatedColumnFormula>
    </tableColumn>
    <tableColumn id="15" xr3:uid="{FFDFF669-8427-4B74-88E9-CBD1B8239E6A}" name="Downmove" dataDxfId="83">
      <calculatedColumnFormula>MAX(-tbl_LTHM[[#This Row],[Move]],0)</calculatedColumnFormula>
    </tableColumn>
    <tableColumn id="16" xr3:uid="{ADC8C0EF-0816-487D-9081-280B0231FD1E}" name="Avg_Upmove" dataDxfId="82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E33088F6-F968-4AF2-8337-EC828C6F1838}" name="Avg_Downmove" dataDxfId="81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1853456C-6DAD-4125-95DE-1FCBCF6FAA37}" name="RS" dataDxfId="80">
      <calculatedColumnFormula>IF(tbl_LTHM[[#This Row],[Avg_Upmove]]="", "", tbl_LTHM[[#This Row],[Avg_Upmove]]/tbl_LTHM[[#This Row],[Avg_Downmove]])</calculatedColumnFormula>
    </tableColumn>
    <tableColumn id="19" xr3:uid="{1AAE7FA7-38B7-4D90-8B59-BBAF9FF1C286}" name="BB_Stdev" totalsRowFunction="count" totalsRowDxfId="70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bl_holdings" displayName="tbl_holdings" ref="B4:F20" totalsRowCount="1">
  <autoFilter ref="B4:F19" xr:uid="{00000000-0009-0000-0100-00000B000000}"/>
  <tableColumns count="5">
    <tableColumn id="1" xr3:uid="{00000000-0010-0000-1300-000001000000}" name="Index" totalsRowLabel="Total"/>
    <tableColumn id="2" xr3:uid="{00000000-0010-0000-1300-000002000000}" name="Stock">
      <calculatedColumnFormula>INDEX(Symbol,B5)</calculatedColumnFormula>
    </tableColumn>
    <tableColumn id="3" xr3:uid="{00000000-0010-0000-1300-000003000000}" name="Current Price">
      <calculatedColumnFormula>INDEX(INDIRECT("tbl_"&amp;C5),COUNT(INDIRECT("tbl_"&amp;C5&amp;"[Date]")), MATCH("Adj close", Price_Header,0))</calculatedColumnFormula>
    </tableColumn>
    <tableColumn id="4" xr3:uid="{00000000-0010-0000-1300-000004000000}" name="# Holdings">
      <calculatedColumnFormula>INDEX(tbl_position[], COUNT(tbl_position[Date]), MATCH("Shares_"&amp;C5, pos_header,0))</calculatedColumnFormula>
    </tableColumn>
    <tableColumn id="5" xr3:uid="{00000000-0010-0000-1300-000005000000}" name="Total" totalsRowFunction="sum" dataDxfId="169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4000000}" name="tbl_transsummary" displayName="tbl_transsummary" ref="J4:P11" totalsRowShown="0">
  <autoFilter ref="J4:P11" xr:uid="{00000000-0009-0000-0100-00000F000000}"/>
  <tableColumns count="7">
    <tableColumn id="1" xr3:uid="{00000000-0010-0000-1400-000001000000}" name="Index"/>
    <tableColumn id="2" xr3:uid="{00000000-0010-0000-1400-000002000000}" name="Start" dataDxfId="168">
      <calculatedColumnFormula>K4+7</calculatedColumnFormula>
    </tableColumn>
    <tableColumn id="3" xr3:uid="{00000000-0010-0000-1400-000003000000}" name="End" dataDxfId="167">
      <calculatedColumnFormula>L4+7</calculatedColumnFormula>
    </tableColumn>
    <tableColumn id="4" xr3:uid="{00000000-0010-0000-1400-000004000000}" name="BUY" dataDxfId="166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xr3:uid="{00000000-0010-0000-1400-000005000000}" name="SELL" dataDxfId="165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xr3:uid="{00000000-0010-0000-1400-000006000000}" name="SHORT" dataDxfId="164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xr3:uid="{00000000-0010-0000-1400-000007000000}" name="COVER" dataDxfId="163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transtype" displayName="tbl_transtype" ref="C3:C7" totalsRowShown="0" headerRowDxfId="353">
  <autoFilter ref="C3:C7" xr:uid="{00000000-0009-0000-0100-000002000000}"/>
  <tableColumns count="1">
    <tableColumn id="1" xr3:uid="{00000000-0010-0000-0200-000001000000}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bl_Metrics" displayName="tbl_Metrics" ref="E3:E6" totalsRowShown="0" headerRowDxfId="352">
  <autoFilter ref="E3:E6" xr:uid="{00000000-0009-0000-0100-000007000000}"/>
  <tableColumns count="1">
    <tableColumn id="1" xr3:uid="{00000000-0010-0000-0300-000001000000}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position" displayName="tbl_position" ref="A4:AI38" totalsRowCount="1">
  <autoFilter ref="A4:AI37" xr:uid="{00000000-0009-0000-0100-000004000000}"/>
  <tableColumns count="35">
    <tableColumn id="1" xr3:uid="{00000000-0010-0000-0400-000001000000}" name="Date" totalsRowLabel="Total" dataDxfId="33"/>
    <tableColumn id="2" xr3:uid="{00000000-0010-0000-0400-000002000000}" name="Price_AAPL" totalsRowFunction="count" dataCellStyle="Currency">
      <calculatedColumnFormula>VLOOKUP(tbl_position[[#This Row],[Date]], tbl_AAPL[], 5, 0)</calculatedColumnFormula>
    </tableColumn>
    <tableColumn id="3" xr3:uid="{00000000-0010-0000-0400-000003000000}" name="Price_RIOT" dataDxfId="32" dataCellStyle="Currency">
      <calculatedColumnFormula>VLOOKUP(tbl_position[[#This Row],[Date]], tbl_RIOT[], 5, 0)</calculatedColumnFormula>
    </tableColumn>
    <tableColumn id="4" xr3:uid="{00000000-0010-0000-0400-000004000000}" name="Price_HD" totalsRowDxfId="1" dataCellStyle="Currency">
      <calculatedColumnFormula>VLOOKUP(tbl_position[[#This Row],[Date]], tbl_HD[], 5, 0)</calculatedColumnFormula>
    </tableColumn>
    <tableColumn id="5" xr3:uid="{00000000-0010-0000-0400-000005000000}" name="Price_WMT" dataDxfId="31" dataCellStyle="Currency">
      <calculatedColumnFormula>VLOOKUP(tbl_position[[#This Row],[Date]], tbl_WMT[], 5, 0)</calculatedColumnFormula>
    </tableColumn>
    <tableColumn id="6" xr3:uid="{00000000-0010-0000-0400-000006000000}" name="Price_IBM" dataDxfId="30" dataCellStyle="Currency">
      <calculatedColumnFormula>VLOOKUP(tbl_position[[#This Row],[Date]], tbl_IBM[], 5, 0)</calculatedColumnFormula>
    </tableColumn>
    <tableColumn id="7" xr3:uid="{00000000-0010-0000-0400-000007000000}" name="Price_ORCL" dataDxfId="29" dataCellStyle="Currency">
      <calculatedColumnFormula>VLOOKUP(tbl_position[[#This Row],[Date]], tbl_ORCL[], 5, 0)</calculatedColumnFormula>
    </tableColumn>
    <tableColumn id="20" xr3:uid="{00000000-0010-0000-0400-000014000000}" name="Price_AKRO" dataDxfId="28" dataCellStyle="Currency">
      <calculatedColumnFormula>VLOOKUP(tbl_position[[#This Row],[Date]], tbl_AKRO[], 5, 0)</calculatedColumnFormula>
    </tableColumn>
    <tableColumn id="19" xr3:uid="{00000000-0010-0000-0400-000013000000}" name="Price_FDX" dataDxfId="27" dataCellStyle="Currency">
      <calculatedColumnFormula>VLOOKUP(tbl_position[[#This Row],[Date]], tbl_FDX[], 5, 0)</calculatedColumnFormula>
    </tableColumn>
    <tableColumn id="21" xr3:uid="{00000000-0010-0000-0400-000015000000}" name="Price_NKLA" dataDxfId="26" dataCellStyle="Currency">
      <calculatedColumnFormula>VLOOKUP(tbl_position[[#This Row],[Date]], tbl_NKLA[], 5, 0)</calculatedColumnFormula>
    </tableColumn>
    <tableColumn id="22" xr3:uid="{00000000-0010-0000-0400-000016000000}" name="Price_SPXS" dataDxfId="25" dataCellStyle="Currency">
      <calculatedColumnFormula>VLOOKUP(tbl_position[[#This Row],[Date]], tbl_SPXS[], 5, 0)</calculatedColumnFormula>
    </tableColumn>
    <tableColumn id="17" xr3:uid="{00000000-0010-0000-0400-000011000000}" name="Price_AMD" dataDxfId="24" dataCellStyle="Currency">
      <calculatedColumnFormula>VLOOKUP(tbl_position[[#This Row],[Date]], tbl_AMD[], 5, 0)</calculatedColumnFormula>
    </tableColumn>
    <tableColumn id="28" xr3:uid="{00000000-0010-0000-0400-00001C000000}" name="Price_CVX" dataDxfId="23" dataCellStyle="Currency">
      <calculatedColumnFormula>VLOOKUP(tbl_position[[#This Row],[Date]], tbl_CVX[], 5, 0)</calculatedColumnFormula>
    </tableColumn>
    <tableColumn id="31" xr3:uid="{00000000-0010-0000-0400-00001F000000}" name="Price_QCOM" dataDxfId="22" dataCellStyle="Currency">
      <calculatedColumnFormula>VLOOKUP(tbl_position[[#This Row],[Date]], tbl_QCOM[], 5, 0)</calculatedColumnFormula>
    </tableColumn>
    <tableColumn id="34" xr3:uid="{00000000-0010-0000-0400-000022000000}" name="Price_F" dataDxfId="21" dataCellStyle="Currency">
      <calculatedColumnFormula>VLOOKUP(tbl_position[[#This Row],[Date]], tbl_F[], 5, 0)</calculatedColumnFormula>
    </tableColumn>
    <tableColumn id="30" xr3:uid="{52CAEF03-0BB9-420F-8093-95A1832D0AD4}" name="Price_LTHM" dataDxfId="20" dataCellStyle="Currency">
      <calculatedColumnFormula>VLOOKUP(tbl_position[[#This Row],[Date]], tbl_LTHM[], 5, 0)</calculatedColumnFormula>
    </tableColumn>
    <tableColumn id="8" xr3:uid="{00000000-0010-0000-0400-000008000000}" name="Shares_AAPL" dataDxfId="19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$Q4)</calculatedColumnFormula>
    </tableColumn>
    <tableColumn id="9" xr3:uid="{00000000-0010-0000-0400-000009000000}" name="Shares_RIOT" dataDxfId="18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$R4)</calculatedColumnFormula>
    </tableColumn>
    <tableColumn id="10" xr3:uid="{00000000-0010-0000-0400-00000A000000}" name="Shares_HD" dataDxfId="17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$S4)</calculatedColumnFormula>
    </tableColumn>
    <tableColumn id="11" xr3:uid="{00000000-0010-0000-0400-00000B000000}" name="Shares_WMT" dataDxfId="16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$T4)</calculatedColumnFormula>
    </tableColumn>
    <tableColumn id="12" xr3:uid="{00000000-0010-0000-0400-00000C000000}" name="Shares_IBM" dataDxfId="15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$U4)</calculatedColumnFormula>
    </tableColumn>
    <tableColumn id="13" xr3:uid="{00000000-0010-0000-0400-00000D000000}" name="Shares_ORCL" dataDxfId="14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$V4)</calculatedColumnFormula>
    </tableColumn>
    <tableColumn id="26" xr3:uid="{00000000-0010-0000-0400-00001A000000}" name="Shares_AKRO" dataDxfId="13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$W4)</calculatedColumnFormula>
    </tableColumn>
    <tableColumn id="25" xr3:uid="{00000000-0010-0000-0400-000019000000}" name="Shares_FDX" dataDxfId="12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$X4)</calculatedColumnFormula>
    </tableColumn>
    <tableColumn id="24" xr3:uid="{00000000-0010-0000-0400-000018000000}" name="Shares_NKLA" dataDxfId="11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$Y4)</calculatedColumnFormula>
    </tableColumn>
    <tableColumn id="23" xr3:uid="{00000000-0010-0000-0400-000017000000}" name="Shares_SPXS" dataDxfId="10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$Z4)</calculatedColumnFormula>
    </tableColumn>
    <tableColumn id="27" xr3:uid="{00000000-0010-0000-0400-00001B000000}" name="Shares_AMD" dataDxfId="9">
      <calculatedColumnFormula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$AA4)</calculatedColumnFormula>
    </tableColumn>
    <tableColumn id="29" xr3:uid="{00000000-0010-0000-0400-00001D000000}" name="Shares_CVX" dataDxfId="8">
      <calculatedColumnFormula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$AB4)</calculatedColumnFormula>
    </tableColumn>
    <tableColumn id="33" xr3:uid="{00000000-0010-0000-0400-000021000000}" name="Shares_QCOM" dataDxfId="7">
      <calculatedColumnFormula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$AC4)</calculatedColumnFormula>
    </tableColumn>
    <tableColumn id="35" xr3:uid="{00000000-0010-0000-0400-000023000000}" name="Shares_F" dataDxfId="6">
      <calculatedColumnFormula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$AD4)</calculatedColumnFormula>
    </tableColumn>
    <tableColumn id="32" xr3:uid="{E05D05CF-87C3-49C4-AD9E-C82CAF7177D4}" name="Shares_LTHM" dataDxfId="5">
      <calculatedColumnFormula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$AE4)</calculatedColumnFormula>
    </tableColumn>
    <tableColumn id="14" xr3:uid="{00000000-0010-0000-0400-00000E000000}" name="Shares_Holding" dataCellStyle="Currency">
      <calculatedColumnFormula xml:space="preserve"> SUMPRODUCT(INDIRECT(ADDRESS(ROW(AF5), 2)):INDIRECT(ADDRESS(ROW(AF5), MATCH("Shares_AAPL", pos_header,0)-1)), INDIRECT(ADDRESS(ROW(AF5), MATCH("Shares_AAPL", pos_header,0))): INDIRECT(ADDRESS(ROW(AF5), MATCH("Shares_Holding", pos_header,0)-1)))</calculatedColumnFormula>
    </tableColumn>
    <tableColumn id="15" xr3:uid="{00000000-0010-0000-0400-00000F000000}" name="Cash_Holding" dataDxfId="4" totalsRowDxfId="0" dataCellStyle="Currency">
      <calculatedColumnFormula>SUMIFS(tbl_transaction[Net_Cash_Change], tbl_transaction[Transaction_Date],tbl_position[[#This Row],[Date]])+IF(tbl_position[[#This Row],[Date]]=$A$5, 100000, $AG4)</calculatedColumnFormula>
    </tableColumn>
    <tableColumn id="16" xr3:uid="{00000000-0010-0000-0400-000010000000}" name="Liabilities_Holding" dataDxfId="3">
      <calculatedColumnFormula>SUMIFS(tbl_transaction[Net_Debt_Change], tbl_transaction[Transaction_Date],tbl_position[[#This Row],[Date]])+IF(tbl_position[[#This Row],[Date]]=$A$5, 0, $AH4)</calculatedColumnFormula>
    </tableColumn>
    <tableColumn id="18" xr3:uid="{00000000-0010-0000-0400-000012000000}" name="Total_Net_Asset" dataDxfId="2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HD" displayName="tbl_HD" ref="A4:S60" totalsRowCount="1">
  <autoFilter ref="A4:S59" xr:uid="{00000000-0009-0000-0100-000005000000}"/>
  <tableColumns count="19">
    <tableColumn id="1" xr3:uid="{00000000-0010-0000-0500-000001000000}" name="Date" totalsRowLabel="Total" dataDxfId="53"/>
    <tableColumn id="2" xr3:uid="{00000000-0010-0000-0500-000002000000}" name="Open" dataDxfId="52"/>
    <tableColumn id="3" xr3:uid="{00000000-0010-0000-0500-000003000000}" name="High" dataDxfId="51"/>
    <tableColumn id="4" xr3:uid="{00000000-0010-0000-0500-000004000000}" name="Low" dataDxfId="50"/>
    <tableColumn id="5" xr3:uid="{00000000-0010-0000-0500-000005000000}" name="Close" dataDxfId="49"/>
    <tableColumn id="6" xr3:uid="{00000000-0010-0000-0500-000006000000}" name="Adj Close" dataDxfId="48"/>
    <tableColumn id="7" xr3:uid="{00000000-0010-0000-0500-000007000000}" name="Volume"/>
    <tableColumn id="8" xr3:uid="{00000000-0010-0000-0500-000008000000}" name="EMA" totalsRowDxfId="47" dataCellStyle="Currency">
      <calculatedColumnFormula>IF(tbl_HD[[#This Row],[Date]]=$A$5, $F5, EMA_Beta*$H4 + (1-EMA_Beta)*$F5)</calculatedColumnFormula>
    </tableColumn>
    <tableColumn id="9" xr3:uid="{00000000-0010-0000-0500-000009000000}" name="RSI" dataDxfId="46">
      <calculatedColumnFormula>IF(tbl_HD[[#This Row],[RS]]= "", "", 100-(100/(1+tbl_HD[[#This Row],[RS]])))</calculatedColumnFormula>
    </tableColumn>
    <tableColumn id="10" xr3:uid="{00000000-0010-0000-0500-00000A000000}" name="BB_Mean" totalsRowDxfId="4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500-00000B000000}" name="BB_Upper" dataDxfId="44" totalsRowDxfId="43" dataCellStyle="Currency">
      <calculatedColumnFormula>IF(tbl_HD[[#This Row],[BB_Mean]]="", "", tbl_HD[[#This Row],[BB_Mean]]+(BB_Width*tbl_HD[[#This Row],[BB_Stdev]]))</calculatedColumnFormula>
    </tableColumn>
    <tableColumn id="12" xr3:uid="{00000000-0010-0000-0500-00000C000000}" name="BB_Lower" dataDxfId="42" totalsRowDxfId="41" dataCellStyle="Currency">
      <calculatedColumnFormula>IF(tbl_HD[[#This Row],[BB_Mean]]="", "", tbl_HD[[#This Row],[BB_Mean]]-(BB_Width*tbl_HD[[#This Row],[BB_Stdev]]))</calculatedColumnFormula>
    </tableColumn>
    <tableColumn id="13" xr3:uid="{00000000-0010-0000-0500-00000D000000}" name="Move" dataDxfId="40">
      <calculatedColumnFormula>IF(ROW(tbl_HD[[#This Row],[Adj Close]])=5, 0, $F5-$F4)</calculatedColumnFormula>
    </tableColumn>
    <tableColumn id="14" xr3:uid="{00000000-0010-0000-0500-00000E000000}" name="Upmove" dataDxfId="39">
      <calculatedColumnFormula>MAX(tbl_HD[[#This Row],[Move]],0)</calculatedColumnFormula>
    </tableColumn>
    <tableColumn id="15" xr3:uid="{00000000-0010-0000-0500-00000F000000}" name="Downmove" dataDxfId="38">
      <calculatedColumnFormula>MAX(-tbl_HD[[#This Row],[Move]],0)</calculatedColumnFormula>
    </tableColumn>
    <tableColumn id="16" xr3:uid="{00000000-0010-0000-0500-000010000000}" name="Avg_Upmove" dataDxfId="37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500-000011000000}" name="Avg_Downmove" dataDxfId="36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500-000012000000}" name="RS" dataDxfId="35">
      <calculatedColumnFormula>IF(tbl_HD[[#This Row],[Avg_Upmove]]="", "", tbl_HD[[#This Row],[Avg_Upmove]]/tbl_HD[[#This Row],[Avg_Downmove]])</calculatedColumnFormula>
    </tableColumn>
    <tableColumn id="19" xr3:uid="{00000000-0010-0000-0500-000013000000}" name="BB_Stdev" totalsRowFunction="count" totalsRowDxfId="34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l_AAPL" displayName="tbl_AAPL" ref="A4:S60" totalsRowCount="1">
  <autoFilter ref="A4:S59" xr:uid="{00000000-0009-0000-0100-000006000000}"/>
  <tableColumns count="19">
    <tableColumn id="1" xr3:uid="{00000000-0010-0000-0600-000001000000}" name="Date" totalsRowLabel="Total" dataDxfId="351"/>
    <tableColumn id="2" xr3:uid="{00000000-0010-0000-0600-000002000000}" name="Open" totalsRowDxfId="350" dataCellStyle="Currency"/>
    <tableColumn id="3" xr3:uid="{00000000-0010-0000-0600-000003000000}" name="High" totalsRowDxfId="349" dataCellStyle="Currency"/>
    <tableColumn id="4" xr3:uid="{00000000-0010-0000-0600-000004000000}" name="Low" totalsRowDxfId="348" dataCellStyle="Currency"/>
    <tableColumn id="5" xr3:uid="{00000000-0010-0000-0600-000005000000}" name="Close" totalsRowDxfId="347" dataCellStyle="Currency"/>
    <tableColumn id="6" xr3:uid="{00000000-0010-0000-0600-000006000000}" name="Adj Close" totalsRowDxfId="346" dataCellStyle="Currency"/>
    <tableColumn id="7" xr3:uid="{00000000-0010-0000-0600-000007000000}" name="Volume"/>
    <tableColumn id="8" xr3:uid="{00000000-0010-0000-0600-000008000000}" name="EMA" dataDxfId="345" totalsRowDxfId="344" dataCellStyle="Currency">
      <calculatedColumnFormula>IF(tbl_AAPL[[#This Row],[Date]]=$A$5, $F5, EMA_Beta*$H4 + (1-EMA_Beta)*$F5)</calculatedColumnFormula>
    </tableColumn>
    <tableColumn id="9" xr3:uid="{00000000-0010-0000-0600-000009000000}" name="RSI" dataDxfId="343" totalsRowDxfId="342" dataCellStyle="Currency">
      <calculatedColumnFormula>IF(tbl_AAPL[[#This Row],[RS]]= "", "", 100-(100/(1+tbl_AAPL[[#This Row],[RS]])))</calculatedColumnFormula>
    </tableColumn>
    <tableColumn id="10" xr3:uid="{00000000-0010-0000-0600-00000A000000}" name="BB_Mean" dataDxfId="341" totalsRowDxfId="34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600-00000B000000}" name="BB_Upper" dataDxfId="339" totalsRowDxfId="338" dataCellStyle="Currency">
      <calculatedColumnFormula>IF(tbl_AAPL[[#This Row],[BB_Mean]]="", "", tbl_AAPL[[#This Row],[BB_Mean]]+(BB_Width*tbl_AAPL[[#This Row],[BB_Stdev]]))</calculatedColumnFormula>
    </tableColumn>
    <tableColumn id="12" xr3:uid="{00000000-0010-0000-0600-00000C000000}" name="BB_Lower" dataDxfId="337" totalsRowDxfId="336" dataCellStyle="Currency">
      <calculatedColumnFormula>IF(tbl_AAPL[[#This Row],[BB_Mean]]="", "", tbl_AAPL[[#This Row],[BB_Mean]]-(BB_Width*tbl_AAPL[[#This Row],[BB_Stdev]]))</calculatedColumnFormula>
    </tableColumn>
    <tableColumn id="13" xr3:uid="{00000000-0010-0000-0600-00000D000000}" name="Move" dataDxfId="335" totalsRowDxfId="334" dataCellStyle="Currency">
      <calculatedColumnFormula>IF(ROW(tbl_AAPL[[#This Row],[Adj Close]])=5, 0, $F5-$F4)</calculatedColumnFormula>
    </tableColumn>
    <tableColumn id="14" xr3:uid="{00000000-0010-0000-0600-00000E000000}" name="Upmove" dataDxfId="333" totalsRowDxfId="332" dataCellStyle="Currency">
      <calculatedColumnFormula>MAX(tbl_AAPL[[#This Row],[Move]],0)</calculatedColumnFormula>
    </tableColumn>
    <tableColumn id="15" xr3:uid="{00000000-0010-0000-0600-00000F000000}" name="Downmove" dataDxfId="331" totalsRowDxfId="330" dataCellStyle="Currency">
      <calculatedColumnFormula>MAX(-tbl_AAPL[[#This Row],[Move]],0)</calculatedColumnFormula>
    </tableColumn>
    <tableColumn id="16" xr3:uid="{00000000-0010-0000-0600-000010000000}" name="Avg_Upmove" dataDxfId="329" totalsRowDxfId="328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600-000011000000}" name="Avg_Downmove" dataDxfId="327" totalsRowDxfId="326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600-000012000000}" name="RS" dataDxfId="325" totalsRowDxfId="324" dataCellStyle="Currency">
      <calculatedColumnFormula>IF(tbl_AAPL[[#This Row],[Avg_Upmove]]="", "", tbl_AAPL[[#This Row],[Avg_Upmove]]/tbl_AAPL[[#This Row],[Avg_Downmove]])</calculatedColumnFormula>
    </tableColumn>
    <tableColumn id="19" xr3:uid="{00000000-0010-0000-0600-000013000000}" name="BB_Stdev" totalsRowFunction="count" dataDxfId="323" totalsRowDxfId="32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bl_WMT" displayName="tbl_WMT" ref="A4:S60" totalsRowCount="1">
  <autoFilter ref="A4:S59" xr:uid="{00000000-0009-0000-0100-000009000000}"/>
  <tableColumns count="19">
    <tableColumn id="1" xr3:uid="{00000000-0010-0000-0700-000001000000}" name="Date" totalsRowLabel="Total" dataDxfId="321"/>
    <tableColumn id="2" xr3:uid="{00000000-0010-0000-0700-000002000000}" name="Open" dataDxfId="320"/>
    <tableColumn id="3" xr3:uid="{00000000-0010-0000-0700-000003000000}" name="High" dataDxfId="319"/>
    <tableColumn id="4" xr3:uid="{00000000-0010-0000-0700-000004000000}" name="Low" dataDxfId="318"/>
    <tableColumn id="5" xr3:uid="{00000000-0010-0000-0700-000005000000}" name="Close" dataDxfId="317"/>
    <tableColumn id="6" xr3:uid="{00000000-0010-0000-0700-000006000000}" name="Adj Close" dataDxfId="316"/>
    <tableColumn id="7" xr3:uid="{00000000-0010-0000-0700-000007000000}" name="Volume"/>
    <tableColumn id="8" xr3:uid="{00000000-0010-0000-0700-000008000000}" name="EMA" dataDxfId="315">
      <calculatedColumnFormula>IF(tbl_WMT[[#This Row],[Date]]=$A$5, $F5, EMA_Beta*$H4 + (1-EMA_Beta)*$F5)</calculatedColumnFormula>
    </tableColumn>
    <tableColumn id="9" xr3:uid="{00000000-0010-0000-0700-000009000000}" name="RSI" dataDxfId="314" totalsRowDxfId="313" dataCellStyle="Currency">
      <calculatedColumnFormula>IF(tbl_WMT[[#This Row],[RS]]= "", "", 100-(100/(1+tbl_WMT[[#This Row],[RS]])))</calculatedColumnFormula>
    </tableColumn>
    <tableColumn id="10" xr3:uid="{00000000-0010-0000-0700-00000A000000}" name="BB_Mean" dataDxfId="312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700-00000B000000}" name="BB_Upper" dataDxfId="311">
      <calculatedColumnFormula>IF(tbl_WMT[[#This Row],[BB_Mean]]="", "", tbl_WMT[[#This Row],[BB_Mean]]+(BB_Width*tbl_WMT[[#This Row],[BB_Stdev]]))</calculatedColumnFormula>
    </tableColumn>
    <tableColumn id="12" xr3:uid="{00000000-0010-0000-0700-00000C000000}" name="BB_Lower" dataDxfId="310">
      <calculatedColumnFormula>IF(tbl_WMT[[#This Row],[BB_Mean]]="", "", tbl_WMT[[#This Row],[BB_Mean]]-(BB_Width*tbl_WMT[[#This Row],[BB_Stdev]]))</calculatedColumnFormula>
    </tableColumn>
    <tableColumn id="13" xr3:uid="{00000000-0010-0000-0700-00000D000000}" name="Move" dataDxfId="309">
      <calculatedColumnFormula>IF(ROW(tbl_WMT[[#This Row],[Adj Close]])=5, 0, $F5-$F4)</calculatedColumnFormula>
    </tableColumn>
    <tableColumn id="14" xr3:uid="{00000000-0010-0000-0700-00000E000000}" name="Upmove" dataDxfId="308">
      <calculatedColumnFormula>MAX(tbl_WMT[[#This Row],[Move]],0)</calculatedColumnFormula>
    </tableColumn>
    <tableColumn id="15" xr3:uid="{00000000-0010-0000-0700-00000F000000}" name="Downmove" dataDxfId="307">
      <calculatedColumnFormula>MAX(-tbl_WMT[[#This Row],[Move]],0)</calculatedColumnFormula>
    </tableColumn>
    <tableColumn id="16" xr3:uid="{00000000-0010-0000-0700-000010000000}" name="Avg_Upmove" dataDxfId="30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700-000011000000}" name="Avg_Downmove" dataDxfId="30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700-000012000000}" name="RS" dataDxfId="304">
      <calculatedColumnFormula>IF(tbl_WMT[[#This Row],[Avg_Upmove]]="", "", tbl_WMT[[#This Row],[Avg_Upmove]]/tbl_WMT[[#This Row],[Avg_Downmove]])</calculatedColumnFormula>
    </tableColumn>
    <tableColumn id="19" xr3:uid="{00000000-0010-0000-0700-000013000000}" name="BB_Stdev" totalsRowFunction="count" dataDxfId="303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bl_RIOT" displayName="tbl_RIOT" ref="A4:S60" totalsRowCount="1">
  <autoFilter ref="A4:S59" xr:uid="{00000000-0009-0000-0100-00000A000000}"/>
  <tableColumns count="19">
    <tableColumn id="1" xr3:uid="{00000000-0010-0000-0800-000001000000}" name="Date" totalsRowLabel="Total" dataDxfId="302"/>
    <tableColumn id="2" xr3:uid="{00000000-0010-0000-0800-000002000000}" name="Open" dataDxfId="301"/>
    <tableColumn id="3" xr3:uid="{00000000-0010-0000-0800-000003000000}" name="High" dataDxfId="300"/>
    <tableColumn id="4" xr3:uid="{00000000-0010-0000-0800-000004000000}" name="Low" dataDxfId="299"/>
    <tableColumn id="5" xr3:uid="{00000000-0010-0000-0800-000005000000}" name="Close" dataDxfId="298"/>
    <tableColumn id="6" xr3:uid="{00000000-0010-0000-0800-000006000000}" name="Adj Close" dataDxfId="297"/>
    <tableColumn id="7" xr3:uid="{00000000-0010-0000-0800-000007000000}" name="Volume"/>
    <tableColumn id="8" xr3:uid="{00000000-0010-0000-0800-000008000000}" name="EMA" dataDxfId="296">
      <calculatedColumnFormula>IF(tbl_RIOT[[#This Row],[Date]]=$A$5, $F5, EMA_Beta*$H4 + (1-EMA_Beta)*$F5)</calculatedColumnFormula>
    </tableColumn>
    <tableColumn id="9" xr3:uid="{00000000-0010-0000-0800-000009000000}" name="RSI" dataDxfId="295">
      <calculatedColumnFormula>IF(tbl_RIOT[[#This Row],[RS]]= "", "", 100-(100/(1+tbl_RIOT[[#This Row],[RS]])))</calculatedColumnFormula>
    </tableColumn>
    <tableColumn id="10" xr3:uid="{00000000-0010-0000-0800-00000A000000}" name="BB_Mean" dataDxfId="294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800-00000B000000}" name="BB_Upper" dataDxfId="293">
      <calculatedColumnFormula>IF(tbl_RIOT[[#This Row],[BB_Mean]]="", "", tbl_RIOT[[#This Row],[BB_Mean]]+(BB_Width*tbl_RIOT[[#This Row],[BB_Stdev]]))</calculatedColumnFormula>
    </tableColumn>
    <tableColumn id="12" xr3:uid="{00000000-0010-0000-0800-00000C000000}" name="BB_Lower" dataDxfId="292">
      <calculatedColumnFormula>IF(tbl_RIOT[[#This Row],[BB_Mean]]="", "", tbl_RIOT[[#This Row],[BB_Mean]]-(BB_Width*tbl_RIOT[[#This Row],[BB_Stdev]]))</calculatedColumnFormula>
    </tableColumn>
    <tableColumn id="13" xr3:uid="{00000000-0010-0000-0800-00000D000000}" name="Move" dataDxfId="291">
      <calculatedColumnFormula>IF(ROW(tbl_RIOT[[#This Row],[Adj Close]])=5, 0, $F5-$F4)</calculatedColumnFormula>
    </tableColumn>
    <tableColumn id="14" xr3:uid="{00000000-0010-0000-0800-00000E000000}" name="Upmove" dataDxfId="290">
      <calculatedColumnFormula>MAX(tbl_RIOT[[#This Row],[Move]],0)</calculatedColumnFormula>
    </tableColumn>
    <tableColumn id="15" xr3:uid="{00000000-0010-0000-0800-00000F000000}" name="Downmove" dataDxfId="289">
      <calculatedColumnFormula>MAX(-tbl_RIOT[[#This Row],[Move]],0)</calculatedColumnFormula>
    </tableColumn>
    <tableColumn id="16" xr3:uid="{00000000-0010-0000-0800-000010000000}" name="Avg_Upmove" dataDxfId="28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800-000011000000}" name="Avg_Downmove" dataDxfId="28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800-000012000000}" name="RS" dataDxfId="286">
      <calculatedColumnFormula>IF(tbl_RIOT[[#This Row],[Avg_Upmove]]="", "", tbl_RIOT[[#This Row],[Avg_Upmove]]/tbl_RIOT[[#This Row],[Avg_Downmove]])</calculatedColumnFormula>
    </tableColumn>
    <tableColumn id="19" xr3:uid="{00000000-0010-0000-0800-000013000000}" name="BB_Stdev" totalsRowFunction="count" dataDxfId="285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25"/>
  <sheetViews>
    <sheetView workbookViewId="0">
      <selection activeCell="E21" sqref="E21"/>
    </sheetView>
  </sheetViews>
  <sheetFormatPr defaultRowHeight="14.5" x14ac:dyDescent="0.35"/>
  <cols>
    <col min="10" max="10" width="10.81640625" customWidth="1"/>
  </cols>
  <sheetData>
    <row r="1" spans="1:9" ht="23.5" x14ac:dyDescent="0.55000000000000004">
      <c r="B1" s="5" t="s">
        <v>0</v>
      </c>
      <c r="C1" s="5"/>
      <c r="D1" s="5"/>
      <c r="E1" s="5"/>
      <c r="F1" s="6"/>
      <c r="G1" s="6"/>
      <c r="H1" s="6"/>
    </row>
    <row r="3" spans="1:9" ht="15.5" x14ac:dyDescent="0.3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35">
      <c r="B4" t="s">
        <v>3</v>
      </c>
    </row>
    <row r="5" spans="1:9" x14ac:dyDescent="0.35">
      <c r="B5" t="s">
        <v>4</v>
      </c>
    </row>
    <row r="6" spans="1:9" x14ac:dyDescent="0.35">
      <c r="B6" t="s">
        <v>10</v>
      </c>
    </row>
    <row r="8" spans="1:9" ht="15.5" x14ac:dyDescent="0.3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35">
      <c r="B9" t="s">
        <v>7</v>
      </c>
    </row>
    <row r="10" spans="1:9" x14ac:dyDescent="0.35">
      <c r="B10" t="s">
        <v>8</v>
      </c>
    </row>
    <row r="11" spans="1:9" x14ac:dyDescent="0.35">
      <c r="B11" t="s">
        <v>9</v>
      </c>
    </row>
    <row r="13" spans="1:9" ht="15.5" x14ac:dyDescent="0.3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35">
      <c r="B14" t="s">
        <v>13</v>
      </c>
    </row>
    <row r="15" spans="1:9" x14ac:dyDescent="0.35">
      <c r="B15" t="s">
        <v>14</v>
      </c>
    </row>
    <row r="18" spans="1:13" ht="19" thickBot="1" x14ac:dyDescent="0.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" thickBot="1" x14ac:dyDescent="0.4">
      <c r="A19" t="s">
        <v>88</v>
      </c>
      <c r="J19" s="34" t="s">
        <v>104</v>
      </c>
      <c r="K19" s="35" t="s">
        <v>105</v>
      </c>
      <c r="L19" s="35"/>
      <c r="M19" s="36"/>
    </row>
    <row r="20" spans="1:13" ht="15" thickBot="1" x14ac:dyDescent="0.4">
      <c r="A20" t="s">
        <v>89</v>
      </c>
      <c r="J20" s="38" t="s">
        <v>106</v>
      </c>
      <c r="K20" s="39" t="s">
        <v>107</v>
      </c>
      <c r="L20" s="32"/>
      <c r="M20" s="33"/>
    </row>
    <row r="21" spans="1:13" ht="16" thickBot="1" x14ac:dyDescent="0.4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3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3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3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3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3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3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3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3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3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3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3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3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3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3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3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" thickBot="1" x14ac:dyDescent="0.4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" thickBot="1" x14ac:dyDescent="0.4"/>
    <row r="39" spans="1:16" x14ac:dyDescent="0.3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" thickBot="1" x14ac:dyDescent="0.4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" thickBot="1" x14ac:dyDescent="0.4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3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3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3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3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3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" thickBot="1" x14ac:dyDescent="0.4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35">
      <c r="A49" t="s">
        <v>145</v>
      </c>
    </row>
    <row r="50" spans="1:10" ht="15" thickBot="1" x14ac:dyDescent="0.4">
      <c r="A50" t="s">
        <v>128</v>
      </c>
    </row>
    <row r="51" spans="1:10" ht="16" thickBot="1" x14ac:dyDescent="0.4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3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3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3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3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3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3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3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3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3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3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3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" thickBot="1" x14ac:dyDescent="0.4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35">
      <c r="A65" t="s">
        <v>146</v>
      </c>
    </row>
    <row r="66" spans="1:10" x14ac:dyDescent="0.35">
      <c r="A66" t="s">
        <v>147</v>
      </c>
    </row>
    <row r="68" spans="1:10" ht="18.5" x14ac:dyDescent="0.45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5" x14ac:dyDescent="0.45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5" x14ac:dyDescent="0.35">
      <c r="A99" t="s">
        <v>151</v>
      </c>
    </row>
    <row r="100" spans="1:9" x14ac:dyDescent="0.35">
      <c r="A100" t="s">
        <v>154</v>
      </c>
    </row>
    <row r="101" spans="1:9" x14ac:dyDescent="0.35">
      <c r="A101" t="s">
        <v>155</v>
      </c>
    </row>
    <row r="102" spans="1:9" x14ac:dyDescent="0.35">
      <c r="A102" t="s">
        <v>156</v>
      </c>
    </row>
    <row r="103" spans="1:9" ht="15.5" x14ac:dyDescent="0.35">
      <c r="A103" t="s">
        <v>152</v>
      </c>
    </row>
    <row r="104" spans="1:9" x14ac:dyDescent="0.35">
      <c r="A104" t="s">
        <v>157</v>
      </c>
    </row>
    <row r="105" spans="1:9" ht="15.5" x14ac:dyDescent="0.35">
      <c r="A105" t="s">
        <v>153</v>
      </c>
    </row>
    <row r="106" spans="1:9" x14ac:dyDescent="0.35">
      <c r="A106" t="s">
        <v>158</v>
      </c>
    </row>
    <row r="125" spans="2:9" ht="18.5" x14ac:dyDescent="0.45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60"/>
  <sheetViews>
    <sheetView topLeftCell="B54" zoomScale="110" zoomScaleNormal="110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170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3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3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3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3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3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3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3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3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3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3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3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3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3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3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3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3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3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3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35">
      <c r="A37" s="8">
        <v>44098</v>
      </c>
      <c r="B37" s="48">
        <v>118.1</v>
      </c>
      <c r="C37" s="48">
        <v>119.52</v>
      </c>
      <c r="D37" s="48">
        <v>116.48</v>
      </c>
      <c r="E37" s="48">
        <v>118.09</v>
      </c>
      <c r="F37" s="48">
        <v>118.09</v>
      </c>
      <c r="G37">
        <v>3546200</v>
      </c>
      <c r="H37" s="48">
        <f>IF(tbl_IBM[[#This Row],[Date]]=$A$5, $F37, EMA_Beta*$H36 + (1-EMA_Beta)*$F37)</f>
        <v>122.07803687860887</v>
      </c>
      <c r="I37" s="46">
        <f ca="1">IF(tbl_IBM[[#This Row],[RS]]= "", "", 100-(100/(1+tbl_IBM[[#This Row],[RS]])))</f>
        <v>32.03390982476111</v>
      </c>
      <c r="J37" s="48">
        <f ca="1">IF(ROW($N37)-4&lt;BB_Periods, "", AVERAGE(INDIRECT(ADDRESS(ROW($F37)-RSI_Periods +1, MATCH("Adj Close", Price_Header,0))): INDIRECT(ADDRESS(ROW($F37),MATCH("Adj Close", Price_Header,0)))))</f>
        <v>121.56428557142856</v>
      </c>
      <c r="K37" s="48">
        <f ca="1">IF(tbl_IBM[[#This Row],[BB_Mean]]="", "", tbl_IBM[[#This Row],[BB_Mean]]+(BB_Width*tbl_IBM[[#This Row],[BB_Stdev]]))</f>
        <v>125.29947153834988</v>
      </c>
      <c r="L37" s="48">
        <f ca="1">IF(tbl_IBM[[#This Row],[BB_Mean]]="", "", tbl_IBM[[#This Row],[BB_Mean]]-(BB_Width*tbl_IBM[[#This Row],[BB_Stdev]]))</f>
        <v>117.82909960450723</v>
      </c>
      <c r="M37" s="46">
        <f>IF(ROW(tbl_IBM[[#This Row],[Adj Close]])=5, 0, $F37-$F36)</f>
        <v>-0.73999999999999488</v>
      </c>
      <c r="N37" s="46">
        <f>MAX(tbl_IBM[[#This Row],[Move]],0)</f>
        <v>0</v>
      </c>
      <c r="O37" s="46">
        <f>MAX(-tbl_IBM[[#This Row],[Move]],0)</f>
        <v>0.73999999999999488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0.85928571428571543</v>
      </c>
      <c r="R37" s="46">
        <f ca="1">IF(tbl_IBM[[#This Row],[Avg_Upmove]]="", "", tbl_IBM[[#This Row],[Avg_Upmove]]/tbl_IBM[[#This Row],[Avg_Downmove]])</f>
        <v>0.47132194513715836</v>
      </c>
      <c r="S37" s="48">
        <f ca="1">IF(ROW($N37)-4&lt;BB_Periods, "", _xlfn.STDEV.S(INDIRECT(ADDRESS(ROW($F37)-RSI_Periods +1, MATCH("Adj Close", Price_Header,0))): INDIRECT(ADDRESS(ROW($F37),MATCH("Adj Close", Price_Header,0)))))</f>
        <v>1.8675929834606624</v>
      </c>
    </row>
    <row r="38" spans="1:19" x14ac:dyDescent="0.35">
      <c r="A38" s="8">
        <v>44099</v>
      </c>
      <c r="B38" s="48">
        <v>117.6</v>
      </c>
      <c r="C38" s="48">
        <v>119.41</v>
      </c>
      <c r="D38" s="48">
        <v>116.94</v>
      </c>
      <c r="E38" s="48">
        <v>118.95</v>
      </c>
      <c r="F38" s="48">
        <v>118.95</v>
      </c>
      <c r="G38">
        <v>2953700</v>
      </c>
      <c r="H38" s="48">
        <f>IF(tbl_IBM[[#This Row],[Date]]=$A$5, $F38, EMA_Beta*$H37 + (1-EMA_Beta)*$F38)</f>
        <v>121.76523319074798</v>
      </c>
      <c r="I38" s="46">
        <f ca="1">IF(tbl_IBM[[#This Row],[RS]]= "", "", 100-(100/(1+tbl_IBM[[#This Row],[RS]])))</f>
        <v>39.792805719972513</v>
      </c>
      <c r="J38" s="48">
        <f ca="1">IF(ROW($N38)-4&lt;BB_Periods, "", AVERAGE(INDIRECT(ADDRESS(ROW($F38)-RSI_Periods +1, MATCH("Adj Close", Price_Header,0))): INDIRECT(ADDRESS(ROW($F38),MATCH("Adj Close", Price_Header,0)))))</f>
        <v>121.32499964285714</v>
      </c>
      <c r="K38" s="48">
        <f ca="1">IF(tbl_IBM[[#This Row],[BB_Mean]]="", "", tbl_IBM[[#This Row],[BB_Mean]]+(BB_Width*tbl_IBM[[#This Row],[BB_Stdev]]))</f>
        <v>125.27991271240779</v>
      </c>
      <c r="L38" s="48">
        <f ca="1">IF(tbl_IBM[[#This Row],[BB_Mean]]="", "", tbl_IBM[[#This Row],[BB_Mean]]-(BB_Width*tbl_IBM[[#This Row],[BB_Stdev]]))</f>
        <v>117.37008657330648</v>
      </c>
      <c r="M38" s="46">
        <f>IF(ROW(tbl_IBM[[#This Row],[Adj Close]])=5, 0, $F38-$F37)</f>
        <v>0.85999999999999943</v>
      </c>
      <c r="N38" s="46">
        <f>MAX(tbl_IBM[[#This Row],[Move]],0)</f>
        <v>0.85999999999999943</v>
      </c>
      <c r="O38" s="46">
        <f>MAX(-tbl_IBM[[#This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0.46642878571428731</v>
      </c>
      <c r="Q38" s="46">
        <f ca="1">IF(ROW($O38)-5&lt;RSI_Periods, "", AVERAGE(INDIRECT(ADDRESS(ROW($O38)-RSI_Periods +1, MATCH("Downmove", Price_Header,0))): INDIRECT(ADDRESS(ROW($O38),MATCH("Downmove", Price_Header,0)))))</f>
        <v>0.70571471428571597</v>
      </c>
      <c r="R38" s="46">
        <f ca="1">IF(tbl_IBM[[#This Row],[Avg_Upmove]]="", "", tbl_IBM[[#This Row],[Avg_Upmove]]/tbl_IBM[[#This Row],[Avg_Downmove]])</f>
        <v>0.66093107635764659</v>
      </c>
      <c r="S38" s="48">
        <f ca="1">IF(ROW($N38)-4&lt;BB_Periods, "", _xlfn.STDEV.S(INDIRECT(ADDRESS(ROW($F38)-RSI_Periods +1, MATCH("Adj Close", Price_Header,0))): INDIRECT(ADDRESS(ROW($F38),MATCH("Adj Close", Price_Header,0)))))</f>
        <v>1.9774565347753246</v>
      </c>
    </row>
    <row r="39" spans="1:19" x14ac:dyDescent="0.35">
      <c r="A39" s="8">
        <v>44102</v>
      </c>
      <c r="B39" s="48">
        <v>120.57</v>
      </c>
      <c r="C39" s="48">
        <v>122.33</v>
      </c>
      <c r="D39" s="48">
        <v>120.41</v>
      </c>
      <c r="E39" s="48">
        <v>121.73</v>
      </c>
      <c r="F39" s="48">
        <v>121.73</v>
      </c>
      <c r="G39">
        <v>3509200</v>
      </c>
      <c r="H39" s="48">
        <f>IF(tbl_IBM[[#This Row],[Date]]=$A$5, $F39, EMA_Beta*$H38 + (1-EMA_Beta)*$F39)</f>
        <v>121.76170987167319</v>
      </c>
      <c r="I39" s="46">
        <f ca="1">IF(tbl_IBM[[#This Row],[RS]]= "", "", 100-(100/(1+tbl_IBM[[#This Row],[RS]])))</f>
        <v>51.436466454014813</v>
      </c>
      <c r="J39" s="48">
        <f ca="1">IF(ROW($N39)-4&lt;BB_Periods, "", AVERAGE(INDIRECT(ADDRESS(ROW($F39)-RSI_Periods +1, MATCH("Adj Close", Price_Header,0))): INDIRECT(ADDRESS(ROW($F39),MATCH("Adj Close", Price_Header,0)))))</f>
        <v>121.36214257142856</v>
      </c>
      <c r="K39" s="48">
        <f ca="1">IF(tbl_IBM[[#This Row],[BB_Mean]]="", "", tbl_IBM[[#This Row],[BB_Mean]]+(BB_Width*tbl_IBM[[#This Row],[BB_Stdev]]))</f>
        <v>125.32216713590022</v>
      </c>
      <c r="L39" s="48">
        <f ca="1">IF(tbl_IBM[[#This Row],[BB_Mean]]="", "", tbl_IBM[[#This Row],[BB_Mean]]-(BB_Width*tbl_IBM[[#This Row],[BB_Stdev]]))</f>
        <v>117.40211800695691</v>
      </c>
      <c r="M39" s="46">
        <f>IF(ROW(tbl_IBM[[#This Row],[Adj Close]])=5, 0, $F39-$F38)</f>
        <v>2.7800000000000011</v>
      </c>
      <c r="N39" s="46">
        <f>MAX(tbl_IBM[[#This Row],[Move]],0)</f>
        <v>2.7800000000000011</v>
      </c>
      <c r="O39" s="46">
        <f>MAX(-tbl_IBM[[#This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0.66500021428571598</v>
      </c>
      <c r="Q39" s="46">
        <f ca="1">IF(ROW($O39)-5&lt;RSI_Periods, "", AVERAGE(INDIRECT(ADDRESS(ROW($O39)-RSI_Periods +1, MATCH("Downmove", Price_Header,0))): INDIRECT(ADDRESS(ROW($O39),MATCH("Downmove", Price_Header,0)))))</f>
        <v>0.62785728571428678</v>
      </c>
      <c r="R39" s="46">
        <f ca="1">IF(tbl_IBM[[#This Row],[Avg_Upmove]]="", "", tbl_IBM[[#This Row],[Avg_Upmove]]/tbl_IBM[[#This Row],[Avg_Downmove]])</f>
        <v>1.0591582345487529</v>
      </c>
      <c r="S39" s="48">
        <f ca="1">IF(ROW($N39)-4&lt;BB_Periods, "", _xlfn.STDEV.S(INDIRECT(ADDRESS(ROW($F39)-RSI_Periods +1, MATCH("Adj Close", Price_Header,0))): INDIRECT(ADDRESS(ROW($F39),MATCH("Adj Close", Price_Header,0)))))</f>
        <v>1.9800122822358268</v>
      </c>
    </row>
    <row r="40" spans="1:19" x14ac:dyDescent="0.35">
      <c r="A40" s="8">
        <v>44103</v>
      </c>
      <c r="B40" s="48">
        <v>121.41</v>
      </c>
      <c r="C40" s="48">
        <v>122.19</v>
      </c>
      <c r="D40" s="48">
        <v>120.21</v>
      </c>
      <c r="E40" s="48">
        <v>120.94</v>
      </c>
      <c r="F40" s="48">
        <v>120.94</v>
      </c>
      <c r="G40">
        <v>2106600</v>
      </c>
      <c r="H40" s="48">
        <f>IF(tbl_IBM[[#This Row],[Date]]=$A$5, $F40, EMA_Beta*$H39 + (1-EMA_Beta)*$F40)</f>
        <v>121.67953888450587</v>
      </c>
      <c r="I40" s="46">
        <f ca="1">IF(tbl_IBM[[#This Row],[RS]]= "", "", 100-(100/(1+tbl_IBM[[#This Row],[RS]])))</f>
        <v>46.300443239860627</v>
      </c>
      <c r="J40" s="48">
        <f ca="1">IF(ROW($N40)-4&lt;BB_Periods, "", AVERAGE(INDIRECT(ADDRESS(ROW($F40)-RSI_Periods +1, MATCH("Adj Close", Price_Header,0))): INDIRECT(ADDRESS(ROW($F40),MATCH("Adj Close", Price_Header,0)))))</f>
        <v>121.26785671428571</v>
      </c>
      <c r="K40" s="48">
        <f ca="1">IF(tbl_IBM[[#This Row],[BB_Mean]]="", "", tbl_IBM[[#This Row],[BB_Mean]]+(BB_Width*tbl_IBM[[#This Row],[BB_Stdev]]))</f>
        <v>125.19854182069182</v>
      </c>
      <c r="L40" s="48">
        <f ca="1">IF(tbl_IBM[[#This Row],[BB_Mean]]="", "", tbl_IBM[[#This Row],[BB_Mean]]-(BB_Width*tbl_IBM[[#This Row],[BB_Stdev]]))</f>
        <v>117.33717160787961</v>
      </c>
      <c r="M40" s="46">
        <f>IF(ROW(tbl_IBM[[#This Row],[Adj Close]])=5, 0, $F40-$F39)</f>
        <v>-0.79000000000000625</v>
      </c>
      <c r="N40" s="46">
        <f>MAX(tbl_IBM[[#This Row],[Move]],0)</f>
        <v>0</v>
      </c>
      <c r="O40" s="46">
        <f>MAX(-tbl_IBM[[#This Row],[Move]],0)</f>
        <v>0.79000000000000625</v>
      </c>
      <c r="P40" s="46">
        <f ca="1">IF(ROW($N40)-5&lt;RSI_Periods, "", AVERAGE(INDIRECT(ADDRESS(ROW($N40)-RSI_Periods +1, MATCH("Upmove", Price_Header,0))): INDIRECT(ADDRESS(ROW($N40),MATCH("Upmove", Price_Header,0)))))</f>
        <v>0.59000000000000141</v>
      </c>
      <c r="Q40" s="46">
        <f ca="1">IF(ROW($O40)-5&lt;RSI_Periods, "", AVERAGE(INDIRECT(ADDRESS(ROW($O40)-RSI_Periods +1, MATCH("Downmove", Price_Header,0))): INDIRECT(ADDRESS(ROW($O40),MATCH("Downmove", Price_Header,0)))))</f>
        <v>0.68428585714285872</v>
      </c>
      <c r="R40" s="46">
        <f ca="1">IF(tbl_IBM[[#This Row],[Avg_Upmove]]="", "", tbl_IBM[[#This Row],[Avg_Upmove]]/tbl_IBM[[#This Row],[Avg_Downmove]])</f>
        <v>0.86221276362990329</v>
      </c>
      <c r="S40" s="48">
        <f ca="1">IF(ROW($N40)-4&lt;BB_Periods, "", _xlfn.STDEV.S(INDIRECT(ADDRESS(ROW($F40)-RSI_Periods +1, MATCH("Adj Close", Price_Header,0))): INDIRECT(ADDRESS(ROW($F40),MATCH("Adj Close", Price_Header,0)))))</f>
        <v>1.96534255320305</v>
      </c>
    </row>
    <row r="41" spans="1:19" x14ac:dyDescent="0.35">
      <c r="A41" s="8">
        <v>44104</v>
      </c>
      <c r="B41" s="48">
        <v>121.38</v>
      </c>
      <c r="C41" s="48">
        <v>122.91</v>
      </c>
      <c r="D41" s="48">
        <v>120.8</v>
      </c>
      <c r="E41" s="48">
        <v>121.67</v>
      </c>
      <c r="F41" s="48">
        <v>121.67</v>
      </c>
      <c r="G41">
        <v>3261100</v>
      </c>
      <c r="H41" s="48">
        <f>IF(tbl_IBM[[#This Row],[Date]]=$A$5, $F41, EMA_Beta*$H40 + (1-EMA_Beta)*$F41)</f>
        <v>121.67858499605529</v>
      </c>
      <c r="I41" s="46">
        <f ca="1">IF(tbl_IBM[[#This Row],[RS]]= "", "", 100-(100/(1+tbl_IBM[[#This Row],[RS]])))</f>
        <v>53.289869981016018</v>
      </c>
      <c r="J41" s="48">
        <f ca="1">IF(ROW($N41)-4&lt;BB_Periods, "", AVERAGE(INDIRECT(ADDRESS(ROW($F41)-RSI_Periods +1, MATCH("Adj Close", Price_Header,0))): INDIRECT(ADDRESS(ROW($F41),MATCH("Adj Close", Price_Header,0)))))</f>
        <v>121.34714257142858</v>
      </c>
      <c r="K41" s="48">
        <f ca="1">IF(tbl_IBM[[#This Row],[BB_Mean]]="", "", tbl_IBM[[#This Row],[BB_Mean]]+(BB_Width*tbl_IBM[[#This Row],[BB_Stdev]]))</f>
        <v>125.26106546565958</v>
      </c>
      <c r="L41" s="48">
        <f ca="1">IF(tbl_IBM[[#This Row],[BB_Mean]]="", "", tbl_IBM[[#This Row],[BB_Mean]]-(BB_Width*tbl_IBM[[#This Row],[BB_Stdev]]))</f>
        <v>117.43321967719757</v>
      </c>
      <c r="M41" s="46">
        <f>IF(ROW(tbl_IBM[[#This Row],[Adj Close]])=5, 0, $F41-$F40)</f>
        <v>0.73000000000000398</v>
      </c>
      <c r="N41" s="46">
        <f>MAX(tbl_IBM[[#This Row],[Move]],0)</f>
        <v>0.73000000000000398</v>
      </c>
      <c r="O41" s="46">
        <f>MAX(-tbl_IBM[[#This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0.64214285714285879</v>
      </c>
      <c r="Q41" s="46">
        <f ca="1">IF(ROW($O41)-5&lt;RSI_Periods, "", AVERAGE(INDIRECT(ADDRESS(ROW($O41)-RSI_Periods +1, MATCH("Downmove", Price_Header,0))): INDIRECT(ADDRESS(ROW($O41),MATCH("Downmove", Price_Header,0)))))</f>
        <v>0.56285700000000105</v>
      </c>
      <c r="R41" s="46">
        <f ca="1">IF(tbl_IBM[[#This Row],[Avg_Upmove]]="", "", tbl_IBM[[#This Row],[Avg_Upmove]]/tbl_IBM[[#This Row],[Avg_Downmove]])</f>
        <v>1.1408632337216338</v>
      </c>
      <c r="S41" s="48">
        <f ca="1">IF(ROW($N41)-4&lt;BB_Periods, "", _xlfn.STDEV.S(INDIRECT(ADDRESS(ROW($F41)-RSI_Periods +1, MATCH("Adj Close", Price_Header,0))): INDIRECT(ADDRESS(ROW($F41),MATCH("Adj Close", Price_Header,0)))))</f>
        <v>1.956961447115507</v>
      </c>
    </row>
    <row r="42" spans="1:19" x14ac:dyDescent="0.35">
      <c r="A42" s="8">
        <v>44105</v>
      </c>
      <c r="B42" s="48">
        <v>122.36</v>
      </c>
      <c r="C42" s="48">
        <v>123.3</v>
      </c>
      <c r="D42" s="48">
        <v>120.36</v>
      </c>
      <c r="E42" s="48">
        <v>121.09</v>
      </c>
      <c r="F42" s="48">
        <v>121.09</v>
      </c>
      <c r="G42">
        <v>3211700</v>
      </c>
      <c r="H42" s="48">
        <f>IF(tbl_IBM[[#This Row],[Date]]=$A$5, $F42, EMA_Beta*$H41 + (1-EMA_Beta)*$F42)</f>
        <v>121.61972649644976</v>
      </c>
      <c r="I42" s="46">
        <f ca="1">IF(tbl_IBM[[#This Row],[RS]]= "", "", 100-(100/(1+tbl_IBM[[#This Row],[RS]])))</f>
        <v>48.882178045107835</v>
      </c>
      <c r="J42" s="48">
        <f ca="1">IF(ROW($N42)-4&lt;BB_Periods, "", AVERAGE(INDIRECT(ADDRESS(ROW($F42)-RSI_Periods +1, MATCH("Adj Close", Price_Header,0))): INDIRECT(ADDRESS(ROW($F42),MATCH("Adj Close", Price_Header,0)))))</f>
        <v>121.32071407142858</v>
      </c>
      <c r="K42" s="48">
        <f ca="1">IF(tbl_IBM[[#This Row],[BB_Mean]]="", "", tbl_IBM[[#This Row],[BB_Mean]]+(BB_Width*tbl_IBM[[#This Row],[BB_Stdev]]))</f>
        <v>125.23635067676652</v>
      </c>
      <c r="L42" s="48">
        <f ca="1">IF(tbl_IBM[[#This Row],[BB_Mean]]="", "", tbl_IBM[[#This Row],[BB_Mean]]-(BB_Width*tbl_IBM[[#This Row],[BB_Stdev]]))</f>
        <v>117.40507746609065</v>
      </c>
      <c r="M42" s="46">
        <f>IF(ROW(tbl_IBM[[#This Row],[Adj Close]])=5, 0, $F42-$F41)</f>
        <v>-0.57999999999999829</v>
      </c>
      <c r="N42" s="46">
        <f>MAX(tbl_IBM[[#This Row],[Move]],0)</f>
        <v>0</v>
      </c>
      <c r="O42" s="46">
        <f>MAX(-tbl_IBM[[#This Row],[Move]],0)</f>
        <v>0.57999999999999829</v>
      </c>
      <c r="P42" s="46">
        <f ca="1">IF(ROW($N42)-5&lt;RSI_Periods, "", AVERAGE(INDIRECT(ADDRESS(ROW($N42)-RSI_Periods +1, MATCH("Upmove", Price_Header,0))): INDIRECT(ADDRESS(ROW($N42),MATCH("Upmove", Price_Header,0)))))</f>
        <v>0.5778570714285729</v>
      </c>
      <c r="Q42" s="46">
        <f ca="1">IF(ROW($O42)-5&lt;RSI_Periods, "", AVERAGE(INDIRECT(ADDRESS(ROW($O42)-RSI_Periods +1, MATCH("Downmove", Price_Header,0))): INDIRECT(ADDRESS(ROW($O42),MATCH("Downmove", Price_Header,0)))))</f>
        <v>0.60428557142857231</v>
      </c>
      <c r="R42" s="46">
        <f ca="1">IF(tbl_IBM[[#This Row],[Avg_Upmove]]="", "", tbl_IBM[[#This Row],[Avg_Upmove]]/tbl_IBM[[#This Row],[Avg_Downmove]])</f>
        <v>0.95626488327775128</v>
      </c>
      <c r="S42" s="48">
        <f ca="1">IF(ROW($N42)-4&lt;BB_Periods, "", _xlfn.STDEV.S(INDIRECT(ADDRESS(ROW($F42)-RSI_Periods +1, MATCH("Adj Close", Price_Header,0))): INDIRECT(ADDRESS(ROW($F42),MATCH("Adj Close", Price_Header,0)))))</f>
        <v>1.9578183026689713</v>
      </c>
    </row>
    <row r="43" spans="1:19" x14ac:dyDescent="0.35">
      <c r="A43" s="8">
        <v>44106</v>
      </c>
      <c r="B43" s="48">
        <v>119.04</v>
      </c>
      <c r="C43" s="48">
        <v>121.75</v>
      </c>
      <c r="D43" s="48">
        <v>118.82</v>
      </c>
      <c r="E43" s="48">
        <v>120.57</v>
      </c>
      <c r="F43" s="48">
        <v>120.57</v>
      </c>
      <c r="G43">
        <v>2925200</v>
      </c>
      <c r="H43" s="48">
        <f>IF(tbl_IBM[[#This Row],[Date]]=$A$5, $F43, EMA_Beta*$H42 + (1-EMA_Beta)*$F43)</f>
        <v>121.51475384680478</v>
      </c>
      <c r="I43" s="46">
        <f ca="1">IF(tbl_IBM[[#This Row],[RS]]= "", "", 100-(100/(1+tbl_IBM[[#This Row],[RS]])))</f>
        <v>45.377141119221406</v>
      </c>
      <c r="J43" s="48">
        <f ca="1">IF(ROW($N43)-4&lt;BB_Periods, "", AVERAGE(INDIRECT(ADDRESS(ROW($F43)-RSI_Periods +1, MATCH("Adj Close", Price_Header,0))): INDIRECT(ADDRESS(ROW($F43),MATCH("Adj Close", Price_Header,0)))))</f>
        <v>121.21214292857144</v>
      </c>
      <c r="K43" s="48">
        <f ca="1">IF(tbl_IBM[[#This Row],[BB_Mean]]="", "", tbl_IBM[[#This Row],[BB_Mean]]+(BB_Width*tbl_IBM[[#This Row],[BB_Stdev]]))</f>
        <v>125.12017929601143</v>
      </c>
      <c r="L43" s="48">
        <f ca="1">IF(tbl_IBM[[#This Row],[BB_Mean]]="", "", tbl_IBM[[#This Row],[BB_Mean]]-(BB_Width*tbl_IBM[[#This Row],[BB_Stdev]]))</f>
        <v>117.30410656113145</v>
      </c>
      <c r="M43" s="46">
        <f>IF(ROW(tbl_IBM[[#This Row],[Adj Close]])=5, 0, $F43-$F42)</f>
        <v>-0.52000000000001023</v>
      </c>
      <c r="N43" s="46">
        <f>MAX(tbl_IBM[[#This Row],[Move]],0)</f>
        <v>0</v>
      </c>
      <c r="O43" s="46">
        <f>MAX(-tbl_IBM[[#This Row],[Move]],0)</f>
        <v>0.52000000000001023</v>
      </c>
      <c r="P43" s="46">
        <f ca="1">IF(ROW($N43)-5&lt;RSI_Periods, "", AVERAGE(INDIRECT(ADDRESS(ROW($N43)-RSI_Periods +1, MATCH("Upmove", Price_Header,0))): INDIRECT(ADDRESS(ROW($N43),MATCH("Upmove", Price_Header,0)))))</f>
        <v>0.53285728571428692</v>
      </c>
      <c r="Q43" s="46">
        <f ca="1">IF(ROW($O43)-5&lt;RSI_Periods, "", AVERAGE(INDIRECT(ADDRESS(ROW($O43)-RSI_Periods +1, MATCH("Downmove", Price_Header,0))): INDIRECT(ADDRESS(ROW($O43),MATCH("Downmove", Price_Header,0)))))</f>
        <v>0.64142842857143023</v>
      </c>
      <c r="R43" s="46">
        <f ca="1">IF(tbl_IBM[[#This Row],[Avg_Upmove]]="", "", tbl_IBM[[#This Row],[Avg_Upmove]]/tbl_IBM[[#This Row],[Avg_Downmove]])</f>
        <v>0.8307353743285909</v>
      </c>
      <c r="S43" s="48">
        <f ca="1">IF(ROW($N43)-4&lt;BB_Periods, "", _xlfn.STDEV.S(INDIRECT(ADDRESS(ROW($F43)-RSI_Periods +1, MATCH("Adj Close", Price_Header,0))): INDIRECT(ADDRESS(ROW($F43),MATCH("Adj Close", Price_Header,0)))))</f>
        <v>1.9540181837199937</v>
      </c>
    </row>
    <row r="44" spans="1:19" x14ac:dyDescent="0.35">
      <c r="A44" s="8">
        <v>44109</v>
      </c>
      <c r="B44" s="48">
        <v>121.84</v>
      </c>
      <c r="C44" s="48">
        <v>122.75</v>
      </c>
      <c r="D44" s="48">
        <v>121.05</v>
      </c>
      <c r="E44" s="48">
        <v>122.01</v>
      </c>
      <c r="F44" s="48">
        <v>122.01</v>
      </c>
      <c r="G44">
        <v>3050500</v>
      </c>
      <c r="H44" s="48">
        <f>IF(tbl_IBM[[#This Row],[Date]]=$A$5, $F44, EMA_Beta*$H43 + (1-EMA_Beta)*$F44)</f>
        <v>121.56427846212429</v>
      </c>
      <c r="I44" s="46">
        <f ca="1">IF(tbl_IBM[[#This Row],[RS]]= "", "", 100-(100/(1+tbl_IBM[[#This Row],[RS]])))</f>
        <v>48.773524965268102</v>
      </c>
      <c r="J44" s="48">
        <f ca="1">IF(ROW($N44)-4&lt;BB_Periods, "", AVERAGE(INDIRECT(ADDRESS(ROW($F44)-RSI_Periods +1, MATCH("Adj Close", Price_Header,0))): INDIRECT(ADDRESS(ROW($F44),MATCH("Adj Close", Price_Header,0)))))</f>
        <v>121.18142850000001</v>
      </c>
      <c r="K44" s="48">
        <f ca="1">IF(tbl_IBM[[#This Row],[BB_Mean]]="", "", tbl_IBM[[#This Row],[BB_Mean]]+(BB_Width*tbl_IBM[[#This Row],[BB_Stdev]]))</f>
        <v>125.05449774808235</v>
      </c>
      <c r="L44" s="48">
        <f ca="1">IF(tbl_IBM[[#This Row],[BB_Mean]]="", "", tbl_IBM[[#This Row],[BB_Mean]]-(BB_Width*tbl_IBM[[#This Row],[BB_Stdev]]))</f>
        <v>117.30835925191766</v>
      </c>
      <c r="M44" s="46">
        <f>IF(ROW(tbl_IBM[[#This Row],[Adj Close]])=5, 0, $F44-$F43)</f>
        <v>1.4400000000000119</v>
      </c>
      <c r="N44" s="46">
        <f>MAX(tbl_IBM[[#This Row],[Move]],0)</f>
        <v>1.4400000000000119</v>
      </c>
      <c r="O44" s="46">
        <f>MAX(-tbl_IBM[[#This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0.61071400000000153</v>
      </c>
      <c r="Q44" s="46">
        <f ca="1">IF(ROW($O44)-5&lt;RSI_Periods, "", AVERAGE(INDIRECT(ADDRESS(ROW($O44)-RSI_Periods +1, MATCH("Downmove", Price_Header,0))): INDIRECT(ADDRESS(ROW($O44),MATCH("Downmove", Price_Header,0)))))</f>
        <v>0.64142842857143023</v>
      </c>
      <c r="R44" s="46">
        <f ca="1">IF(tbl_IBM[[#This Row],[Avg_Upmove]]="", "", tbl_IBM[[#This Row],[Avg_Upmove]]/tbl_IBM[[#This Row],[Avg_Downmove]])</f>
        <v>0.95211557953576376</v>
      </c>
      <c r="S44" s="48">
        <f ca="1">IF(ROW($N44)-4&lt;BB_Periods, "", _xlfn.STDEV.S(INDIRECT(ADDRESS(ROW($F44)-RSI_Periods +1, MATCH("Adj Close", Price_Header,0))): INDIRECT(ADDRESS(ROW($F44),MATCH("Adj Close", Price_Header,0)))))</f>
        <v>1.9365346240411689</v>
      </c>
    </row>
    <row r="45" spans="1:19" x14ac:dyDescent="0.35">
      <c r="A45" s="8">
        <v>44110</v>
      </c>
      <c r="B45" s="48">
        <v>122.58</v>
      </c>
      <c r="C45" s="48">
        <v>124.83</v>
      </c>
      <c r="D45" s="48">
        <v>121.59</v>
      </c>
      <c r="E45" s="48">
        <v>121.97</v>
      </c>
      <c r="F45" s="48">
        <v>121.97</v>
      </c>
      <c r="G45">
        <v>3872300</v>
      </c>
      <c r="H45" s="48">
        <f>IF(tbl_IBM[[#This Row],[Date]]=$A$5, $F45, EMA_Beta*$H44 + (1-EMA_Beta)*$F45)</f>
        <v>121.60485061591187</v>
      </c>
      <c r="I45" s="46">
        <f ca="1">IF(tbl_IBM[[#This Row],[RS]]= "", "", 100-(100/(1+tbl_IBM[[#This Row],[RS]])))</f>
        <v>42.875232069421209</v>
      </c>
      <c r="J45" s="48">
        <f ca="1">IF(ROW($N45)-4&lt;BB_Periods, "", AVERAGE(INDIRECT(ADDRESS(ROW($F45)-RSI_Periods +1, MATCH("Adj Close", Price_Header,0))): INDIRECT(ADDRESS(ROW($F45),MATCH("Adj Close", Price_Header,0)))))</f>
        <v>121.02071414285714</v>
      </c>
      <c r="K45" s="48">
        <f ca="1">IF(tbl_IBM[[#This Row],[BB_Mean]]="", "", tbl_IBM[[#This Row],[BB_Mean]]+(BB_Width*tbl_IBM[[#This Row],[BB_Stdev]]))</f>
        <v>124.5192622927222</v>
      </c>
      <c r="L45" s="48">
        <f ca="1">IF(tbl_IBM[[#This Row],[BB_Mean]]="", "", tbl_IBM[[#This Row],[BB_Mean]]-(BB_Width*tbl_IBM[[#This Row],[BB_Stdev]]))</f>
        <v>117.52216599299209</v>
      </c>
      <c r="M45" s="46">
        <f>IF(ROW(tbl_IBM[[#This Row],[Adj Close]])=5, 0, $F45-$F44)</f>
        <v>-4.0000000000006253E-2</v>
      </c>
      <c r="N45" s="46">
        <f>MAX(tbl_IBM[[#This Row],[Move]],0)</f>
        <v>0</v>
      </c>
      <c r="O45" s="46">
        <f>MAX(-tbl_IBM[[#This Row],[Move]],0)</f>
        <v>4.0000000000006253E-2</v>
      </c>
      <c r="P45" s="46">
        <f ca="1">IF(ROW($N45)-5&lt;RSI_Periods, "", AVERAGE(INDIRECT(ADDRESS(ROW($N45)-RSI_Periods +1, MATCH("Upmove", Price_Header,0))): INDIRECT(ADDRESS(ROW($N45),MATCH("Upmove", Price_Header,0)))))</f>
        <v>0.48357121428571659</v>
      </c>
      <c r="Q45" s="46">
        <f ca="1">IF(ROW($O45)-5&lt;RSI_Periods, "", AVERAGE(INDIRECT(ADDRESS(ROW($O45)-RSI_Periods +1, MATCH("Downmove", Price_Header,0))): INDIRECT(ADDRESS(ROW($O45),MATCH("Downmove", Price_Header,0)))))</f>
        <v>0.64428557142857357</v>
      </c>
      <c r="R45" s="46">
        <f ca="1">IF(tbl_IBM[[#This Row],[Avg_Upmove]]="", "", tbl_IBM[[#This Row],[Avg_Upmove]]/tbl_IBM[[#This Row],[Avg_Downmove]])</f>
        <v>0.75055415755081212</v>
      </c>
      <c r="S45" s="48">
        <f ca="1">IF(ROW($N45)-4&lt;BB_Periods, "", _xlfn.STDEV.S(INDIRECT(ADDRESS(ROW($F45)-RSI_Periods +1, MATCH("Adj Close", Price_Header,0))): INDIRECT(ADDRESS(ROW($F45),MATCH("Adj Close", Price_Header,0)))))</f>
        <v>1.7492740749325302</v>
      </c>
    </row>
    <row r="46" spans="1:19" x14ac:dyDescent="0.35">
      <c r="A46" s="8">
        <v>44111</v>
      </c>
      <c r="B46" s="48">
        <v>122.67</v>
      </c>
      <c r="C46" s="48">
        <v>124.39</v>
      </c>
      <c r="D46" s="48">
        <v>122.32</v>
      </c>
      <c r="E46" s="48">
        <v>124.07</v>
      </c>
      <c r="F46" s="48">
        <v>124.07</v>
      </c>
      <c r="G46">
        <v>2815400</v>
      </c>
      <c r="H46" s="48">
        <f>IF(tbl_IBM[[#This Row],[Date]]=$A$5, $F46, EMA_Beta*$H45 + (1-EMA_Beta)*$F46)</f>
        <v>121.85136555432068</v>
      </c>
      <c r="I46" s="46">
        <f ca="1">IF(tbl_IBM[[#This Row],[RS]]= "", "", 100-(100/(1+tbl_IBM[[#This Row],[RS]])))</f>
        <v>47.527637874070692</v>
      </c>
      <c r="J46" s="48">
        <f ca="1">IF(ROW($N46)-4&lt;BB_Periods, "", AVERAGE(INDIRECT(ADDRESS(ROW($F46)-RSI_Periods +1, MATCH("Adj Close", Price_Header,0))): INDIRECT(ADDRESS(ROW($F46),MATCH("Adj Close", Price_Header,0)))))</f>
        <v>120.96</v>
      </c>
      <c r="K46" s="48">
        <f ca="1">IF(tbl_IBM[[#This Row],[BB_Mean]]="", "", tbl_IBM[[#This Row],[BB_Mean]]+(BB_Width*tbl_IBM[[#This Row],[BB_Stdev]]))</f>
        <v>124.18593337715554</v>
      </c>
      <c r="L46" s="48">
        <f ca="1">IF(tbl_IBM[[#This Row],[BB_Mean]]="", "", tbl_IBM[[#This Row],[BB_Mean]]-(BB_Width*tbl_IBM[[#This Row],[BB_Stdev]]))</f>
        <v>117.73406662284445</v>
      </c>
      <c r="M46" s="46">
        <f>IF(ROW(tbl_IBM[[#This Row],[Adj Close]])=5, 0, $F46-$F45)</f>
        <v>2.0999999999999943</v>
      </c>
      <c r="N46" s="46">
        <f>MAX(tbl_IBM[[#This Row],[Move]],0)</f>
        <v>2.0999999999999943</v>
      </c>
      <c r="O46" s="46">
        <f>MAX(-tbl_IBM[[#This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0.58357142857142974</v>
      </c>
      <c r="Q46" s="46">
        <f ca="1">IF(ROW($O46)-5&lt;RSI_Periods, "", AVERAGE(INDIRECT(ADDRESS(ROW($O46)-RSI_Periods +1, MATCH("Downmove", Price_Header,0))): INDIRECT(ADDRESS(ROW($O46),MATCH("Downmove", Price_Header,0)))))</f>
        <v>0.64428557142857357</v>
      </c>
      <c r="R46" s="46">
        <f ca="1">IF(tbl_IBM[[#This Row],[Avg_Upmove]]="", "", tbl_IBM[[#This Row],[Avg_Upmove]]/tbl_IBM[[#This Row],[Avg_Downmove]])</f>
        <v>0.90576516757542402</v>
      </c>
      <c r="S46" s="48">
        <f ca="1">IF(ROW($N46)-4&lt;BB_Periods, "", _xlfn.STDEV.S(INDIRECT(ADDRESS(ROW($F46)-RSI_Periods +1, MATCH("Adj Close", Price_Header,0))): INDIRECT(ADDRESS(ROW($F46),MATCH("Adj Close", Price_Header,0)))))</f>
        <v>1.61296668857777</v>
      </c>
    </row>
    <row r="47" spans="1:19" x14ac:dyDescent="0.35">
      <c r="A47" s="8">
        <v>44112</v>
      </c>
      <c r="B47" s="48">
        <v>130.86000000000001</v>
      </c>
      <c r="C47" s="48">
        <v>135.5</v>
      </c>
      <c r="D47" s="48">
        <v>129.77000000000001</v>
      </c>
      <c r="E47" s="48">
        <v>131.49</v>
      </c>
      <c r="F47" s="48">
        <v>131.49</v>
      </c>
      <c r="G47">
        <v>25288900</v>
      </c>
      <c r="H47" s="48">
        <f>IF(tbl_IBM[[#This Row],[Date]]=$A$5, $F47, EMA_Beta*$H46 + (1-EMA_Beta)*$F47)</f>
        <v>122.81522899888861</v>
      </c>
      <c r="I47" s="46">
        <f ca="1">IF(tbl_IBM[[#This Row],[RS]]= "", "", 100-(100/(1+tbl_IBM[[#This Row],[RS]])))</f>
        <v>69.443207126948735</v>
      </c>
      <c r="J47" s="48">
        <f ca="1">IF(ROW($N47)-4&lt;BB_Periods, "", AVERAGE(INDIRECT(ADDRESS(ROW($F47)-RSI_Periods +1, MATCH("Adj Close", Price_Header,0))): INDIRECT(ADDRESS(ROW($F47),MATCH("Adj Close", Price_Header,0)))))</f>
        <v>121.58357142857142</v>
      </c>
      <c r="K47" s="48">
        <f ca="1">IF(tbl_IBM[[#This Row],[BB_Mean]]="", "", tbl_IBM[[#This Row],[BB_Mean]]+(BB_Width*tbl_IBM[[#This Row],[BB_Stdev]]))</f>
        <v>128.05287697752445</v>
      </c>
      <c r="L47" s="48">
        <f ca="1">IF(tbl_IBM[[#This Row],[BB_Mean]]="", "", tbl_IBM[[#This Row],[BB_Mean]]-(BB_Width*tbl_IBM[[#This Row],[BB_Stdev]]))</f>
        <v>115.1142658796184</v>
      </c>
      <c r="M47" s="46">
        <f>IF(ROW(tbl_IBM[[#This Row],[Adj Close]])=5, 0, $F47-$F46)</f>
        <v>7.4200000000000159</v>
      </c>
      <c r="N47" s="46">
        <f>MAX(tbl_IBM[[#This Row],[Move]],0)</f>
        <v>7.4200000000000159</v>
      </c>
      <c r="O47" s="46">
        <f>MAX(-tbl_IBM[[#This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1.1135714285714309</v>
      </c>
      <c r="Q47" s="46">
        <f ca="1">IF(ROW($O47)-5&lt;RSI_Periods, "", AVERAGE(INDIRECT(ADDRESS(ROW($O47)-RSI_Periods +1, MATCH("Downmove", Price_Header,0))): INDIRECT(ADDRESS(ROW($O47),MATCH("Downmove", Price_Header,0)))))</f>
        <v>0.49000000000000199</v>
      </c>
      <c r="R47" s="46">
        <f ca="1">IF(tbl_IBM[[#This Row],[Avg_Upmove]]="", "", tbl_IBM[[#This Row],[Avg_Upmove]]/tbl_IBM[[#This Row],[Avg_Downmove]])</f>
        <v>2.2725947521865844</v>
      </c>
      <c r="S47" s="48">
        <f ca="1">IF(ROW($N47)-4&lt;BB_Periods, "", _xlfn.STDEV.S(INDIRECT(ADDRESS(ROW($F47)-RSI_Periods +1, MATCH("Adj Close", Price_Header,0))): INDIRECT(ADDRESS(ROW($F47),MATCH("Adj Close", Price_Header,0)))))</f>
        <v>3.2346527744765097</v>
      </c>
    </row>
    <row r="48" spans="1:19" x14ac:dyDescent="0.35">
      <c r="A48" s="8">
        <v>44113</v>
      </c>
      <c r="B48" s="48">
        <v>132</v>
      </c>
      <c r="C48" s="48">
        <v>132</v>
      </c>
      <c r="D48" s="48">
        <v>127.6</v>
      </c>
      <c r="E48" s="48">
        <v>127.79</v>
      </c>
      <c r="F48" s="48">
        <v>127.79</v>
      </c>
      <c r="G48">
        <v>8347800</v>
      </c>
      <c r="H48" s="48">
        <f>IF(tbl_IBM[[#This Row],[Date]]=$A$5, $F48, EMA_Beta*$H47 + (1-EMA_Beta)*$F48)</f>
        <v>123.31270609899975</v>
      </c>
      <c r="I48" s="46">
        <f ca="1">IF(tbl_IBM[[#This Row],[RS]]= "", "", 100-(100/(1+tbl_IBM[[#This Row],[RS]])))</f>
        <v>65.947546531302848</v>
      </c>
      <c r="J48" s="48">
        <f ca="1">IF(ROW($N48)-4&lt;BB_Periods, "", AVERAGE(INDIRECT(ADDRESS(ROW($F48)-RSI_Periods +1, MATCH("Adj Close", Price_Header,0))): INDIRECT(ADDRESS(ROW($F48),MATCH("Adj Close", Price_Header,0)))))</f>
        <v>122.12214285714285</v>
      </c>
      <c r="K48" s="48">
        <f ca="1">IF(tbl_IBM[[#This Row],[BB_Mean]]="", "", tbl_IBM[[#This Row],[BB_Mean]]+(BB_Width*tbl_IBM[[#This Row],[BB_Stdev]]))</f>
        <v>129.3268258580012</v>
      </c>
      <c r="L48" s="48">
        <f ca="1">IF(tbl_IBM[[#This Row],[BB_Mean]]="", "", tbl_IBM[[#This Row],[BB_Mean]]-(BB_Width*tbl_IBM[[#This Row],[BB_Stdev]]))</f>
        <v>114.91745985628451</v>
      </c>
      <c r="M48" s="46">
        <f>IF(ROW(tbl_IBM[[#This Row],[Adj Close]])=5, 0, $F48-$F47)</f>
        <v>-3.7000000000000028</v>
      </c>
      <c r="N48" s="46">
        <f>MAX(tbl_IBM[[#This Row],[Move]],0)</f>
        <v>0</v>
      </c>
      <c r="O48" s="46">
        <f>MAX(-tbl_IBM[[#This Row],[Move]],0)</f>
        <v>3.7000000000000028</v>
      </c>
      <c r="P48" s="46">
        <f ca="1">IF(ROW($N48)-5&lt;RSI_Periods, "", AVERAGE(INDIRECT(ADDRESS(ROW($N48)-RSI_Periods +1, MATCH("Upmove", Price_Header,0))): INDIRECT(ADDRESS(ROW($N48),MATCH("Upmove", Price_Header,0)))))</f>
        <v>1.1135714285714309</v>
      </c>
      <c r="Q48" s="46">
        <f ca="1">IF(ROW($O48)-5&lt;RSI_Periods, "", AVERAGE(INDIRECT(ADDRESS(ROW($O48)-RSI_Periods +1, MATCH("Downmove", Price_Header,0))): INDIRECT(ADDRESS(ROW($O48),MATCH("Downmove", Price_Header,0)))))</f>
        <v>0.57500000000000184</v>
      </c>
      <c r="R48" s="46">
        <f ca="1">IF(tbl_IBM[[#This Row],[Avg_Upmove]]="", "", tbl_IBM[[#This Row],[Avg_Upmove]]/tbl_IBM[[#This Row],[Avg_Downmove]])</f>
        <v>1.9366459627329171</v>
      </c>
      <c r="S48" s="48">
        <f ca="1">IF(ROW($N48)-4&lt;BB_Periods, "", _xlfn.STDEV.S(INDIRECT(ADDRESS(ROW($F48)-RSI_Periods +1, MATCH("Adj Close", Price_Header,0))): INDIRECT(ADDRESS(ROW($F48),MATCH("Adj Close", Price_Header,0)))))</f>
        <v>3.6023415004291723</v>
      </c>
    </row>
    <row r="49" spans="1:19" x14ac:dyDescent="0.35">
      <c r="A49" s="8">
        <v>44116</v>
      </c>
      <c r="B49" s="48">
        <v>128.07</v>
      </c>
      <c r="C49" s="48">
        <v>128.25</v>
      </c>
      <c r="D49" s="48">
        <v>126.44</v>
      </c>
      <c r="E49" s="48">
        <v>127.21</v>
      </c>
      <c r="F49" s="48">
        <v>127.21</v>
      </c>
      <c r="G49">
        <v>4635100</v>
      </c>
      <c r="H49" s="48">
        <f>IF(tbl_IBM[[#This Row],[Date]]=$A$5, $F49, EMA_Beta*$H48 + (1-EMA_Beta)*$F49)</f>
        <v>123.70243548909977</v>
      </c>
      <c r="I49" s="46">
        <f ca="1">IF(tbl_IBM[[#This Row],[RS]]= "", "", 100-(100/(1+tbl_IBM[[#This Row],[RS]])))</f>
        <v>63.981636060100101</v>
      </c>
      <c r="J49" s="48">
        <f ca="1">IF(ROW($N49)-4&lt;BB_Periods, "", AVERAGE(INDIRECT(ADDRESS(ROW($F49)-RSI_Periods +1, MATCH("Adj Close", Price_Header,0))): INDIRECT(ADDRESS(ROW($F49),MATCH("Adj Close", Price_Header,0)))))</f>
        <v>122.60071428571428</v>
      </c>
      <c r="K49" s="48">
        <f ca="1">IF(tbl_IBM[[#This Row],[BB_Mean]]="", "", tbl_IBM[[#This Row],[BB_Mean]]+(BB_Width*tbl_IBM[[#This Row],[BB_Stdev]]))</f>
        <v>130.22214344418464</v>
      </c>
      <c r="L49" s="48">
        <f ca="1">IF(tbl_IBM[[#This Row],[BB_Mean]]="", "", tbl_IBM[[#This Row],[BB_Mean]]-(BB_Width*tbl_IBM[[#This Row],[BB_Stdev]]))</f>
        <v>114.9792851272439</v>
      </c>
      <c r="M49" s="46">
        <f>IF(ROW(tbl_IBM[[#This Row],[Adj Close]])=5, 0, $F49-$F48)</f>
        <v>-0.58000000000001251</v>
      </c>
      <c r="N49" s="46">
        <f>MAX(tbl_IBM[[#This Row],[Move]],0)</f>
        <v>0</v>
      </c>
      <c r="O49" s="46">
        <f>MAX(-tbl_IBM[[#This Row],[Move]],0)</f>
        <v>0.58000000000001251</v>
      </c>
      <c r="P49" s="46">
        <f ca="1">IF(ROW($N49)-5&lt;RSI_Periods, "", AVERAGE(INDIRECT(ADDRESS(ROW($N49)-RSI_Periods +1, MATCH("Upmove", Price_Header,0))): INDIRECT(ADDRESS(ROW($N49),MATCH("Upmove", Price_Header,0)))))</f>
        <v>1.095000000000002</v>
      </c>
      <c r="Q49" s="46">
        <f ca="1">IF(ROW($O49)-5&lt;RSI_Periods, "", AVERAGE(INDIRECT(ADDRESS(ROW($O49)-RSI_Periods +1, MATCH("Downmove", Price_Header,0))): INDIRECT(ADDRESS(ROW($O49),MATCH("Downmove", Price_Header,0)))))</f>
        <v>0.6164285714285741</v>
      </c>
      <c r="R49" s="46">
        <f ca="1">IF(tbl_IBM[[#This Row],[Avg_Upmove]]="", "", tbl_IBM[[#This Row],[Avg_Upmove]]/tbl_IBM[[#This Row],[Avg_Downmove]])</f>
        <v>1.7763615295480835</v>
      </c>
      <c r="S49" s="48">
        <f ca="1">IF(ROW($N49)-4&lt;BB_Periods, "", _xlfn.STDEV.S(INDIRECT(ADDRESS(ROW($F49)-RSI_Periods +1, MATCH("Adj Close", Price_Header,0))): INDIRECT(ADDRESS(ROW($F49),MATCH("Adj Close", Price_Header,0)))))</f>
        <v>3.8107145792351877</v>
      </c>
    </row>
    <row r="50" spans="1:19" x14ac:dyDescent="0.35">
      <c r="A50" s="8">
        <v>44117</v>
      </c>
      <c r="B50" s="48">
        <v>126.57</v>
      </c>
      <c r="C50" s="48">
        <v>127.15</v>
      </c>
      <c r="D50" s="48">
        <v>124.46</v>
      </c>
      <c r="E50" s="48">
        <v>125.1</v>
      </c>
      <c r="F50" s="48">
        <v>125.1</v>
      </c>
      <c r="G50">
        <v>5406100</v>
      </c>
      <c r="H50" s="48">
        <f>IF(tbl_IBM[[#This Row],[Date]]=$A$5, $F50, EMA_Beta*$H49 + (1-EMA_Beta)*$F50)</f>
        <v>123.84219194018979</v>
      </c>
      <c r="I50" s="46">
        <f ca="1">IF(tbl_IBM[[#This Row],[RS]]= "", "", 100-(100/(1+tbl_IBM[[#This Row],[RS]])))</f>
        <v>62.853628536285328</v>
      </c>
      <c r="J50" s="48">
        <f ca="1">IF(ROW($N50)-4&lt;BB_Periods, "", AVERAGE(INDIRECT(ADDRESS(ROW($F50)-RSI_Periods +1, MATCH("Adj Close", Price_Header,0))): INDIRECT(ADDRESS(ROW($F50),MATCH("Adj Close", Price_Header,0)))))</f>
        <v>123.04857142857142</v>
      </c>
      <c r="K50" s="48">
        <f ca="1">IF(tbl_IBM[[#This Row],[BB_Mean]]="", "", tbl_IBM[[#This Row],[BB_Mean]]+(BB_Width*tbl_IBM[[#This Row],[BB_Stdev]]))</f>
        <v>130.44919866661576</v>
      </c>
      <c r="L50" s="48">
        <f ca="1">IF(tbl_IBM[[#This Row],[BB_Mean]]="", "", tbl_IBM[[#This Row],[BB_Mean]]-(BB_Width*tbl_IBM[[#This Row],[BB_Stdev]]))</f>
        <v>115.6479441905271</v>
      </c>
      <c r="M50" s="46">
        <f>IF(ROW(tbl_IBM[[#This Row],[Adj Close]])=5, 0, $F50-$F49)</f>
        <v>-2.1099999999999994</v>
      </c>
      <c r="N50" s="46">
        <f>MAX(tbl_IBM[[#This Row],[Move]],0)</f>
        <v>0</v>
      </c>
      <c r="O50" s="46">
        <f>MAX(-tbl_IBM[[#This Row],[Move]],0)</f>
        <v>2.1099999999999994</v>
      </c>
      <c r="P50" s="46">
        <f ca="1">IF(ROW($N50)-5&lt;RSI_Periods, "", AVERAGE(INDIRECT(ADDRESS(ROW($N50)-RSI_Periods +1, MATCH("Upmove", Price_Header,0))): INDIRECT(ADDRESS(ROW($N50),MATCH("Upmove", Price_Header,0)))))</f>
        <v>1.095000000000002</v>
      </c>
      <c r="Q50" s="46">
        <f ca="1">IF(ROW($O50)-5&lt;RSI_Periods, "", AVERAGE(INDIRECT(ADDRESS(ROW($O50)-RSI_Periods +1, MATCH("Downmove", Price_Header,0))): INDIRECT(ADDRESS(ROW($O50),MATCH("Downmove", Price_Header,0)))))</f>
        <v>0.64714285714285935</v>
      </c>
      <c r="R50" s="46">
        <f ca="1">IF(tbl_IBM[[#This Row],[Avg_Upmove]]="", "", tbl_IBM[[#This Row],[Avg_Upmove]]/tbl_IBM[[#This Row],[Avg_Downmove]])</f>
        <v>1.6920529801324475</v>
      </c>
      <c r="S50" s="48">
        <f ca="1">IF(ROW($N50)-4&lt;BB_Periods, "", _xlfn.STDEV.S(INDIRECT(ADDRESS(ROW($F50)-RSI_Periods +1, MATCH("Adj Close", Price_Header,0))): INDIRECT(ADDRESS(ROW($F50),MATCH("Adj Close", Price_Header,0)))))</f>
        <v>3.7003136190221615</v>
      </c>
    </row>
    <row r="51" spans="1:19" x14ac:dyDescent="0.35">
      <c r="A51" s="8">
        <v>44118</v>
      </c>
      <c r="B51" s="48">
        <v>125.13</v>
      </c>
      <c r="C51" s="48">
        <v>126.94</v>
      </c>
      <c r="D51" s="48">
        <v>125.13</v>
      </c>
      <c r="E51" s="48">
        <v>125.94</v>
      </c>
      <c r="F51" s="48">
        <v>125.94</v>
      </c>
      <c r="G51">
        <v>3730100</v>
      </c>
      <c r="H51" s="48">
        <f>IF(tbl_IBM[[#This Row],[Date]]=$A$5, $F51, EMA_Beta*$H50 + (1-EMA_Beta)*$F51)</f>
        <v>124.0519727461708</v>
      </c>
      <c r="I51" s="46">
        <f ca="1">IF(tbl_IBM[[#This Row],[RS]]= "", "", 100-(100/(1+tbl_IBM[[#This Row],[RS]])))</f>
        <v>66.026949775418473</v>
      </c>
      <c r="J51" s="48">
        <f ca="1">IF(ROW($N51)-4&lt;BB_Periods, "", AVERAGE(INDIRECT(ADDRESS(ROW($F51)-RSI_Periods +1, MATCH("Adj Close", Price_Header,0))): INDIRECT(ADDRESS(ROW($F51),MATCH("Adj Close", Price_Header,0)))))</f>
        <v>123.60928571428572</v>
      </c>
      <c r="K51" s="48">
        <f ca="1">IF(tbl_IBM[[#This Row],[BB_Mean]]="", "", tbl_IBM[[#This Row],[BB_Mean]]+(BB_Width*tbl_IBM[[#This Row],[BB_Stdev]]))</f>
        <v>130.56787736793214</v>
      </c>
      <c r="L51" s="48">
        <f ca="1">IF(tbl_IBM[[#This Row],[BB_Mean]]="", "", tbl_IBM[[#This Row],[BB_Mean]]-(BB_Width*tbl_IBM[[#This Row],[BB_Stdev]]))</f>
        <v>116.65069406063928</v>
      </c>
      <c r="M51" s="46">
        <f>IF(ROW(tbl_IBM[[#This Row],[Adj Close]])=5, 0, $F51-$F50)</f>
        <v>0.84000000000000341</v>
      </c>
      <c r="N51" s="46">
        <f>MAX(tbl_IBM[[#This Row],[Move]],0)</f>
        <v>0.84000000000000341</v>
      </c>
      <c r="O51" s="46">
        <f>MAX(-tbl_IBM[[#This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1.1550000000000022</v>
      </c>
      <c r="Q51" s="46">
        <f ca="1">IF(ROW($O51)-5&lt;RSI_Periods, "", AVERAGE(INDIRECT(ADDRESS(ROW($O51)-RSI_Periods +1, MATCH("Downmove", Price_Header,0))): INDIRECT(ADDRESS(ROW($O51),MATCH("Downmove", Price_Header,0)))))</f>
        <v>0.59428571428571686</v>
      </c>
      <c r="R51" s="46">
        <f ca="1">IF(tbl_IBM[[#This Row],[Avg_Upmove]]="", "", tbl_IBM[[#This Row],[Avg_Upmove]]/tbl_IBM[[#This Row],[Avg_Downmove]])</f>
        <v>1.9435096153846108</v>
      </c>
      <c r="S51" s="48">
        <f ca="1">IF(ROW($N51)-4&lt;BB_Periods, "", _xlfn.STDEV.S(INDIRECT(ADDRESS(ROW($F51)-RSI_Periods +1, MATCH("Adj Close", Price_Header,0))): INDIRECT(ADDRESS(ROW($F51),MATCH("Adj Close", Price_Header,0)))))</f>
        <v>3.4792958268232175</v>
      </c>
    </row>
    <row r="52" spans="1:19" x14ac:dyDescent="0.35">
      <c r="A52" s="8">
        <v>44119</v>
      </c>
      <c r="B52" s="48">
        <v>124.08</v>
      </c>
      <c r="C52" s="48">
        <v>125.22</v>
      </c>
      <c r="D52" s="48">
        <v>123.85</v>
      </c>
      <c r="E52" s="48">
        <v>124.89</v>
      </c>
      <c r="F52" s="48">
        <v>124.89</v>
      </c>
      <c r="G52">
        <v>3385300</v>
      </c>
      <c r="H52" s="48">
        <f>IF(tbl_IBM[[#This Row],[Date]]=$A$5, $F52, EMA_Beta*$H51 + (1-EMA_Beta)*$F52)</f>
        <v>124.13577547155373</v>
      </c>
      <c r="I52" s="46">
        <f ca="1">IF(tbl_IBM[[#This Row],[RS]]= "", "", 100-(100/(1+tbl_IBM[[#This Row],[RS]])))</f>
        <v>62.034035656401919</v>
      </c>
      <c r="J52" s="48">
        <f ca="1">IF(ROW($N52)-4&lt;BB_Periods, "", AVERAGE(INDIRECT(ADDRESS(ROW($F52)-RSI_Periods +1, MATCH("Adj Close", Price_Header,0))): INDIRECT(ADDRESS(ROW($F52),MATCH("Adj Close", Price_Header,0)))))</f>
        <v>124.03357142857143</v>
      </c>
      <c r="K52" s="48">
        <f ca="1">IF(tbl_IBM[[#This Row],[BB_Mean]]="", "", tbl_IBM[[#This Row],[BB_Mean]]+(BB_Width*tbl_IBM[[#This Row],[BB_Stdev]]))</f>
        <v>130.47341188117156</v>
      </c>
      <c r="L52" s="48">
        <f ca="1">IF(tbl_IBM[[#This Row],[BB_Mean]]="", "", tbl_IBM[[#This Row],[BB_Mean]]-(BB_Width*tbl_IBM[[#This Row],[BB_Stdev]]))</f>
        <v>117.5937309759713</v>
      </c>
      <c r="M52" s="46">
        <f>IF(ROW(tbl_IBM[[#This Row],[Adj Close]])=5, 0, $F52-$F51)</f>
        <v>-1.0499999999999972</v>
      </c>
      <c r="N52" s="46">
        <f>MAX(tbl_IBM[[#This Row],[Move]],0)</f>
        <v>0</v>
      </c>
      <c r="O52" s="46">
        <f>MAX(-tbl_IBM[[#This Row],[Move]],0)</f>
        <v>1.0499999999999972</v>
      </c>
      <c r="P52" s="46">
        <f ca="1">IF(ROW($N52)-5&lt;RSI_Periods, "", AVERAGE(INDIRECT(ADDRESS(ROW($N52)-RSI_Periods +1, MATCH("Upmove", Price_Header,0))): INDIRECT(ADDRESS(ROW($N52),MATCH("Upmove", Price_Header,0)))))</f>
        <v>1.0935714285714309</v>
      </c>
      <c r="Q52" s="46">
        <f ca="1">IF(ROW($O52)-5&lt;RSI_Periods, "", AVERAGE(INDIRECT(ADDRESS(ROW($O52)-RSI_Periods +1, MATCH("Downmove", Price_Header,0))): INDIRECT(ADDRESS(ROW($O52),MATCH("Downmove", Price_Header,0)))))</f>
        <v>0.66928571428571659</v>
      </c>
      <c r="R52" s="46">
        <f ca="1">IF(tbl_IBM[[#This Row],[Avg_Upmove]]="", "", tbl_IBM[[#This Row],[Avg_Upmove]]/tbl_IBM[[#This Row],[Avg_Downmove]])</f>
        <v>1.6339381003201685</v>
      </c>
      <c r="S52" s="48">
        <f ca="1">IF(ROW($N52)-4&lt;BB_Periods, "", _xlfn.STDEV.S(INDIRECT(ADDRESS(ROW($F52)-RSI_Periods +1, MATCH("Adj Close", Price_Header,0))): INDIRECT(ADDRESS(ROW($F52),MATCH("Adj Close", Price_Header,0)))))</f>
        <v>3.2199202263000668</v>
      </c>
    </row>
    <row r="53" spans="1:19" x14ac:dyDescent="0.35">
      <c r="A53" s="8">
        <v>44120</v>
      </c>
      <c r="B53" s="48">
        <v>125.17</v>
      </c>
      <c r="C53" s="48">
        <v>126.43</v>
      </c>
      <c r="D53" s="48">
        <v>124.66</v>
      </c>
      <c r="E53" s="48">
        <v>125.93</v>
      </c>
      <c r="F53" s="48">
        <v>125.93</v>
      </c>
      <c r="G53">
        <v>4710400</v>
      </c>
      <c r="H53" s="48">
        <f>IF(tbl_IBM[[#This Row],[Date]]=$A$5, $F53, EMA_Beta*$H52 + (1-EMA_Beta)*$F53)</f>
        <v>124.31519792439836</v>
      </c>
      <c r="I53" s="46">
        <f ca="1">IF(tbl_IBM[[#This Row],[RS]]= "", "", 100-(100/(1+tbl_IBM[[#This Row],[RS]])))</f>
        <v>59.154315605928495</v>
      </c>
      <c r="J53" s="48">
        <f ca="1">IF(ROW($N53)-4&lt;BB_Periods, "", AVERAGE(INDIRECT(ADDRESS(ROW($F53)-RSI_Periods +1, MATCH("Adj Close", Price_Header,0))): INDIRECT(ADDRESS(ROW($F53),MATCH("Adj Close", Price_Header,0)))))</f>
        <v>124.33357142857145</v>
      </c>
      <c r="K53" s="48">
        <f ca="1">IF(tbl_IBM[[#This Row],[BB_Mean]]="", "", tbl_IBM[[#This Row],[BB_Mean]]+(BB_Width*tbl_IBM[[#This Row],[BB_Stdev]]))</f>
        <v>130.70206409961213</v>
      </c>
      <c r="L53" s="48">
        <f ca="1">IF(tbl_IBM[[#This Row],[BB_Mean]]="", "", tbl_IBM[[#This Row],[BB_Mean]]-(BB_Width*tbl_IBM[[#This Row],[BB_Stdev]]))</f>
        <v>117.96507875753076</v>
      </c>
      <c r="M53" s="46">
        <f>IF(ROW(tbl_IBM[[#This Row],[Adj Close]])=5, 0, $F53-$F52)</f>
        <v>1.0400000000000063</v>
      </c>
      <c r="N53" s="46">
        <f>MAX(tbl_IBM[[#This Row],[Move]],0)</f>
        <v>1.0400000000000063</v>
      </c>
      <c r="O53" s="46">
        <f>MAX(-tbl_IBM[[#This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0.96928571428571686</v>
      </c>
      <c r="Q53" s="46">
        <f ca="1">IF(ROW($O53)-5&lt;RSI_Periods, "", AVERAGE(INDIRECT(ADDRESS(ROW($O53)-RSI_Periods +1, MATCH("Downmove", Price_Header,0))): INDIRECT(ADDRESS(ROW($O53),MATCH("Downmove", Price_Header,0)))))</f>
        <v>0.66928571428571659</v>
      </c>
      <c r="R53" s="46">
        <f ca="1">IF(tbl_IBM[[#This Row],[Avg_Upmove]]="", "", tbl_IBM[[#This Row],[Avg_Upmove]]/tbl_IBM[[#This Row],[Avg_Downmove]])</f>
        <v>1.4482390608324429</v>
      </c>
      <c r="S53" s="48">
        <f ca="1">IF(ROW($N53)-4&lt;BB_Periods, "", _xlfn.STDEV.S(INDIRECT(ADDRESS(ROW($F53)-RSI_Periods +1, MATCH("Adj Close", Price_Header,0))): INDIRECT(ADDRESS(ROW($F53),MATCH("Adj Close", Price_Header,0)))))</f>
        <v>3.1842463355203439</v>
      </c>
    </row>
    <row r="54" spans="1:19" x14ac:dyDescent="0.35">
      <c r="A54" s="8">
        <v>44123</v>
      </c>
      <c r="B54" s="48">
        <v>126.8</v>
      </c>
      <c r="C54" s="48">
        <v>127.35</v>
      </c>
      <c r="D54" s="48">
        <v>125.08</v>
      </c>
      <c r="E54" s="48">
        <v>125.21</v>
      </c>
      <c r="F54" s="48">
        <v>125.21</v>
      </c>
      <c r="G54">
        <v>5127367</v>
      </c>
      <c r="H54" s="48">
        <f>IF(tbl_IBM[[#This Row],[Date]]=$A$5, $F54, EMA_Beta*$H53 + (1-EMA_Beta)*$F54)</f>
        <v>124.40467813195853</v>
      </c>
      <c r="I54" s="46">
        <f ca="1">IF(tbl_IBM[[#This Row],[RS]]= "", "", 100-(100/(1+tbl_IBM[[#This Row],[RS]])))</f>
        <v>59.335373852208093</v>
      </c>
      <c r="J54" s="48">
        <f ca="1">IF(ROW($N54)-4&lt;BB_Periods, "", AVERAGE(INDIRECT(ADDRESS(ROW($F54)-RSI_Periods +1, MATCH("Adj Close", Price_Header,0))): INDIRECT(ADDRESS(ROW($F54),MATCH("Adj Close", Price_Header,0)))))</f>
        <v>124.63857142857144</v>
      </c>
      <c r="K54" s="48">
        <f ca="1">IF(tbl_IBM[[#This Row],[BB_Mean]]="", "", tbl_IBM[[#This Row],[BB_Mean]]+(BB_Width*tbl_IBM[[#This Row],[BB_Stdev]]))</f>
        <v>130.70897811697688</v>
      </c>
      <c r="L54" s="48">
        <f ca="1">IF(tbl_IBM[[#This Row],[BB_Mean]]="", "", tbl_IBM[[#This Row],[BB_Mean]]-(BB_Width*tbl_IBM[[#This Row],[BB_Stdev]]))</f>
        <v>118.56816474016601</v>
      </c>
      <c r="M54" s="46">
        <f>IF(ROW(tbl_IBM[[#This Row],[Adj Close]])=5, 0, $F54-$F53)</f>
        <v>-0.72000000000001307</v>
      </c>
      <c r="N54" s="46">
        <f>MAX(tbl_IBM[[#This Row],[Move]],0)</f>
        <v>0</v>
      </c>
      <c r="O54" s="46">
        <f>MAX(-tbl_IBM[[#This Row],[Move]],0)</f>
        <v>0.72000000000001307</v>
      </c>
      <c r="P54" s="46">
        <f ca="1">IF(ROW($N54)-5&lt;RSI_Periods, "", AVERAGE(INDIRECT(ADDRESS(ROW($N54)-RSI_Periods +1, MATCH("Upmove", Price_Header,0))): INDIRECT(ADDRESS(ROW($N54),MATCH("Upmove", Price_Header,0)))))</f>
        <v>0.96928571428571686</v>
      </c>
      <c r="Q54" s="46">
        <f ca="1">IF(ROW($O54)-5&lt;RSI_Periods, "", AVERAGE(INDIRECT(ADDRESS(ROW($O54)-RSI_Periods +1, MATCH("Downmove", Price_Header,0))): INDIRECT(ADDRESS(ROW($O54),MATCH("Downmove", Price_Header,0)))))</f>
        <v>0.66428571428571714</v>
      </c>
      <c r="R54" s="46">
        <f ca="1">IF(tbl_IBM[[#This Row],[Avg_Upmove]]="", "", tbl_IBM[[#This Row],[Avg_Upmove]]/tbl_IBM[[#This Row],[Avg_Downmove]])</f>
        <v>1.4591397849462342</v>
      </c>
      <c r="S54" s="48">
        <f ca="1">IF(ROW($N54)-4&lt;BB_Periods, "", _xlfn.STDEV.S(INDIRECT(ADDRESS(ROW($F54)-RSI_Periods +1, MATCH("Adj Close", Price_Header,0))): INDIRECT(ADDRESS(ROW($F54),MATCH("Adj Close", Price_Header,0)))))</f>
        <v>3.0352033442027158</v>
      </c>
    </row>
    <row r="55" spans="1:19" x14ac:dyDescent="0.35">
      <c r="A55" s="8">
        <v>44124</v>
      </c>
      <c r="B55" s="48">
        <v>119.8</v>
      </c>
      <c r="C55" s="48">
        <v>120.15</v>
      </c>
      <c r="D55" s="48">
        <v>116.84</v>
      </c>
      <c r="E55" s="48">
        <v>117.37</v>
      </c>
      <c r="F55" s="48">
        <v>117.37</v>
      </c>
      <c r="G55">
        <v>21501100</v>
      </c>
      <c r="H55" s="48">
        <f>IF(tbl_IBM[[#This Row],[Date]]=$A$5, $F55, EMA_Beta*$H54 + (1-EMA_Beta)*$F55)</f>
        <v>123.70121031876268</v>
      </c>
      <c r="I55" s="46">
        <f ca="1">IF(tbl_IBM[[#This Row],[RS]]= "", "", 100-(100/(1+tbl_IBM[[#This Row],[RS]])))</f>
        <v>42.828552368245511</v>
      </c>
      <c r="J55" s="48">
        <f ca="1">IF(ROW($N55)-4&lt;BB_Periods, "", AVERAGE(INDIRECT(ADDRESS(ROW($F55)-RSI_Periods +1, MATCH("Adj Close", Price_Header,0))): INDIRECT(ADDRESS(ROW($F55),MATCH("Adj Close", Price_Header,0)))))</f>
        <v>124.33142857142859</v>
      </c>
      <c r="K55" s="48">
        <f ca="1">IF(tbl_IBM[[#This Row],[BB_Mean]]="", "", tbl_IBM[[#This Row],[BB_Mean]]+(BB_Width*tbl_IBM[[#This Row],[BB_Stdev]]))</f>
        <v>131.40164718253186</v>
      </c>
      <c r="L55" s="48">
        <f ca="1">IF(tbl_IBM[[#This Row],[BB_Mean]]="", "", tbl_IBM[[#This Row],[BB_Mean]]-(BB_Width*tbl_IBM[[#This Row],[BB_Stdev]]))</f>
        <v>117.2612099603253</v>
      </c>
      <c r="M55" s="46">
        <f>IF(ROW(tbl_IBM[[#This Row],[Adj Close]])=5, 0, $F55-$F54)</f>
        <v>-7.8399999999999892</v>
      </c>
      <c r="N55" s="46">
        <f>MAX(tbl_IBM[[#This Row],[Move]],0)</f>
        <v>0</v>
      </c>
      <c r="O55" s="46">
        <f>MAX(-tbl_IBM[[#This Row],[Move]],0)</f>
        <v>7.8399999999999892</v>
      </c>
      <c r="P55" s="46">
        <f ca="1">IF(ROW($N55)-5&lt;RSI_Periods, "", AVERAGE(INDIRECT(ADDRESS(ROW($N55)-RSI_Periods +1, MATCH("Upmove", Price_Header,0))): INDIRECT(ADDRESS(ROW($N55),MATCH("Upmove", Price_Header,0)))))</f>
        <v>0.91714285714285937</v>
      </c>
      <c r="Q55" s="46">
        <f ca="1">IF(ROW($O55)-5&lt;RSI_Periods, "", AVERAGE(INDIRECT(ADDRESS(ROW($O55)-RSI_Periods +1, MATCH("Downmove", Price_Header,0))): INDIRECT(ADDRESS(ROW($O55),MATCH("Downmove", Price_Header,0)))))</f>
        <v>1.2242857142857164</v>
      </c>
      <c r="R55" s="46">
        <f ca="1">IF(tbl_IBM[[#This Row],[Avg_Upmove]]="", "", tbl_IBM[[#This Row],[Avg_Upmove]]/tbl_IBM[[#This Row],[Avg_Downmove]])</f>
        <v>0.74912485414235752</v>
      </c>
      <c r="S55" s="48">
        <f ca="1">IF(ROW($N55)-4&lt;BB_Periods, "", _xlfn.STDEV.S(INDIRECT(ADDRESS(ROW($F55)-RSI_Periods +1, MATCH("Adj Close", Price_Header,0))): INDIRECT(ADDRESS(ROW($F55),MATCH("Adj Close", Price_Header,0)))))</f>
        <v>3.5351093055516416</v>
      </c>
    </row>
    <row r="56" spans="1:19" x14ac:dyDescent="0.35">
      <c r="A56" s="8">
        <v>44125</v>
      </c>
      <c r="B56" s="48">
        <v>116.66</v>
      </c>
      <c r="C56" s="48">
        <v>117.69</v>
      </c>
      <c r="D56" s="48">
        <v>114.79</v>
      </c>
      <c r="E56" s="48">
        <v>115.06</v>
      </c>
      <c r="F56" s="48">
        <v>115.06</v>
      </c>
      <c r="G56">
        <v>9755300</v>
      </c>
      <c r="H56" s="48">
        <f>IF(tbl_IBM[[#This Row],[Date]]=$A$5, $F56, EMA_Beta*$H55 + (1-EMA_Beta)*$F56)</f>
        <v>122.83708928688641</v>
      </c>
      <c r="I56" s="46">
        <f ca="1">IF(tbl_IBM[[#This Row],[RS]]= "", "", 100-(100/(1+tbl_IBM[[#This Row],[RS]])))</f>
        <v>40.491958372753096</v>
      </c>
      <c r="J56" s="48">
        <f ca="1">IF(ROW($N56)-4&lt;BB_Periods, "", AVERAGE(INDIRECT(ADDRESS(ROW($F56)-RSI_Periods +1, MATCH("Adj Close", Price_Header,0))): INDIRECT(ADDRESS(ROW($F56),MATCH("Adj Close", Price_Header,0)))))</f>
        <v>123.9007142857143</v>
      </c>
      <c r="K56" s="48">
        <f ca="1">IF(tbl_IBM[[#This Row],[BB_Mean]]="", "", tbl_IBM[[#This Row],[BB_Mean]]+(BB_Width*tbl_IBM[[#This Row],[BB_Stdev]]))</f>
        <v>132.40982782278815</v>
      </c>
      <c r="L56" s="48">
        <f ca="1">IF(tbl_IBM[[#This Row],[BB_Mean]]="", "", tbl_IBM[[#This Row],[BB_Mean]]-(BB_Width*tbl_IBM[[#This Row],[BB_Stdev]]))</f>
        <v>115.39160074864047</v>
      </c>
      <c r="M56" s="46">
        <f>IF(ROW(tbl_IBM[[#This Row],[Adj Close]])=5, 0, $F56-$F55)</f>
        <v>-2.3100000000000023</v>
      </c>
      <c r="N56" s="46">
        <f>MAX(tbl_IBM[[#This Row],[Move]],0)</f>
        <v>0</v>
      </c>
      <c r="O56" s="46">
        <f>MAX(-tbl_IBM[[#This Row],[Move]],0)</f>
        <v>2.3100000000000023</v>
      </c>
      <c r="P56" s="46">
        <f ca="1">IF(ROW($N56)-5&lt;RSI_Periods, "", AVERAGE(INDIRECT(ADDRESS(ROW($N56)-RSI_Periods +1, MATCH("Upmove", Price_Header,0))): INDIRECT(ADDRESS(ROW($N56),MATCH("Upmove", Price_Header,0)))))</f>
        <v>0.91714285714285937</v>
      </c>
      <c r="Q56" s="46">
        <f ca="1">IF(ROW($O56)-5&lt;RSI_Periods, "", AVERAGE(INDIRECT(ADDRESS(ROW($O56)-RSI_Periods +1, MATCH("Downmove", Price_Header,0))): INDIRECT(ADDRESS(ROW($O56),MATCH("Downmove", Price_Header,0)))))</f>
        <v>1.3478571428571453</v>
      </c>
      <c r="R56" s="46">
        <f ca="1">IF(tbl_IBM[[#This Row],[Avg_Upmove]]="", "", tbl_IBM[[#This Row],[Avg_Upmove]]/tbl_IBM[[#This Row],[Avg_Downmove]])</f>
        <v>0.68044515103338676</v>
      </c>
      <c r="S56" s="48">
        <f ca="1">IF(ROW($N56)-4&lt;BB_Periods, "", _xlfn.STDEV.S(INDIRECT(ADDRESS(ROW($F56)-RSI_Periods +1, MATCH("Adj Close", Price_Header,0))): INDIRECT(ADDRESS(ROW($F56),MATCH("Adj Close", Price_Header,0)))))</f>
        <v>4.2545567685369177</v>
      </c>
    </row>
    <row r="57" spans="1:19" x14ac:dyDescent="0.35">
      <c r="A57" s="8">
        <v>44126</v>
      </c>
      <c r="B57" s="48">
        <v>115</v>
      </c>
      <c r="C57" s="48">
        <v>116.06</v>
      </c>
      <c r="D57" s="48">
        <v>112.98</v>
      </c>
      <c r="E57" s="48">
        <v>115.76</v>
      </c>
      <c r="F57" s="48">
        <v>115.76</v>
      </c>
      <c r="G57">
        <v>7855800</v>
      </c>
      <c r="H57" s="48">
        <f>IF(tbl_IBM[[#This Row],[Date]]=$A$5, $F57, EMA_Beta*$H56 + (1-EMA_Beta)*$F57)</f>
        <v>122.12938035819776</v>
      </c>
      <c r="I57" s="46">
        <f ca="1">IF(tbl_IBM[[#This Row],[RS]]= "", "", 100-(100/(1+tbl_IBM[[#This Row],[RS]])))</f>
        <v>42.458450925054905</v>
      </c>
      <c r="J57" s="48">
        <f ca="1">IF(ROW($N57)-4&lt;BB_Periods, "", AVERAGE(INDIRECT(ADDRESS(ROW($F57)-RSI_Periods +1, MATCH("Adj Close", Price_Header,0))): INDIRECT(ADDRESS(ROW($F57),MATCH("Adj Close", Price_Header,0)))))</f>
        <v>123.55714285714289</v>
      </c>
      <c r="K57" s="48">
        <f ca="1">IF(tbl_IBM[[#This Row],[BB_Mean]]="", "", tbl_IBM[[#This Row],[BB_Mean]]+(BB_Width*tbl_IBM[[#This Row],[BB_Stdev]]))</f>
        <v>132.98445645955593</v>
      </c>
      <c r="L57" s="48">
        <f ca="1">IF(tbl_IBM[[#This Row],[BB_Mean]]="", "", tbl_IBM[[#This Row],[BB_Mean]]-(BB_Width*tbl_IBM[[#This Row],[BB_Stdev]]))</f>
        <v>114.12982925472986</v>
      </c>
      <c r="M57" s="46">
        <f>IF(ROW(tbl_IBM[[#This Row],[Adj Close]])=5, 0, $F57-$F56)</f>
        <v>0.70000000000000284</v>
      </c>
      <c r="N57" s="46">
        <f>MAX(tbl_IBM[[#This Row],[Move]],0)</f>
        <v>0.70000000000000284</v>
      </c>
      <c r="O57" s="46">
        <f>MAX(-tbl_IBM[[#This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0.96714285714285964</v>
      </c>
      <c r="Q57" s="46">
        <f ca="1">IF(ROW($O57)-5&lt;RSI_Periods, "", AVERAGE(INDIRECT(ADDRESS(ROW($O57)-RSI_Periods +1, MATCH("Downmove", Price_Header,0))): INDIRECT(ADDRESS(ROW($O57),MATCH("Downmove", Price_Header,0)))))</f>
        <v>1.3107142857142873</v>
      </c>
      <c r="R57" s="46">
        <f ca="1">IF(tbl_IBM[[#This Row],[Avg_Upmove]]="", "", tbl_IBM[[#This Row],[Avg_Upmove]]/tbl_IBM[[#This Row],[Avg_Downmove]])</f>
        <v>0.73787465940054597</v>
      </c>
      <c r="S57" s="48">
        <f ca="1">IF(ROW($N57)-4&lt;BB_Periods, "", _xlfn.STDEV.S(INDIRECT(ADDRESS(ROW($F57)-RSI_Periods +1, MATCH("Adj Close", Price_Header,0))): INDIRECT(ADDRESS(ROW($F57),MATCH("Adj Close", Price_Header,0)))))</f>
        <v>4.7136568012065156</v>
      </c>
    </row>
    <row r="58" spans="1:19" x14ac:dyDescent="0.35">
      <c r="A58" s="8">
        <v>44127</v>
      </c>
      <c r="B58" s="48">
        <v>116.5</v>
      </c>
      <c r="C58" s="48">
        <v>116.62</v>
      </c>
      <c r="D58" s="48">
        <v>115.53</v>
      </c>
      <c r="E58" s="48">
        <v>116</v>
      </c>
      <c r="F58" s="48">
        <v>116</v>
      </c>
      <c r="G58">
        <v>3893400</v>
      </c>
      <c r="H58" s="48">
        <f>IF(tbl_IBM[[#This Row],[Date]]=$A$5, $F58, EMA_Beta*$H57 + (1-EMA_Beta)*$F58)</f>
        <v>121.51644232237798</v>
      </c>
      <c r="I58" s="46">
        <f ca="1">IF(tbl_IBM[[#This Row],[RS]]= "", "", 100-(100/(1+tbl_IBM[[#This Row],[RS]])))</f>
        <v>40.208536982730536</v>
      </c>
      <c r="J58" s="48">
        <f ca="1">IF(ROW($N58)-4&lt;BB_Periods, "", AVERAGE(INDIRECT(ADDRESS(ROW($F58)-RSI_Periods +1, MATCH("Adj Close", Price_Header,0))): INDIRECT(ADDRESS(ROW($F58),MATCH("Adj Close", Price_Header,0)))))</f>
        <v>123.12785714285712</v>
      </c>
      <c r="K58" s="48">
        <f ca="1">IF(tbl_IBM[[#This Row],[BB_Mean]]="", "", tbl_IBM[[#This Row],[BB_Mean]]+(BB_Width*tbl_IBM[[#This Row],[BB_Stdev]]))</f>
        <v>133.37072386469427</v>
      </c>
      <c r="L58" s="48">
        <f ca="1">IF(tbl_IBM[[#This Row],[BB_Mean]]="", "", tbl_IBM[[#This Row],[BB_Mean]]-(BB_Width*tbl_IBM[[#This Row],[BB_Stdev]]))</f>
        <v>112.88499042101998</v>
      </c>
      <c r="M58" s="46">
        <f>IF(ROW(tbl_IBM[[#This Row],[Adj Close]])=5, 0, $F58-$F57)</f>
        <v>0.23999999999999488</v>
      </c>
      <c r="N58" s="46">
        <f>MAX(tbl_IBM[[#This Row],[Move]],0)</f>
        <v>0.23999999999999488</v>
      </c>
      <c r="O58" s="46">
        <f>MAX(-tbl_IBM[[#This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0.88142857142857267</v>
      </c>
      <c r="Q58" s="46">
        <f ca="1">IF(ROW($O58)-5&lt;RSI_Periods, "", AVERAGE(INDIRECT(ADDRESS(ROW($O58)-RSI_Periods +1, MATCH("Downmove", Price_Header,0))): INDIRECT(ADDRESS(ROW($O58),MATCH("Downmove", Price_Header,0)))))</f>
        <v>1.3107142857142873</v>
      </c>
      <c r="R58" s="46">
        <f ca="1">IF(tbl_IBM[[#This Row],[Avg_Upmove]]="", "", tbl_IBM[[#This Row],[Avg_Upmove]]/tbl_IBM[[#This Row],[Avg_Downmove]])</f>
        <v>0.67247956403269771</v>
      </c>
      <c r="S58" s="48">
        <f ca="1">IF(ROW($N58)-4&lt;BB_Periods, "", _xlfn.STDEV.S(INDIRECT(ADDRESS(ROW($F58)-RSI_Periods +1, MATCH("Adj Close", Price_Header,0))): INDIRECT(ADDRESS(ROW($F58),MATCH("Adj Close", Price_Header,0)))))</f>
        <v>5.1214333609185694</v>
      </c>
    </row>
    <row r="59" spans="1:19" x14ac:dyDescent="0.35">
      <c r="A59" s="8">
        <v>44130</v>
      </c>
      <c r="B59" s="48">
        <v>114.45</v>
      </c>
      <c r="C59" s="48">
        <v>114.9</v>
      </c>
      <c r="D59" s="48">
        <v>111.84</v>
      </c>
      <c r="E59" s="48">
        <v>112.22</v>
      </c>
      <c r="F59" s="48">
        <v>112.22</v>
      </c>
      <c r="G59">
        <v>7203400</v>
      </c>
      <c r="H59" s="48">
        <f>IF(tbl_IBM[[#This Row],[Date]]=$A$5, $F59, EMA_Beta*$H58 + (1-EMA_Beta)*$F59)</f>
        <v>120.58679809014018</v>
      </c>
      <c r="I59" s="46">
        <f ca="1">IF(tbl_IBM[[#This Row],[RS]]= "", "", 100-(100/(1+tbl_IBM[[#This Row],[RS]])))</f>
        <v>35.840836479814129</v>
      </c>
      <c r="J59" s="48">
        <f ca="1">IF(ROW($N59)-4&lt;BB_Periods, "", AVERAGE(INDIRECT(ADDRESS(ROW($F59)-RSI_Periods +1, MATCH("Adj Close", Price_Header,0))): INDIRECT(ADDRESS(ROW($F59),MATCH("Adj Close", Price_Header,0)))))</f>
        <v>122.43142857142857</v>
      </c>
      <c r="K59" s="48">
        <f ca="1">IF(tbl_IBM[[#This Row],[BB_Mean]]="", "", tbl_IBM[[#This Row],[BB_Mean]]+(BB_Width*tbl_IBM[[#This Row],[BB_Stdev]]))</f>
        <v>134.22227993272458</v>
      </c>
      <c r="L59" s="48">
        <f ca="1">IF(tbl_IBM[[#This Row],[BB_Mean]]="", "", tbl_IBM[[#This Row],[BB_Mean]]-(BB_Width*tbl_IBM[[#This Row],[BB_Stdev]]))</f>
        <v>110.64057721013256</v>
      </c>
      <c r="M59" s="46">
        <f>IF(ROW(tbl_IBM[[#This Row],[Adj Close]])=5, 0, $F59-$F58)</f>
        <v>-3.7800000000000011</v>
      </c>
      <c r="N59" s="46">
        <f>MAX(tbl_IBM[[#This Row],[Move]],0)</f>
        <v>0</v>
      </c>
      <c r="O59" s="46">
        <f>MAX(-tbl_IBM[[#This Row],[Move]],0)</f>
        <v>3.7800000000000011</v>
      </c>
      <c r="P59" s="46">
        <f ca="1">IF(ROW($N59)-5&lt;RSI_Periods, "", AVERAGE(INDIRECT(ADDRESS(ROW($N59)-RSI_Periods +1, MATCH("Upmove", Price_Header,0))): INDIRECT(ADDRESS(ROW($N59),MATCH("Upmove", Price_Header,0)))))</f>
        <v>0.88142857142857267</v>
      </c>
      <c r="Q59" s="46">
        <f ca="1">IF(ROW($O59)-5&lt;RSI_Periods, "", AVERAGE(INDIRECT(ADDRESS(ROW($O59)-RSI_Periods +1, MATCH("Downmove", Price_Header,0))): INDIRECT(ADDRESS(ROW($O59),MATCH("Downmove", Price_Header,0)))))</f>
        <v>1.5778571428571442</v>
      </c>
      <c r="R59" s="46">
        <f ca="1">IF(tbl_IBM[[#This Row],[Avg_Upmove]]="", "", tbl_IBM[[#This Row],[Avg_Upmove]]/tbl_IBM[[#This Row],[Avg_Downmove]])</f>
        <v>0.55862381167949327</v>
      </c>
      <c r="S59" s="48">
        <f ca="1">IF(ROW($N59)-4&lt;BB_Periods, "", _xlfn.STDEV.S(INDIRECT(ADDRESS(ROW($F59)-RSI_Periods +1, MATCH("Adj Close", Price_Header,0))): INDIRECT(ADDRESS(ROW($F59),MATCH("Adj Close", Price_Header,0)))))</f>
        <v>5.8954256806480014</v>
      </c>
    </row>
    <row r="60" spans="1:19" x14ac:dyDescent="0.35">
      <c r="A60" t="s">
        <v>162</v>
      </c>
      <c r="S60">
        <f ca="1">SUBTOTAL(103,tbl_IBM[BB_Stdev])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60"/>
  <sheetViews>
    <sheetView topLeftCell="A53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171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3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3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3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3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3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3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3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3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3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3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3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3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3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3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3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3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3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3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35">
      <c r="A37" s="8">
        <v>44098</v>
      </c>
      <c r="B37" s="10">
        <v>58.74</v>
      </c>
      <c r="C37" s="10">
        <v>59.9</v>
      </c>
      <c r="D37" s="10">
        <v>58.29</v>
      </c>
      <c r="E37" s="10">
        <v>59.3</v>
      </c>
      <c r="F37" s="10">
        <v>59.3</v>
      </c>
      <c r="G37">
        <v>9560500</v>
      </c>
      <c r="H37" s="127">
        <f>IF(tbl_ORCL[[#This Row],[Date]]=$A$5, $F37, EMA_Beta*$H36 + (1-EMA_Beta)*$F37)</f>
        <v>58.628247446490441</v>
      </c>
      <c r="I37" s="50">
        <f ca="1">IF(tbl_ORCL[[#This Row],[RS]]= "", "", 100-(100/(1+tbl_ORCL[[#This Row],[RS]])))</f>
        <v>58.785950479233229</v>
      </c>
      <c r="J37" s="127">
        <f ca="1">IF(ROW($N37)-4&lt;BB_Periods, "", AVERAGE(INDIRECT(ADDRESS(ROW($F37)-RSI_Periods +1, MATCH("Adj Close", Price_Header,0))): INDIRECT(ADDRESS(ROW($F37),MATCH("Adj Close", Price_Header,0)))))</f>
        <v>58.770714357142865</v>
      </c>
      <c r="K37" s="127">
        <f ca="1">IF(tbl_ORCL[[#This Row],[BB_Mean]]="", "", tbl_ORCL[[#This Row],[BB_Mean]]+(BB_Width*tbl_ORCL[[#This Row],[BB_Stdev]]))</f>
        <v>62.633518350088174</v>
      </c>
      <c r="L37" s="127">
        <f ca="1">IF(tbl_ORCL[[#This Row],[BB_Mean]]="", "", tbl_ORCL[[#This Row],[BB_Mean]]-(BB_Width*tbl_ORCL[[#This Row],[BB_Stdev]]))</f>
        <v>54.907910364197555</v>
      </c>
      <c r="M37" s="50">
        <f>IF(ROW(tbl_ORCL[[#This Row],[Adj Close]])=5, 0, $F37-$F36)</f>
        <v>0.33999999999999631</v>
      </c>
      <c r="N37" s="50">
        <f>MAX(tbl_ORCL[[#This Row],[Move]],0)</f>
        <v>0.33999999999999631</v>
      </c>
      <c r="O37" s="50">
        <f>MAX(-tbl_ORCL[[#This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0.52571435714285697</v>
      </c>
      <c r="Q37" s="50">
        <f ca="1">IF(ROW($O37)-5&lt;RSI_Periods, "", AVERAGE(INDIRECT(ADDRESS(ROW($O37)-RSI_Periods +1, MATCH("Downmove", Price_Header,0))): INDIRECT(ADDRESS(ROW($O37),MATCH("Downmove", Price_Header,0)))))</f>
        <v>0.3685713571428571</v>
      </c>
      <c r="R37" s="50">
        <f ca="1">IF(tbl_ORCL[[#This Row],[Avg_Upmove]]="", "", tbl_ORCL[[#This Row],[Avg_Upmove]]/tbl_ORCL[[#This Row],[Avg_Downmove]])</f>
        <v>1.4263570593715229</v>
      </c>
      <c r="S37" s="127">
        <f ca="1">IF(ROW($N37)-4&lt;BB_Periods, "", _xlfn.STDEV.S(INDIRECT(ADDRESS(ROW($F37)-RSI_Periods +1, MATCH("Adj Close", Price_Header,0))): INDIRECT(ADDRESS(ROW($F37),MATCH("Adj Close", Price_Header,0)))))</f>
        <v>1.9314019964726543</v>
      </c>
    </row>
    <row r="38" spans="1:19" x14ac:dyDescent="0.35">
      <c r="A38" s="8">
        <v>44099</v>
      </c>
      <c r="B38" s="10">
        <v>59.27</v>
      </c>
      <c r="C38" s="10">
        <v>59.99</v>
      </c>
      <c r="D38" s="10">
        <v>58.96</v>
      </c>
      <c r="E38" s="10">
        <v>59.8</v>
      </c>
      <c r="F38" s="10">
        <v>59.8</v>
      </c>
      <c r="G38">
        <v>9371900</v>
      </c>
      <c r="H38" s="127">
        <f>IF(tbl_ORCL[[#This Row],[Date]]=$A$5, $F38, EMA_Beta*$H37 + (1-EMA_Beta)*$F38)</f>
        <v>58.745422701841392</v>
      </c>
      <c r="I38" s="50">
        <f ca="1">IF(tbl_ORCL[[#This Row],[RS]]= "", "", 100-(100/(1+tbl_ORCL[[#This Row],[RS]])))</f>
        <v>67.467808160032945</v>
      </c>
      <c r="J38" s="127">
        <f ca="1">IF(ROW($N38)-4&lt;BB_Periods, "", AVERAGE(INDIRECT(ADDRESS(ROW($F38)-RSI_Periods +1, MATCH("Adj Close", Price_Header,0))): INDIRECT(ADDRESS(ROW($F38),MATCH("Adj Close", Price_Header,0)))))</f>
        <v>59.061428642857145</v>
      </c>
      <c r="K38" s="127">
        <f ca="1">IF(tbl_ORCL[[#This Row],[BB_Mean]]="", "", tbl_ORCL[[#This Row],[BB_Mean]]+(BB_Width*tbl_ORCL[[#This Row],[BB_Stdev]]))</f>
        <v>62.531048694133929</v>
      </c>
      <c r="L38" s="127">
        <f ca="1">IF(tbl_ORCL[[#This Row],[BB_Mean]]="", "", tbl_ORCL[[#This Row],[BB_Mean]]-(BB_Width*tbl_ORCL[[#This Row],[BB_Stdev]]))</f>
        <v>55.59180859158036</v>
      </c>
      <c r="M38" s="50">
        <f>IF(ROW(tbl_ORCL[[#This Row],[Adj Close]])=5, 0, $F38-$F37)</f>
        <v>0.5</v>
      </c>
      <c r="N38" s="50">
        <f>MAX(tbl_ORCL[[#This Row],[Move]],0)</f>
        <v>0.5</v>
      </c>
      <c r="O38" s="50">
        <f>MAX(-tbl_ORCL[[#This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0.56142864285714267</v>
      </c>
      <c r="Q38" s="50">
        <f ca="1">IF(ROW($O38)-5&lt;RSI_Periods, "", AVERAGE(INDIRECT(ADDRESS(ROW($O38)-RSI_Periods +1, MATCH("Downmove", Price_Header,0))): INDIRECT(ADDRESS(ROW($O38),MATCH("Downmove", Price_Header,0)))))</f>
        <v>0.27071435714285691</v>
      </c>
      <c r="R38" s="50">
        <f ca="1">IF(tbl_ORCL[[#This Row],[Avg_Upmove]]="", "", tbl_ORCL[[#This Row],[Avg_Upmove]]/tbl_ORCL[[#This Row],[Avg_Downmove]])</f>
        <v>2.0738783446231293</v>
      </c>
      <c r="S38" s="127">
        <f ca="1">IF(ROW($N38)-4&lt;BB_Periods, "", _xlfn.STDEV.S(INDIRECT(ADDRESS(ROW($F38)-RSI_Periods +1, MATCH("Adj Close", Price_Header,0))): INDIRECT(ADDRESS(ROW($F38),MATCH("Adj Close", Price_Header,0)))))</f>
        <v>1.7348100256383916</v>
      </c>
    </row>
    <row r="39" spans="1:19" x14ac:dyDescent="0.35">
      <c r="A39" s="8">
        <v>44102</v>
      </c>
      <c r="B39" s="10">
        <v>60.03</v>
      </c>
      <c r="C39" s="10">
        <v>60.54</v>
      </c>
      <c r="D39" s="10">
        <v>59.47</v>
      </c>
      <c r="E39" s="10">
        <v>59.58</v>
      </c>
      <c r="F39" s="10">
        <v>59.58</v>
      </c>
      <c r="G39">
        <v>9356300</v>
      </c>
      <c r="H39" s="127">
        <f>IF(tbl_ORCL[[#This Row],[Date]]=$A$5, $F39, EMA_Beta*$H38 + (1-EMA_Beta)*$F39)</f>
        <v>58.828880431657254</v>
      </c>
      <c r="I39" s="50">
        <f ca="1">IF(tbl_ORCL[[#This Row],[RS]]= "", "", 100-(100/(1+tbl_ORCL[[#This Row],[RS]])))</f>
        <v>68.586384190857899</v>
      </c>
      <c r="J39" s="127">
        <f ca="1">IF(ROW($N39)-4&lt;BB_Periods, "", AVERAGE(INDIRECT(ADDRESS(ROW($F39)-RSI_Periods +1, MATCH("Adj Close", Price_Header,0))): INDIRECT(ADDRESS(ROW($F39),MATCH("Adj Close", Price_Header,0)))))</f>
        <v>59.365714357142856</v>
      </c>
      <c r="K39" s="127">
        <f ca="1">IF(tbl_ORCL[[#This Row],[BB_Mean]]="", "", tbl_ORCL[[#This Row],[BB_Mean]]+(BB_Width*tbl_ORCL[[#This Row],[BB_Stdev]]))</f>
        <v>62.088762792866838</v>
      </c>
      <c r="L39" s="127">
        <f ca="1">IF(tbl_ORCL[[#This Row],[BB_Mean]]="", "", tbl_ORCL[[#This Row],[BB_Mean]]-(BB_Width*tbl_ORCL[[#This Row],[BB_Stdev]]))</f>
        <v>56.642665921418875</v>
      </c>
      <c r="M39" s="50">
        <f>IF(ROW(tbl_ORCL[[#This Row],[Adj Close]])=5, 0, $F39-$F38)</f>
        <v>-0.21999999999999886</v>
      </c>
      <c r="N39" s="50">
        <f>MAX(tbl_ORCL[[#This Row],[Move]],0)</f>
        <v>0</v>
      </c>
      <c r="O39" s="50">
        <f>MAX(-tbl_ORCL[[#This Row],[Move]],0)</f>
        <v>0.21999999999999886</v>
      </c>
      <c r="P39" s="50">
        <f ca="1">IF(ROW($N39)-5&lt;RSI_Periods, "", AVERAGE(INDIRECT(ADDRESS(ROW($N39)-RSI_Periods +1, MATCH("Upmove", Price_Header,0))): INDIRECT(ADDRESS(ROW($N39),MATCH("Upmove", Price_Header,0)))))</f>
        <v>0.56142864285714267</v>
      </c>
      <c r="Q39" s="50">
        <f ca="1">IF(ROW($O39)-5&lt;RSI_Periods, "", AVERAGE(INDIRECT(ADDRESS(ROW($O39)-RSI_Periods +1, MATCH("Downmove", Price_Header,0))): INDIRECT(ADDRESS(ROW($O39),MATCH("Downmove", Price_Header,0)))))</f>
        <v>0.25714292857142851</v>
      </c>
      <c r="R39" s="50">
        <f ca="1">IF(tbl_ORCL[[#This Row],[Avg_Upmove]]="", "", tbl_ORCL[[#This Row],[Avg_Upmove]]/tbl_ORCL[[#This Row],[Avg_Downmove]])</f>
        <v>2.1833330046297208</v>
      </c>
      <c r="S39" s="127">
        <f ca="1">IF(ROW($N39)-4&lt;BB_Periods, "", _xlfn.STDEV.S(INDIRECT(ADDRESS(ROW($F39)-RSI_Periods +1, MATCH("Adj Close", Price_Header,0))): INDIRECT(ADDRESS(ROW($F39),MATCH("Adj Close", Price_Header,0)))))</f>
        <v>1.3615242178619915</v>
      </c>
    </row>
    <row r="40" spans="1:19" x14ac:dyDescent="0.35">
      <c r="A40" s="8">
        <v>44103</v>
      </c>
      <c r="B40" s="10">
        <v>59.58</v>
      </c>
      <c r="C40" s="10">
        <v>60.16</v>
      </c>
      <c r="D40" s="10">
        <v>59.4</v>
      </c>
      <c r="E40" s="10">
        <v>59.47</v>
      </c>
      <c r="F40" s="10">
        <v>59.47</v>
      </c>
      <c r="G40">
        <v>6340600</v>
      </c>
      <c r="H40" s="127">
        <f>IF(tbl_ORCL[[#This Row],[Date]]=$A$5, $F40, EMA_Beta*$H39 + (1-EMA_Beta)*$F40)</f>
        <v>58.892992388491528</v>
      </c>
      <c r="I40" s="50">
        <f ca="1">IF(tbl_ORCL[[#This Row],[RS]]= "", "", 100-(100/(1+tbl_ORCL[[#This Row],[RS]])))</f>
        <v>62.676050032590545</v>
      </c>
      <c r="J40" s="127">
        <f ca="1">IF(ROW($N40)-4&lt;BB_Periods, "", AVERAGE(INDIRECT(ADDRESS(ROW($F40)-RSI_Periods +1, MATCH("Adj Close", Price_Header,0))): INDIRECT(ADDRESS(ROW($F40),MATCH("Adj Close", Price_Header,0)))))</f>
        <v>59.545714285714283</v>
      </c>
      <c r="K40" s="127">
        <f ca="1">IF(tbl_ORCL[[#This Row],[BB_Mean]]="", "", tbl_ORCL[[#This Row],[BB_Mean]]+(BB_Width*tbl_ORCL[[#This Row],[BB_Stdev]]))</f>
        <v>61.887333145664932</v>
      </c>
      <c r="L40" s="127">
        <f ca="1">IF(tbl_ORCL[[#This Row],[BB_Mean]]="", "", tbl_ORCL[[#This Row],[BB_Mean]]-(BB_Width*tbl_ORCL[[#This Row],[BB_Stdev]]))</f>
        <v>57.204095425763633</v>
      </c>
      <c r="M40" s="50">
        <f>IF(ROW(tbl_ORCL[[#This Row],[Adj Close]])=5, 0, $F40-$F39)</f>
        <v>-0.10999999999999943</v>
      </c>
      <c r="N40" s="50">
        <f>MAX(tbl_ORCL[[#This Row],[Move]],0)</f>
        <v>0</v>
      </c>
      <c r="O40" s="50">
        <f>MAX(-tbl_ORCL[[#This Row],[Move]],0)</f>
        <v>0.10999999999999943</v>
      </c>
      <c r="P40" s="50">
        <f ca="1">IF(ROW($N40)-5&lt;RSI_Periods, "", AVERAGE(INDIRECT(ADDRESS(ROW($N40)-RSI_Periods +1, MATCH("Upmove", Price_Header,0))): INDIRECT(ADDRESS(ROW($N40),MATCH("Upmove", Price_Header,0)))))</f>
        <v>0.44499999999999978</v>
      </c>
      <c r="Q40" s="50">
        <f ca="1">IF(ROW($O40)-5&lt;RSI_Periods, "", AVERAGE(INDIRECT(ADDRESS(ROW($O40)-RSI_Periods +1, MATCH("Downmove", Price_Header,0))): INDIRECT(ADDRESS(ROW($O40),MATCH("Downmove", Price_Header,0)))))</f>
        <v>0.26500007142857129</v>
      </c>
      <c r="R40" s="50">
        <f ca="1">IF(tbl_ORCL[[#This Row],[Avg_Upmove]]="", "", tbl_ORCL[[#This Row],[Avg_Upmove]]/tbl_ORCL[[#This Row],[Avg_Downmove]])</f>
        <v>1.6792448303922292</v>
      </c>
      <c r="S40" s="127">
        <f ca="1">IF(ROW($N40)-4&lt;BB_Periods, "", _xlfn.STDEV.S(INDIRECT(ADDRESS(ROW($F40)-RSI_Periods +1, MATCH("Adj Close", Price_Header,0))): INDIRECT(ADDRESS(ROW($F40),MATCH("Adj Close", Price_Header,0)))))</f>
        <v>1.1708094299753236</v>
      </c>
    </row>
    <row r="41" spans="1:19" x14ac:dyDescent="0.35">
      <c r="A41" s="8">
        <v>44104</v>
      </c>
      <c r="B41" s="10">
        <v>59.52</v>
      </c>
      <c r="C41" s="10">
        <v>60.39</v>
      </c>
      <c r="D41" s="10">
        <v>59.37</v>
      </c>
      <c r="E41" s="10">
        <v>59.7</v>
      </c>
      <c r="F41" s="10">
        <v>59.7</v>
      </c>
      <c r="G41">
        <v>11000500</v>
      </c>
      <c r="H41" s="127">
        <f>IF(tbl_ORCL[[#This Row],[Date]]=$A$5, $F41, EMA_Beta*$H40 + (1-EMA_Beta)*$F41)</f>
        <v>58.973693149642372</v>
      </c>
      <c r="I41" s="50">
        <f ca="1">IF(tbl_ORCL[[#This Row],[RS]]= "", "", 100-(100/(1+tbl_ORCL[[#This Row],[RS]])))</f>
        <v>62.104177732379995</v>
      </c>
      <c r="J41" s="127">
        <f ca="1">IF(ROW($N41)-4&lt;BB_Periods, "", AVERAGE(INDIRECT(ADDRESS(ROW($F41)-RSI_Periods +1, MATCH("Adj Close", Price_Header,0))): INDIRECT(ADDRESS(ROW($F41),MATCH("Adj Close", Price_Header,0)))))</f>
        <v>59.714999857142857</v>
      </c>
      <c r="K41" s="127">
        <f ca="1">IF(tbl_ORCL[[#This Row],[BB_Mean]]="", "", tbl_ORCL[[#This Row],[BB_Mean]]+(BB_Width*tbl_ORCL[[#This Row],[BB_Stdev]]))</f>
        <v>61.678791171451579</v>
      </c>
      <c r="L41" s="127">
        <f ca="1">IF(tbl_ORCL[[#This Row],[BB_Mean]]="", "", tbl_ORCL[[#This Row],[BB_Mean]]-(BB_Width*tbl_ORCL[[#This Row],[BB_Stdev]]))</f>
        <v>57.751208542834135</v>
      </c>
      <c r="M41" s="50">
        <f>IF(ROW(tbl_ORCL[[#This Row],[Adj Close]])=5, 0, $F41-$F40)</f>
        <v>0.23000000000000398</v>
      </c>
      <c r="N41" s="50">
        <f>MAX(tbl_ORCL[[#This Row],[Move]],0)</f>
        <v>0.23000000000000398</v>
      </c>
      <c r="O41" s="50">
        <f>MAX(-tbl_ORCL[[#This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0.43428564285714294</v>
      </c>
      <c r="Q41" s="50">
        <f ca="1">IF(ROW($O41)-5&lt;RSI_Periods, "", AVERAGE(INDIRECT(ADDRESS(ROW($O41)-RSI_Periods +1, MATCH("Downmove", Price_Header,0))): INDIRECT(ADDRESS(ROW($O41),MATCH("Downmove", Price_Header,0)))))</f>
        <v>0.26500007142857129</v>
      </c>
      <c r="R41" s="50">
        <f ca="1">IF(tbl_ORCL[[#This Row],[Avg_Upmove]]="", "", tbl_ORCL[[#This Row],[Avg_Upmove]]/tbl_ORCL[[#This Row],[Avg_Downmove]])</f>
        <v>1.6388133049020752</v>
      </c>
      <c r="S41" s="127">
        <f ca="1">IF(ROW($N41)-4&lt;BB_Periods, "", _xlfn.STDEV.S(INDIRECT(ADDRESS(ROW($F41)-RSI_Periods +1, MATCH("Adj Close", Price_Header,0))): INDIRECT(ADDRESS(ROW($F41),MATCH("Adj Close", Price_Header,0)))))</f>
        <v>0.98189565715436034</v>
      </c>
    </row>
    <row r="42" spans="1:19" x14ac:dyDescent="0.35">
      <c r="A42" s="8">
        <v>44105</v>
      </c>
      <c r="B42" s="10">
        <v>60.17</v>
      </c>
      <c r="C42" s="10">
        <v>60.27</v>
      </c>
      <c r="D42" s="10">
        <v>59.45</v>
      </c>
      <c r="E42" s="10">
        <v>59.68</v>
      </c>
      <c r="F42" s="10">
        <v>59.68</v>
      </c>
      <c r="G42">
        <v>7357700</v>
      </c>
      <c r="H42" s="127">
        <f>IF(tbl_ORCL[[#This Row],[Date]]=$A$5, $F42, EMA_Beta*$H41 + (1-EMA_Beta)*$F42)</f>
        <v>59.044323834678131</v>
      </c>
      <c r="I42" s="50">
        <f ca="1">IF(tbl_ORCL[[#This Row],[RS]]= "", "", 100-(100/(1+tbl_ORCL[[#This Row],[RS]])))</f>
        <v>64.135024079119006</v>
      </c>
      <c r="J42" s="127">
        <f ca="1">IF(ROW($N42)-4&lt;BB_Periods, "", AVERAGE(INDIRECT(ADDRESS(ROW($F42)-RSI_Periods +1, MATCH("Adj Close", Price_Header,0))): INDIRECT(ADDRESS(ROW($F42),MATCH("Adj Close", Price_Header,0)))))</f>
        <v>59.906428428571424</v>
      </c>
      <c r="K42" s="127">
        <f ca="1">IF(tbl_ORCL[[#This Row],[BB_Mean]]="", "", tbl_ORCL[[#This Row],[BB_Mean]]+(BB_Width*tbl_ORCL[[#This Row],[BB_Stdev]]))</f>
        <v>61.102643003391307</v>
      </c>
      <c r="L42" s="127">
        <f ca="1">IF(tbl_ORCL[[#This Row],[BB_Mean]]="", "", tbl_ORCL[[#This Row],[BB_Mean]]-(BB_Width*tbl_ORCL[[#This Row],[BB_Stdev]]))</f>
        <v>58.71021385375154</v>
      </c>
      <c r="M42" s="50">
        <f>IF(ROW(tbl_ORCL[[#This Row],[Adj Close]])=5, 0, $F42-$F41)</f>
        <v>-2.0000000000003126E-2</v>
      </c>
      <c r="N42" s="50">
        <f>MAX(tbl_ORCL[[#This Row],[Move]],0)</f>
        <v>0</v>
      </c>
      <c r="O42" s="50">
        <f>MAX(-tbl_ORCL[[#This Row],[Move]],0)</f>
        <v>2.0000000000003126E-2</v>
      </c>
      <c r="P42" s="50">
        <f ca="1">IF(ROW($N42)-5&lt;RSI_Periods, "", AVERAGE(INDIRECT(ADDRESS(ROW($N42)-RSI_Periods +1, MATCH("Upmove", Price_Header,0))): INDIRECT(ADDRESS(ROW($N42),MATCH("Upmove", Price_Header,0)))))</f>
        <v>0.43428564285714294</v>
      </c>
      <c r="Q42" s="50">
        <f ca="1">IF(ROW($O42)-5&lt;RSI_Periods, "", AVERAGE(INDIRECT(ADDRESS(ROW($O42)-RSI_Periods +1, MATCH("Downmove", Price_Header,0))): INDIRECT(ADDRESS(ROW($O42),MATCH("Downmove", Price_Header,0)))))</f>
        <v>0.24285707142857152</v>
      </c>
      <c r="R42" s="50">
        <f ca="1">IF(tbl_ORCL[[#This Row],[Avg_Upmove]]="", "", tbl_ORCL[[#This Row],[Avg_Upmove]]/tbl_ORCL[[#This Row],[Avg_Downmove]])</f>
        <v>1.7882355259516249</v>
      </c>
      <c r="S42" s="127">
        <f ca="1">IF(ROW($N42)-4&lt;BB_Periods, "", _xlfn.STDEV.S(INDIRECT(ADDRESS(ROW($F42)-RSI_Periods +1, MATCH("Adj Close", Price_Header,0))): INDIRECT(ADDRESS(ROW($F42),MATCH("Adj Close", Price_Header,0)))))</f>
        <v>0.59810728740994201</v>
      </c>
    </row>
    <row r="43" spans="1:19" x14ac:dyDescent="0.35">
      <c r="A43" s="8">
        <v>44106</v>
      </c>
      <c r="B43" s="10">
        <v>58.71</v>
      </c>
      <c r="C43" s="10">
        <v>59.52</v>
      </c>
      <c r="D43" s="10">
        <v>58.51</v>
      </c>
      <c r="E43" s="10">
        <v>58.83</v>
      </c>
      <c r="F43" s="10">
        <v>58.83</v>
      </c>
      <c r="G43">
        <v>7329800</v>
      </c>
      <c r="H43" s="127">
        <f>IF(tbl_ORCL[[#This Row],[Date]]=$A$5, $F43, EMA_Beta*$H42 + (1-EMA_Beta)*$F43)</f>
        <v>59.022891451210313</v>
      </c>
      <c r="I43" s="50">
        <f ca="1">IF(tbl_ORCL[[#This Row],[RS]]= "", "", 100-(100/(1+tbl_ORCL[[#This Row],[RS]])))</f>
        <v>45.997464548597748</v>
      </c>
      <c r="J43" s="127">
        <f ca="1">IF(ROW($N43)-4&lt;BB_Periods, "", AVERAGE(INDIRECT(ADDRESS(ROW($F43)-RSI_Periods +1, MATCH("Adj Close", Price_Header,0))): INDIRECT(ADDRESS(ROW($F43),MATCH("Adj Close", Price_Header,0)))))</f>
        <v>59.861428500000002</v>
      </c>
      <c r="K43" s="127">
        <f ca="1">IF(tbl_ORCL[[#This Row],[BB_Mean]]="", "", tbl_ORCL[[#This Row],[BB_Mean]]+(BB_Width*tbl_ORCL[[#This Row],[BB_Stdev]]))</f>
        <v>61.171926851647427</v>
      </c>
      <c r="L43" s="127">
        <f ca="1">IF(tbl_ORCL[[#This Row],[BB_Mean]]="", "", tbl_ORCL[[#This Row],[BB_Mean]]-(BB_Width*tbl_ORCL[[#This Row],[BB_Stdev]]))</f>
        <v>58.550930148352577</v>
      </c>
      <c r="M43" s="50">
        <f>IF(ROW(tbl_ORCL[[#This Row],[Adj Close]])=5, 0, $F43-$F42)</f>
        <v>-0.85000000000000142</v>
      </c>
      <c r="N43" s="50">
        <f>MAX(tbl_ORCL[[#This Row],[Move]],0)</f>
        <v>0</v>
      </c>
      <c r="O43" s="50">
        <f>MAX(-tbl_ORCL[[#This Row],[Move]],0)</f>
        <v>0.85000000000000142</v>
      </c>
      <c r="P43" s="50">
        <f ca="1">IF(ROW($N43)-5&lt;RSI_Periods, "", AVERAGE(INDIRECT(ADDRESS(ROW($N43)-RSI_Periods +1, MATCH("Upmove", Price_Header,0))): INDIRECT(ADDRESS(ROW($N43),MATCH("Upmove", Price_Header,0)))))</f>
        <v>0.2585714285714284</v>
      </c>
      <c r="Q43" s="50">
        <f ca="1">IF(ROW($O43)-5&lt;RSI_Periods, "", AVERAGE(INDIRECT(ADDRESS(ROW($O43)-RSI_Periods +1, MATCH("Downmove", Price_Header,0))): INDIRECT(ADDRESS(ROW($O43),MATCH("Downmove", Price_Header,0)))))</f>
        <v>0.30357135714285732</v>
      </c>
      <c r="R43" s="50">
        <f ca="1">IF(tbl_ORCL[[#This Row],[Avg_Upmove]]="", "", tbl_ORCL[[#This Row],[Avg_Upmove]]/tbl_ORCL[[#This Row],[Avg_Downmove]])</f>
        <v>0.85176490629762391</v>
      </c>
      <c r="S43" s="127">
        <f ca="1">IF(ROW($N43)-4&lt;BB_Periods, "", _xlfn.STDEV.S(INDIRECT(ADDRESS(ROW($F43)-RSI_Periods +1, MATCH("Adj Close", Price_Header,0))): INDIRECT(ADDRESS(ROW($F43),MATCH("Adj Close", Price_Header,0)))))</f>
        <v>0.65524917582371223</v>
      </c>
    </row>
    <row r="44" spans="1:19" x14ac:dyDescent="0.35">
      <c r="A44" s="8">
        <v>44109</v>
      </c>
      <c r="B44" s="10">
        <v>59.44</v>
      </c>
      <c r="C44" s="10">
        <v>59.67</v>
      </c>
      <c r="D44" s="10">
        <v>59.09</v>
      </c>
      <c r="E44" s="10">
        <v>59.56</v>
      </c>
      <c r="F44" s="10">
        <v>59.56</v>
      </c>
      <c r="G44">
        <v>6896800</v>
      </c>
      <c r="H44" s="127">
        <f>IF(tbl_ORCL[[#This Row],[Date]]=$A$5, $F44, EMA_Beta*$H43 + (1-EMA_Beta)*$F44)</f>
        <v>59.076602306089278</v>
      </c>
      <c r="I44" s="50">
        <f ca="1">IF(tbl_ORCL[[#This Row],[RS]]= "", "", 100-(100/(1+tbl_ORCL[[#This Row],[RS]])))</f>
        <v>40.308994425420586</v>
      </c>
      <c r="J44" s="127">
        <f ca="1">IF(ROW($N44)-4&lt;BB_Periods, "", AVERAGE(INDIRECT(ADDRESS(ROW($F44)-RSI_Periods +1, MATCH("Adj Close", Price_Header,0))): INDIRECT(ADDRESS(ROW($F44),MATCH("Adj Close", Price_Header,0)))))</f>
        <v>59.76285714285715</v>
      </c>
      <c r="K44" s="127">
        <f ca="1">IF(tbl_ORCL[[#This Row],[BB_Mean]]="", "", tbl_ORCL[[#This Row],[BB_Mean]]+(BB_Width*tbl_ORCL[[#This Row],[BB_Stdev]]))</f>
        <v>60.922841985501584</v>
      </c>
      <c r="L44" s="127">
        <f ca="1">IF(tbl_ORCL[[#This Row],[BB_Mean]]="", "", tbl_ORCL[[#This Row],[BB_Mean]]-(BB_Width*tbl_ORCL[[#This Row],[BB_Stdev]]))</f>
        <v>58.602872300212717</v>
      </c>
      <c r="M44" s="50">
        <f>IF(ROW(tbl_ORCL[[#This Row],[Adj Close]])=5, 0, $F44-$F43)</f>
        <v>0.73000000000000398</v>
      </c>
      <c r="N44" s="50">
        <f>MAX(tbl_ORCL[[#This Row],[Move]],0)</f>
        <v>0.73000000000000398</v>
      </c>
      <c r="O44" s="50">
        <f>MAX(-tbl_ORCL[[#This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0.20500000000000032</v>
      </c>
      <c r="Q44" s="50">
        <f ca="1">IF(ROW($O44)-5&lt;RSI_Periods, "", AVERAGE(INDIRECT(ADDRESS(ROW($O44)-RSI_Periods +1, MATCH("Downmove", Price_Header,0))): INDIRECT(ADDRESS(ROW($O44),MATCH("Downmove", Price_Header,0)))))</f>
        <v>0.30357135714285732</v>
      </c>
      <c r="R44" s="50">
        <f ca="1">IF(tbl_ORCL[[#This Row],[Avg_Upmove]]="", "", tbl_ORCL[[#This Row],[Avg_Upmove]]/tbl_ORCL[[#This Row],[Avg_Downmove]])</f>
        <v>0.67529427653983043</v>
      </c>
      <c r="S44" s="127">
        <f ca="1">IF(ROW($N44)-4&lt;BB_Periods, "", _xlfn.STDEV.S(INDIRECT(ADDRESS(ROW($F44)-RSI_Periods +1, MATCH("Adj Close", Price_Header,0))): INDIRECT(ADDRESS(ROW($F44),MATCH("Adj Close", Price_Header,0)))))</f>
        <v>0.57999242132221762</v>
      </c>
    </row>
    <row r="45" spans="1:19" x14ac:dyDescent="0.35">
      <c r="A45" s="8">
        <v>44110</v>
      </c>
      <c r="B45" s="10">
        <v>59.51</v>
      </c>
      <c r="C45" s="10">
        <v>60.53</v>
      </c>
      <c r="D45" s="10">
        <v>59.41</v>
      </c>
      <c r="E45" s="10">
        <v>59.51</v>
      </c>
      <c r="F45" s="10">
        <v>59.27</v>
      </c>
      <c r="G45">
        <v>9743600</v>
      </c>
      <c r="H45" s="127">
        <f>IF(tbl_ORCL[[#This Row],[Date]]=$A$5, $F45, EMA_Beta*$H44 + (1-EMA_Beta)*$F45)</f>
        <v>59.095942075480352</v>
      </c>
      <c r="I45" s="50">
        <f ca="1">IF(tbl_ORCL[[#This Row],[RS]]= "", "", 100-(100/(1+tbl_ORCL[[#This Row],[RS]])))</f>
        <v>41.594202898550755</v>
      </c>
      <c r="J45" s="127">
        <f ca="1">IF(ROW($N45)-4&lt;BB_Periods, "", AVERAGE(INDIRECT(ADDRESS(ROW($F45)-RSI_Periods +1, MATCH("Adj Close", Price_Header,0))): INDIRECT(ADDRESS(ROW($F45),MATCH("Adj Close", Price_Header,0)))))</f>
        <v>59.68</v>
      </c>
      <c r="K45" s="127">
        <f ca="1">IF(tbl_ORCL[[#This Row],[BB_Mean]]="", "", tbl_ORCL[[#This Row],[BB_Mean]]+(BB_Width*tbl_ORCL[[#This Row],[BB_Stdev]]))</f>
        <v>60.799725241023268</v>
      </c>
      <c r="L45" s="127">
        <f ca="1">IF(tbl_ORCL[[#This Row],[BB_Mean]]="", "", tbl_ORCL[[#This Row],[BB_Mean]]-(BB_Width*tbl_ORCL[[#This Row],[BB_Stdev]]))</f>
        <v>58.560274758976732</v>
      </c>
      <c r="M45" s="50">
        <f>IF(ROW(tbl_ORCL[[#This Row],[Adj Close]])=5, 0, $F45-$F44)</f>
        <v>-0.28999999999999915</v>
      </c>
      <c r="N45" s="50">
        <f>MAX(tbl_ORCL[[#This Row],[Move]],0)</f>
        <v>0</v>
      </c>
      <c r="O45" s="50">
        <f>MAX(-tbl_ORCL[[#This Row],[Move]],0)</f>
        <v>0.28999999999999915</v>
      </c>
      <c r="P45" s="50">
        <f ca="1">IF(ROW($N45)-5&lt;RSI_Periods, "", AVERAGE(INDIRECT(ADDRESS(ROW($N45)-RSI_Periods +1, MATCH("Upmove", Price_Header,0))): INDIRECT(ADDRESS(ROW($N45),MATCH("Upmove", Price_Header,0)))))</f>
        <v>0.20500000000000032</v>
      </c>
      <c r="Q45" s="50">
        <f ca="1">IF(ROW($O45)-5&lt;RSI_Periods, "", AVERAGE(INDIRECT(ADDRESS(ROW($O45)-RSI_Periods +1, MATCH("Downmove", Price_Header,0))): INDIRECT(ADDRESS(ROW($O45),MATCH("Downmove", Price_Header,0)))))</f>
        <v>0.28785714285714292</v>
      </c>
      <c r="R45" s="50">
        <f ca="1">IF(tbl_ORCL[[#This Row],[Avg_Upmove]]="", "", tbl_ORCL[[#This Row],[Avg_Upmove]]/tbl_ORCL[[#This Row],[Avg_Downmove]])</f>
        <v>0.71215880893300343</v>
      </c>
      <c r="S45" s="127">
        <f ca="1">IF(ROW($N45)-4&lt;BB_Periods, "", _xlfn.STDEV.S(INDIRECT(ADDRESS(ROW($F45)-RSI_Periods +1, MATCH("Adj Close", Price_Header,0))): INDIRECT(ADDRESS(ROW($F45),MATCH("Adj Close", Price_Header,0)))))</f>
        <v>0.5598626205116336</v>
      </c>
    </row>
    <row r="46" spans="1:19" x14ac:dyDescent="0.35">
      <c r="A46" s="8">
        <v>44111</v>
      </c>
      <c r="B46" s="10">
        <v>59.77</v>
      </c>
      <c r="C46" s="10">
        <v>60.9</v>
      </c>
      <c r="D46" s="10">
        <v>59.64</v>
      </c>
      <c r="E46" s="10">
        <v>60.59</v>
      </c>
      <c r="F46" s="10">
        <v>60.59</v>
      </c>
      <c r="G46">
        <v>8690900</v>
      </c>
      <c r="H46" s="127">
        <f>IF(tbl_ORCL[[#This Row],[Date]]=$A$5, $F46, EMA_Beta*$H45 + (1-EMA_Beta)*$F46)</f>
        <v>59.245347867932317</v>
      </c>
      <c r="I46" s="50">
        <f ca="1">IF(tbl_ORCL[[#This Row],[RS]]= "", "", 100-(100/(1+tbl_ORCL[[#This Row],[RS]])))</f>
        <v>52.572145545796758</v>
      </c>
      <c r="J46" s="127">
        <f ca="1">IF(ROW($N46)-4&lt;BB_Periods, "", AVERAGE(INDIRECT(ADDRESS(ROW($F46)-RSI_Periods +1, MATCH("Adj Close", Price_Header,0))): INDIRECT(ADDRESS(ROW($F46),MATCH("Adj Close", Price_Header,0)))))</f>
        <v>59.709285714285713</v>
      </c>
      <c r="K46" s="127">
        <f ca="1">IF(tbl_ORCL[[#This Row],[BB_Mean]]="", "", tbl_ORCL[[#This Row],[BB_Mean]]+(BB_Width*tbl_ORCL[[#This Row],[BB_Stdev]]))</f>
        <v>60.90426146005089</v>
      </c>
      <c r="L46" s="127">
        <f ca="1">IF(tbl_ORCL[[#This Row],[BB_Mean]]="", "", tbl_ORCL[[#This Row],[BB_Mean]]-(BB_Width*tbl_ORCL[[#This Row],[BB_Stdev]]))</f>
        <v>58.514309968520536</v>
      </c>
      <c r="M46" s="50">
        <f>IF(ROW(tbl_ORCL[[#This Row],[Adj Close]])=5, 0, $F46-$F45)</f>
        <v>1.3200000000000003</v>
      </c>
      <c r="N46" s="50">
        <f>MAX(tbl_ORCL[[#This Row],[Move]],0)</f>
        <v>1.3200000000000003</v>
      </c>
      <c r="O46" s="50">
        <f>MAX(-tbl_ORCL[[#This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0.29928571428571465</v>
      </c>
      <c r="Q46" s="50">
        <f ca="1">IF(ROW($O46)-5&lt;RSI_Periods, "", AVERAGE(INDIRECT(ADDRESS(ROW($O46)-RSI_Periods +1, MATCH("Downmove", Price_Header,0))): INDIRECT(ADDRESS(ROW($O46),MATCH("Downmove", Price_Header,0)))))</f>
        <v>0.27000000000000007</v>
      </c>
      <c r="R46" s="50">
        <f ca="1">IF(tbl_ORCL[[#This Row],[Avg_Upmove]]="", "", tbl_ORCL[[#This Row],[Avg_Upmove]]/tbl_ORCL[[#This Row],[Avg_Downmove]])</f>
        <v>1.1084656084656095</v>
      </c>
      <c r="S46" s="127">
        <f ca="1">IF(ROW($N46)-4&lt;BB_Periods, "", _xlfn.STDEV.S(INDIRECT(ADDRESS(ROW($F46)-RSI_Periods +1, MATCH("Adj Close", Price_Header,0))): INDIRECT(ADDRESS(ROW($F46),MATCH("Adj Close", Price_Header,0)))))</f>
        <v>0.59748787288258698</v>
      </c>
    </row>
    <row r="47" spans="1:19" x14ac:dyDescent="0.35">
      <c r="A47" s="8">
        <v>44112</v>
      </c>
      <c r="B47" s="10">
        <v>60.79</v>
      </c>
      <c r="C47" s="10">
        <v>61.3</v>
      </c>
      <c r="D47" s="10">
        <v>60.63</v>
      </c>
      <c r="E47" s="10">
        <v>60.89</v>
      </c>
      <c r="F47" s="10">
        <v>60.89</v>
      </c>
      <c r="G47">
        <v>7202800</v>
      </c>
      <c r="H47" s="127">
        <f>IF(tbl_ORCL[[#This Row],[Date]]=$A$5, $F47, EMA_Beta*$H46 + (1-EMA_Beta)*$F47)</f>
        <v>59.409813081139085</v>
      </c>
      <c r="I47" s="50">
        <f ca="1">IF(tbl_ORCL[[#This Row],[RS]]= "", "", 100-(100/(1+tbl_ORCL[[#This Row],[RS]])))</f>
        <v>57.270408163265309</v>
      </c>
      <c r="J47" s="127">
        <f ca="1">IF(ROW($N47)-4&lt;BB_Periods, "", AVERAGE(INDIRECT(ADDRESS(ROW($F47)-RSI_Periods +1, MATCH("Adj Close", Price_Header,0))): INDIRECT(ADDRESS(ROW($F47),MATCH("Adj Close", Price_Header,0)))))</f>
        <v>59.79071428571428</v>
      </c>
      <c r="K47" s="127">
        <f ca="1">IF(tbl_ORCL[[#This Row],[BB_Mean]]="", "", tbl_ORCL[[#This Row],[BB_Mean]]+(BB_Width*tbl_ORCL[[#This Row],[BB_Stdev]]))</f>
        <v>61.142692079926874</v>
      </c>
      <c r="L47" s="127">
        <f ca="1">IF(tbl_ORCL[[#This Row],[BB_Mean]]="", "", tbl_ORCL[[#This Row],[BB_Mean]]-(BB_Width*tbl_ORCL[[#This Row],[BB_Stdev]]))</f>
        <v>58.438736491501686</v>
      </c>
      <c r="M47" s="50">
        <f>IF(ROW(tbl_ORCL[[#This Row],[Adj Close]])=5, 0, $F47-$F46)</f>
        <v>0.29999999999999716</v>
      </c>
      <c r="N47" s="50">
        <f>MAX(tbl_ORCL[[#This Row],[Move]],0)</f>
        <v>0.29999999999999716</v>
      </c>
      <c r="O47" s="50">
        <f>MAX(-tbl_ORCL[[#This Row],[Move]],0)</f>
        <v>0</v>
      </c>
      <c r="P47" s="50">
        <f ca="1">IF(ROW($N47)-5&lt;RSI_Periods, "", AVERAGE(INDIRECT(ADDRESS(ROW($N47)-RSI_Periods +1, MATCH("Upmove", Price_Header,0))): INDIRECT(ADDRESS(ROW($N47),MATCH("Upmove", Price_Header,0)))))</f>
        <v>0.32071428571428584</v>
      </c>
      <c r="Q47" s="50">
        <f ca="1">IF(ROW($O47)-5&lt;RSI_Periods, "", AVERAGE(INDIRECT(ADDRESS(ROW($O47)-RSI_Periods +1, MATCH("Downmove", Price_Header,0))): INDIRECT(ADDRESS(ROW($O47),MATCH("Downmove", Price_Header,0)))))</f>
        <v>0.23928571428571438</v>
      </c>
      <c r="R47" s="50">
        <f ca="1">IF(tbl_ORCL[[#This Row],[Avg_Upmove]]="", "", tbl_ORCL[[#This Row],[Avg_Upmove]]/tbl_ORCL[[#This Row],[Avg_Downmove]])</f>
        <v>1.3402985074626865</v>
      </c>
      <c r="S47" s="127">
        <f ca="1">IF(ROW($N47)-4&lt;BB_Periods, "", _xlfn.STDEV.S(INDIRECT(ADDRESS(ROW($F47)-RSI_Periods +1, MATCH("Adj Close", Price_Header,0))): INDIRECT(ADDRESS(ROW($F47),MATCH("Adj Close", Price_Header,0)))))</f>
        <v>0.67598889710629817</v>
      </c>
    </row>
    <row r="48" spans="1:19" x14ac:dyDescent="0.35">
      <c r="A48" s="8">
        <v>44113</v>
      </c>
      <c r="B48" s="10">
        <v>61.15</v>
      </c>
      <c r="C48" s="10">
        <v>61.38</v>
      </c>
      <c r="D48" s="10">
        <v>60.86</v>
      </c>
      <c r="E48" s="10">
        <v>61.15</v>
      </c>
      <c r="F48" s="10">
        <v>61.15</v>
      </c>
      <c r="G48">
        <v>7354000</v>
      </c>
      <c r="H48" s="127">
        <f>IF(tbl_ORCL[[#This Row],[Date]]=$A$5, $F48, EMA_Beta*$H47 + (1-EMA_Beta)*$F48)</f>
        <v>59.583831773025182</v>
      </c>
      <c r="I48" s="50">
        <f ca="1">IF(tbl_ORCL[[#This Row],[RS]]= "", "", 100-(100/(1+tbl_ORCL[[#This Row],[RS]])))</f>
        <v>52.347083926031289</v>
      </c>
      <c r="J48" s="127">
        <f ca="1">IF(ROW($N48)-4&lt;BB_Periods, "", AVERAGE(INDIRECT(ADDRESS(ROW($F48)-RSI_Periods +1, MATCH("Adj Close", Price_Header,0))): INDIRECT(ADDRESS(ROW($F48),MATCH("Adj Close", Price_Header,0)))))</f>
        <v>59.81428571428571</v>
      </c>
      <c r="K48" s="127">
        <f ca="1">IF(tbl_ORCL[[#This Row],[BB_Mean]]="", "", tbl_ORCL[[#This Row],[BB_Mean]]+(BB_Width*tbl_ORCL[[#This Row],[BB_Stdev]]))</f>
        <v>61.252333841986037</v>
      </c>
      <c r="L48" s="127">
        <f ca="1">IF(tbl_ORCL[[#This Row],[BB_Mean]]="", "", tbl_ORCL[[#This Row],[BB_Mean]]-(BB_Width*tbl_ORCL[[#This Row],[BB_Stdev]]))</f>
        <v>58.376237586585383</v>
      </c>
      <c r="M48" s="50">
        <f>IF(ROW(tbl_ORCL[[#This Row],[Adj Close]])=5, 0, $F48-$F47)</f>
        <v>0.25999999999999801</v>
      </c>
      <c r="N48" s="50">
        <f>MAX(tbl_ORCL[[#This Row],[Move]],0)</f>
        <v>0.25999999999999801</v>
      </c>
      <c r="O48" s="50">
        <f>MAX(-tbl_ORCL[[#This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0.26285714285714284</v>
      </c>
      <c r="Q48" s="50">
        <f ca="1">IF(ROW($O48)-5&lt;RSI_Periods, "", AVERAGE(INDIRECT(ADDRESS(ROW($O48)-RSI_Periods +1, MATCH("Downmove", Price_Header,0))): INDIRECT(ADDRESS(ROW($O48),MATCH("Downmove", Price_Header,0)))))</f>
        <v>0.23928571428571438</v>
      </c>
      <c r="R48" s="50">
        <f ca="1">IF(tbl_ORCL[[#This Row],[Avg_Upmove]]="", "", tbl_ORCL[[#This Row],[Avg_Upmove]]/tbl_ORCL[[#This Row],[Avg_Downmove]])</f>
        <v>1.0985074626865667</v>
      </c>
      <c r="S48" s="127">
        <f ca="1">IF(ROW($N48)-4&lt;BB_Periods, "", _xlfn.STDEV.S(INDIRECT(ADDRESS(ROW($F48)-RSI_Periods +1, MATCH("Adj Close", Price_Header,0))): INDIRECT(ADDRESS(ROW($F48),MATCH("Adj Close", Price_Header,0)))))</f>
        <v>0.71902406385016382</v>
      </c>
    </row>
    <row r="49" spans="1:19" x14ac:dyDescent="0.35">
      <c r="A49" s="8">
        <v>44116</v>
      </c>
      <c r="B49" s="10">
        <v>61.24</v>
      </c>
      <c r="C49" s="10">
        <v>61.83</v>
      </c>
      <c r="D49" s="10">
        <v>61.07</v>
      </c>
      <c r="E49" s="10">
        <v>61.46</v>
      </c>
      <c r="F49" s="10">
        <v>61.46</v>
      </c>
      <c r="G49">
        <v>8275000</v>
      </c>
      <c r="H49" s="127">
        <f>IF(tbl_ORCL[[#This Row],[Date]]=$A$5, $F49, EMA_Beta*$H48 + (1-EMA_Beta)*$F49)</f>
        <v>59.771448595722667</v>
      </c>
      <c r="I49" s="50">
        <f ca="1">IF(tbl_ORCL[[#This Row],[RS]]= "", "", 100-(100/(1+tbl_ORCL[[#This Row],[RS]])))</f>
        <v>55.882352941176492</v>
      </c>
      <c r="J49" s="127">
        <f ca="1">IF(ROW($N49)-4&lt;BB_Periods, "", AVERAGE(INDIRECT(ADDRESS(ROW($F49)-RSI_Periods +1, MATCH("Adj Close", Price_Header,0))): INDIRECT(ADDRESS(ROW($F49),MATCH("Adj Close", Price_Header,0)))))</f>
        <v>59.874285714285712</v>
      </c>
      <c r="K49" s="127">
        <f ca="1">IF(tbl_ORCL[[#This Row],[BB_Mean]]="", "", tbl_ORCL[[#This Row],[BB_Mean]]+(BB_Width*tbl_ORCL[[#This Row],[BB_Stdev]]))</f>
        <v>61.513210582995299</v>
      </c>
      <c r="L49" s="127">
        <f ca="1">IF(tbl_ORCL[[#This Row],[BB_Mean]]="", "", tbl_ORCL[[#This Row],[BB_Mean]]-(BB_Width*tbl_ORCL[[#This Row],[BB_Stdev]]))</f>
        <v>58.235360845576125</v>
      </c>
      <c r="M49" s="50">
        <f>IF(ROW(tbl_ORCL[[#This Row],[Adj Close]])=5, 0, $F49-$F48)</f>
        <v>0.31000000000000227</v>
      </c>
      <c r="N49" s="50">
        <f>MAX(tbl_ORCL[[#This Row],[Move]],0)</f>
        <v>0.31000000000000227</v>
      </c>
      <c r="O49" s="50">
        <f>MAX(-tbl_ORCL[[#This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0.28500000000000014</v>
      </c>
      <c r="Q49" s="50">
        <f ca="1">IF(ROW($O49)-5&lt;RSI_Periods, "", AVERAGE(INDIRECT(ADDRESS(ROW($O49)-RSI_Periods +1, MATCH("Downmove", Price_Header,0))): INDIRECT(ADDRESS(ROW($O49),MATCH("Downmove", Price_Header,0)))))</f>
        <v>0.22499999999999989</v>
      </c>
      <c r="R49" s="50">
        <f ca="1">IF(tbl_ORCL[[#This Row],[Avg_Upmove]]="", "", tbl_ORCL[[#This Row],[Avg_Upmove]]/tbl_ORCL[[#This Row],[Avg_Downmove]])</f>
        <v>1.2666666666666679</v>
      </c>
      <c r="S49" s="127">
        <f ca="1">IF(ROW($N49)-4&lt;BB_Periods, "", _xlfn.STDEV.S(INDIRECT(ADDRESS(ROW($F49)-RSI_Periods +1, MATCH("Adj Close", Price_Header,0))): INDIRECT(ADDRESS(ROW($F49),MATCH("Adj Close", Price_Header,0)))))</f>
        <v>0.81946243435479194</v>
      </c>
    </row>
    <row r="50" spans="1:19" x14ac:dyDescent="0.35">
      <c r="A50" s="8">
        <v>44117</v>
      </c>
      <c r="B50" s="10">
        <v>61.57</v>
      </c>
      <c r="C50" s="10">
        <v>61.78</v>
      </c>
      <c r="D50" s="10">
        <v>60.88</v>
      </c>
      <c r="E50" s="10">
        <v>60.97</v>
      </c>
      <c r="F50" s="10">
        <v>60.97</v>
      </c>
      <c r="G50">
        <v>8896300</v>
      </c>
      <c r="H50" s="127">
        <f>IF(tbl_ORCL[[#This Row],[Date]]=$A$5, $F50, EMA_Beta*$H49 + (1-EMA_Beta)*$F50)</f>
        <v>59.891303736150405</v>
      </c>
      <c r="I50" s="50">
        <f ca="1">IF(tbl_ORCL[[#This Row],[RS]]= "", "", 100-(100/(1+tbl_ORCL[[#This Row],[RS]])))</f>
        <v>66.834170854271321</v>
      </c>
      <c r="J50" s="127">
        <f ca="1">IF(ROW($N50)-4&lt;BB_Periods, "", AVERAGE(INDIRECT(ADDRESS(ROW($F50)-RSI_Periods +1, MATCH("Adj Close", Price_Header,0))): INDIRECT(ADDRESS(ROW($F50),MATCH("Adj Close", Price_Header,0)))))</f>
        <v>60.017857142857153</v>
      </c>
      <c r="K50" s="127">
        <f ca="1">IF(tbl_ORCL[[#This Row],[BB_Mean]]="", "", tbl_ORCL[[#This Row],[BB_Mean]]+(BB_Width*tbl_ORCL[[#This Row],[BB_Stdev]]))</f>
        <v>61.663909363197661</v>
      </c>
      <c r="L50" s="127">
        <f ca="1">IF(tbl_ORCL[[#This Row],[BB_Mean]]="", "", tbl_ORCL[[#This Row],[BB_Mean]]-(BB_Width*tbl_ORCL[[#This Row],[BB_Stdev]]))</f>
        <v>58.371804922516645</v>
      </c>
      <c r="M50" s="50">
        <f>IF(ROW(tbl_ORCL[[#This Row],[Adj Close]])=5, 0, $F50-$F49)</f>
        <v>-0.49000000000000199</v>
      </c>
      <c r="N50" s="50">
        <f>MAX(tbl_ORCL[[#This Row],[Move]],0)</f>
        <v>0</v>
      </c>
      <c r="O50" s="50">
        <f>MAX(-tbl_ORCL[[#This Row],[Move]],0)</f>
        <v>0.49000000000000199</v>
      </c>
      <c r="P50" s="50">
        <f ca="1">IF(ROW($N50)-5&lt;RSI_Periods, "", AVERAGE(INDIRECT(ADDRESS(ROW($N50)-RSI_Periods +1, MATCH("Upmove", Price_Header,0))): INDIRECT(ADDRESS(ROW($N50),MATCH("Upmove", Price_Header,0)))))</f>
        <v>0.28500000000000014</v>
      </c>
      <c r="Q50" s="50">
        <f ca="1">IF(ROW($O50)-5&lt;RSI_Periods, "", AVERAGE(INDIRECT(ADDRESS(ROW($O50)-RSI_Periods +1, MATCH("Downmove", Price_Header,0))): INDIRECT(ADDRESS(ROW($O50),MATCH("Downmove", Price_Header,0)))))</f>
        <v>0.14142857142857171</v>
      </c>
      <c r="R50" s="50">
        <f ca="1">IF(tbl_ORCL[[#This Row],[Avg_Upmove]]="", "", tbl_ORCL[[#This Row],[Avg_Upmove]]/tbl_ORCL[[#This Row],[Avg_Downmove]])</f>
        <v>2.015151515151512</v>
      </c>
      <c r="S50" s="127">
        <f ca="1">IF(ROW($N50)-4&lt;BB_Periods, "", _xlfn.STDEV.S(INDIRECT(ADDRESS(ROW($F50)-RSI_Periods +1, MATCH("Adj Close", Price_Header,0))): INDIRECT(ADDRESS(ROW($F50),MATCH("Adj Close", Price_Header,0)))))</f>
        <v>0.82302611017025362</v>
      </c>
    </row>
    <row r="51" spans="1:19" x14ac:dyDescent="0.35">
      <c r="A51" s="8">
        <v>44118</v>
      </c>
      <c r="B51" s="10">
        <v>61.35</v>
      </c>
      <c r="C51" s="10">
        <v>61.53</v>
      </c>
      <c r="D51" s="10">
        <v>60.85</v>
      </c>
      <c r="E51" s="10">
        <v>60.96</v>
      </c>
      <c r="F51" s="10">
        <v>60.96</v>
      </c>
      <c r="G51">
        <v>6652200</v>
      </c>
      <c r="H51" s="127">
        <f>IF(tbl_ORCL[[#This Row],[Date]]=$A$5, $F51, EMA_Beta*$H50 + (1-EMA_Beta)*$F51)</f>
        <v>59.998173362535361</v>
      </c>
      <c r="I51" s="50">
        <f ca="1">IF(tbl_ORCL[[#This Row],[RS]]= "", "", 100-(100/(1+tbl_ORCL[[#This Row],[RS]])))</f>
        <v>64.716312056737593</v>
      </c>
      <c r="J51" s="127">
        <f ca="1">IF(ROW($N51)-4&lt;BB_Periods, "", AVERAGE(INDIRECT(ADDRESS(ROW($F51)-RSI_Periods +1, MATCH("Adj Close", Price_Header,0))): INDIRECT(ADDRESS(ROW($F51),MATCH("Adj Close", Price_Header,0)))))</f>
        <v>60.136428571428574</v>
      </c>
      <c r="K51" s="127">
        <f ca="1">IF(tbl_ORCL[[#This Row],[BB_Mean]]="", "", tbl_ORCL[[#This Row],[BB_Mean]]+(BB_Width*tbl_ORCL[[#This Row],[BB_Stdev]]))</f>
        <v>61.79880142866714</v>
      </c>
      <c r="L51" s="127">
        <f ca="1">IF(tbl_ORCL[[#This Row],[BB_Mean]]="", "", tbl_ORCL[[#This Row],[BB_Mean]]-(BB_Width*tbl_ORCL[[#This Row],[BB_Stdev]]))</f>
        <v>58.474055714190008</v>
      </c>
      <c r="M51" s="50">
        <f>IF(ROW(tbl_ORCL[[#This Row],[Adj Close]])=5, 0, $F51-$F50)</f>
        <v>-9.9999999999980105E-3</v>
      </c>
      <c r="N51" s="50">
        <f>MAX(tbl_ORCL[[#This Row],[Move]],0)</f>
        <v>0</v>
      </c>
      <c r="O51" s="50">
        <f>MAX(-tbl_ORCL[[#This Row],[Move]],0)</f>
        <v>9.9999999999980105E-3</v>
      </c>
      <c r="P51" s="50">
        <f ca="1">IF(ROW($N51)-5&lt;RSI_Periods, "", AVERAGE(INDIRECT(ADDRESS(ROW($N51)-RSI_Periods +1, MATCH("Upmove", Price_Header,0))): INDIRECT(ADDRESS(ROW($N51),MATCH("Upmove", Price_Header,0)))))</f>
        <v>0.26071428571428612</v>
      </c>
      <c r="Q51" s="50">
        <f ca="1">IF(ROW($O51)-5&lt;RSI_Periods, "", AVERAGE(INDIRECT(ADDRESS(ROW($O51)-RSI_Periods +1, MATCH("Downmove", Price_Header,0))): INDIRECT(ADDRESS(ROW($O51),MATCH("Downmove", Price_Header,0)))))</f>
        <v>0.14214285714285729</v>
      </c>
      <c r="R51" s="50">
        <f ca="1">IF(tbl_ORCL[[#This Row],[Avg_Upmove]]="", "", tbl_ORCL[[#This Row],[Avg_Upmove]]/tbl_ORCL[[#This Row],[Avg_Downmove]])</f>
        <v>1.8341708542713577</v>
      </c>
      <c r="S51" s="127">
        <f ca="1">IF(ROW($N51)-4&lt;BB_Periods, "", _xlfn.STDEV.S(INDIRECT(ADDRESS(ROW($F51)-RSI_Periods +1, MATCH("Adj Close", Price_Header,0))): INDIRECT(ADDRESS(ROW($F51),MATCH("Adj Close", Price_Header,0)))))</f>
        <v>0.83118642861928349</v>
      </c>
    </row>
    <row r="52" spans="1:19" x14ac:dyDescent="0.35">
      <c r="A52" s="8">
        <v>44119</v>
      </c>
      <c r="B52" s="10">
        <v>60.27</v>
      </c>
      <c r="C52" s="10">
        <v>60.74</v>
      </c>
      <c r="D52" s="10">
        <v>60.08</v>
      </c>
      <c r="E52" s="10">
        <v>60.52</v>
      </c>
      <c r="F52" s="10">
        <v>60.52</v>
      </c>
      <c r="G52">
        <v>6251600</v>
      </c>
      <c r="H52" s="127">
        <f>IF(tbl_ORCL[[#This Row],[Date]]=$A$5, $F52, EMA_Beta*$H51 + (1-EMA_Beta)*$F52)</f>
        <v>60.050356026281825</v>
      </c>
      <c r="I52" s="50">
        <f ca="1">IF(tbl_ORCL[[#This Row],[RS]]= "", "", 100-(100/(1+tbl_ORCL[[#This Row],[RS]])))</f>
        <v>56.45161290322585</v>
      </c>
      <c r="J52" s="127">
        <f ca="1">IF(ROW($N52)-4&lt;BB_Periods, "", AVERAGE(INDIRECT(ADDRESS(ROW($F52)-RSI_Periods +1, MATCH("Adj Close", Price_Header,0))): INDIRECT(ADDRESS(ROW($F52),MATCH("Adj Close", Price_Header,0)))))</f>
        <v>60.187857142857141</v>
      </c>
      <c r="K52" s="127">
        <f ca="1">IF(tbl_ORCL[[#This Row],[BB_Mean]]="", "", tbl_ORCL[[#This Row],[BB_Mean]]+(BB_Width*tbl_ORCL[[#This Row],[BB_Stdev]]))</f>
        <v>61.849944404686092</v>
      </c>
      <c r="L52" s="127">
        <f ca="1">IF(tbl_ORCL[[#This Row],[BB_Mean]]="", "", tbl_ORCL[[#This Row],[BB_Mean]]-(BB_Width*tbl_ORCL[[#This Row],[BB_Stdev]]))</f>
        <v>58.525769881028189</v>
      </c>
      <c r="M52" s="50">
        <f>IF(ROW(tbl_ORCL[[#This Row],[Adj Close]])=5, 0, $F52-$F51)</f>
        <v>-0.43999999999999773</v>
      </c>
      <c r="N52" s="50">
        <f>MAX(tbl_ORCL[[#This Row],[Move]],0)</f>
        <v>0</v>
      </c>
      <c r="O52" s="50">
        <f>MAX(-tbl_ORCL[[#This Row],[Move]],0)</f>
        <v>0.43999999999999773</v>
      </c>
      <c r="P52" s="50">
        <f ca="1">IF(ROW($N52)-5&lt;RSI_Periods, "", AVERAGE(INDIRECT(ADDRESS(ROW($N52)-RSI_Periods +1, MATCH("Upmove", Price_Header,0))): INDIRECT(ADDRESS(ROW($N52),MATCH("Upmove", Price_Header,0)))))</f>
        <v>0.22500000000000039</v>
      </c>
      <c r="Q52" s="50">
        <f ca="1">IF(ROW($O52)-5&lt;RSI_Periods, "", AVERAGE(INDIRECT(ADDRESS(ROW($O52)-RSI_Periods +1, MATCH("Downmove", Price_Header,0))): INDIRECT(ADDRESS(ROW($O52),MATCH("Downmove", Price_Header,0)))))</f>
        <v>0.17357142857142854</v>
      </c>
      <c r="R52" s="50">
        <f ca="1">IF(tbl_ORCL[[#This Row],[Avg_Upmove]]="", "", tbl_ORCL[[#This Row],[Avg_Upmove]]/tbl_ORCL[[#This Row],[Avg_Downmove]])</f>
        <v>1.2962962962962987</v>
      </c>
      <c r="S52" s="127">
        <f ca="1">IF(ROW($N52)-4&lt;BB_Periods, "", _xlfn.STDEV.S(INDIRECT(ADDRESS(ROW($F52)-RSI_Periods +1, MATCH("Adj Close", Price_Header,0))): INDIRECT(ADDRESS(ROW($F52),MATCH("Adj Close", Price_Header,0)))))</f>
        <v>0.83104363091447642</v>
      </c>
    </row>
    <row r="53" spans="1:19" x14ac:dyDescent="0.35">
      <c r="A53" s="8">
        <v>44120</v>
      </c>
      <c r="B53" s="10">
        <v>60.71</v>
      </c>
      <c r="C53" s="10">
        <v>61.11</v>
      </c>
      <c r="D53" s="10">
        <v>60.26</v>
      </c>
      <c r="E53" s="10">
        <v>60.29</v>
      </c>
      <c r="F53" s="10">
        <v>60.29</v>
      </c>
      <c r="G53">
        <v>6070800</v>
      </c>
      <c r="H53" s="127">
        <f>IF(tbl_ORCL[[#This Row],[Date]]=$A$5, $F53, EMA_Beta*$H52 + (1-EMA_Beta)*$F53)</f>
        <v>60.074320423653639</v>
      </c>
      <c r="I53" s="50">
        <f ca="1">IF(tbl_ORCL[[#This Row],[RS]]= "", "", 100-(100/(1+tbl_ORCL[[#This Row],[RS]])))</f>
        <v>56.350626118067972</v>
      </c>
      <c r="J53" s="127">
        <f ca="1">IF(ROW($N53)-4&lt;BB_Periods, "", AVERAGE(INDIRECT(ADDRESS(ROW($F53)-RSI_Periods +1, MATCH("Adj Close", Price_Header,0))): INDIRECT(ADDRESS(ROW($F53),MATCH("Adj Close", Price_Header,0)))))</f>
        <v>60.238571428571433</v>
      </c>
      <c r="K53" s="127">
        <f ca="1">IF(tbl_ORCL[[#This Row],[BB_Mean]]="", "", tbl_ORCL[[#This Row],[BB_Mean]]+(BB_Width*tbl_ORCL[[#This Row],[BB_Stdev]]))</f>
        <v>61.863679370886594</v>
      </c>
      <c r="L53" s="127">
        <f ca="1">IF(tbl_ORCL[[#This Row],[BB_Mean]]="", "", tbl_ORCL[[#This Row],[BB_Mean]]-(BB_Width*tbl_ORCL[[#This Row],[BB_Stdev]]))</f>
        <v>58.613463486256272</v>
      </c>
      <c r="M53" s="50">
        <f>IF(ROW(tbl_ORCL[[#This Row],[Adj Close]])=5, 0, $F53-$F52)</f>
        <v>-0.23000000000000398</v>
      </c>
      <c r="N53" s="50">
        <f>MAX(tbl_ORCL[[#This Row],[Move]],0)</f>
        <v>0</v>
      </c>
      <c r="O53" s="50">
        <f>MAX(-tbl_ORCL[[#This Row],[Move]],0)</f>
        <v>0.23000000000000398</v>
      </c>
      <c r="P53" s="50">
        <f ca="1">IF(ROW($N53)-5&lt;RSI_Periods, "", AVERAGE(INDIRECT(ADDRESS(ROW($N53)-RSI_Periods +1, MATCH("Upmove", Price_Header,0))): INDIRECT(ADDRESS(ROW($N53),MATCH("Upmove", Price_Header,0)))))</f>
        <v>0.22500000000000039</v>
      </c>
      <c r="Q53" s="50">
        <f ca="1">IF(ROW($O53)-5&lt;RSI_Periods, "", AVERAGE(INDIRECT(ADDRESS(ROW($O53)-RSI_Periods +1, MATCH("Downmove", Price_Header,0))): INDIRECT(ADDRESS(ROW($O53),MATCH("Downmove", Price_Header,0)))))</f>
        <v>0.17428571428571463</v>
      </c>
      <c r="R53" s="50">
        <f ca="1">IF(tbl_ORCL[[#This Row],[Avg_Upmove]]="", "", tbl_ORCL[[#This Row],[Avg_Upmove]]/tbl_ORCL[[#This Row],[Avg_Downmove]])</f>
        <v>1.2909836065573768</v>
      </c>
      <c r="S53" s="127">
        <f ca="1">IF(ROW($N53)-4&lt;BB_Periods, "", _xlfn.STDEV.S(INDIRECT(ADDRESS(ROW($F53)-RSI_Periods +1, MATCH("Adj Close", Price_Header,0))): INDIRECT(ADDRESS(ROW($F53),MATCH("Adj Close", Price_Header,0)))))</f>
        <v>0.81255397115758154</v>
      </c>
    </row>
    <row r="54" spans="1:19" x14ac:dyDescent="0.35">
      <c r="A54" s="8">
        <v>44123</v>
      </c>
      <c r="B54" s="10">
        <v>60.39</v>
      </c>
      <c r="C54" s="10">
        <v>60.75</v>
      </c>
      <c r="D54" s="10">
        <v>59.39</v>
      </c>
      <c r="E54" s="10">
        <v>59.62</v>
      </c>
      <c r="F54" s="10">
        <v>59.62</v>
      </c>
      <c r="G54">
        <v>8311000</v>
      </c>
      <c r="H54" s="127">
        <f>IF(tbl_ORCL[[#This Row],[Date]]=$A$5, $F54, EMA_Beta*$H53 + (1-EMA_Beta)*$F54)</f>
        <v>60.028888381288269</v>
      </c>
      <c r="I54" s="50">
        <f ca="1">IF(tbl_ORCL[[#This Row],[RS]]= "", "", 100-(100/(1+tbl_ORCL[[#This Row],[RS]])))</f>
        <v>51.219512195121936</v>
      </c>
      <c r="J54" s="127">
        <f ca="1">IF(ROW($N54)-4&lt;BB_Periods, "", AVERAGE(INDIRECT(ADDRESS(ROW($F54)-RSI_Periods +1, MATCH("Adj Close", Price_Header,0))): INDIRECT(ADDRESS(ROW($F54),MATCH("Adj Close", Price_Header,0)))))</f>
        <v>60.249285714285712</v>
      </c>
      <c r="K54" s="127">
        <f ca="1">IF(tbl_ORCL[[#This Row],[BB_Mean]]="", "", tbl_ORCL[[#This Row],[BB_Mean]]+(BB_Width*tbl_ORCL[[#This Row],[BB_Stdev]]))</f>
        <v>61.85442101719925</v>
      </c>
      <c r="L54" s="127">
        <f ca="1">IF(tbl_ORCL[[#This Row],[BB_Mean]]="", "", tbl_ORCL[[#This Row],[BB_Mean]]-(BB_Width*tbl_ORCL[[#This Row],[BB_Stdev]]))</f>
        <v>58.644150411372173</v>
      </c>
      <c r="M54" s="50">
        <f>IF(ROW(tbl_ORCL[[#This Row],[Adj Close]])=5, 0, $F54-$F53)</f>
        <v>-0.67000000000000171</v>
      </c>
      <c r="N54" s="50">
        <f>MAX(tbl_ORCL[[#This Row],[Move]],0)</f>
        <v>0</v>
      </c>
      <c r="O54" s="50">
        <f>MAX(-tbl_ORCL[[#This Row],[Move]],0)</f>
        <v>0.67000000000000171</v>
      </c>
      <c r="P54" s="50">
        <f ca="1">IF(ROW($N54)-5&lt;RSI_Periods, "", AVERAGE(INDIRECT(ADDRESS(ROW($N54)-RSI_Periods +1, MATCH("Upmove", Price_Header,0))): INDIRECT(ADDRESS(ROW($N54),MATCH("Upmove", Price_Header,0)))))</f>
        <v>0.22500000000000039</v>
      </c>
      <c r="Q54" s="50">
        <f ca="1">IF(ROW($O54)-5&lt;RSI_Periods, "", AVERAGE(INDIRECT(ADDRESS(ROW($O54)-RSI_Periods +1, MATCH("Downmove", Price_Header,0))): INDIRECT(ADDRESS(ROW($O54),MATCH("Downmove", Price_Header,0)))))</f>
        <v>0.2142857142857148</v>
      </c>
      <c r="R54" s="50">
        <f ca="1">IF(tbl_ORCL[[#This Row],[Avg_Upmove]]="", "", tbl_ORCL[[#This Row],[Avg_Upmove]]/tbl_ORCL[[#This Row],[Avg_Downmove]])</f>
        <v>1.0499999999999994</v>
      </c>
      <c r="S54" s="127">
        <f ca="1">IF(ROW($N54)-4&lt;BB_Periods, "", _xlfn.STDEV.S(INDIRECT(ADDRESS(ROW($F54)-RSI_Periods +1, MATCH("Adj Close", Price_Header,0))): INDIRECT(ADDRESS(ROW($F54),MATCH("Adj Close", Price_Header,0)))))</f>
        <v>0.80256765145676978</v>
      </c>
    </row>
    <row r="55" spans="1:19" x14ac:dyDescent="0.35">
      <c r="A55" s="8">
        <v>44124</v>
      </c>
      <c r="B55" s="10">
        <v>59.92</v>
      </c>
      <c r="C55" s="10">
        <v>60.33</v>
      </c>
      <c r="D55" s="10">
        <v>59.63</v>
      </c>
      <c r="E55" s="10">
        <v>59.75</v>
      </c>
      <c r="F55" s="10">
        <v>59.75</v>
      </c>
      <c r="G55">
        <v>9241200</v>
      </c>
      <c r="H55" s="127">
        <f>IF(tbl_ORCL[[#This Row],[Date]]=$A$5, $F55, EMA_Beta*$H54 + (1-EMA_Beta)*$F55)</f>
        <v>60.000999543159445</v>
      </c>
      <c r="I55" s="50">
        <f ca="1">IF(tbl_ORCL[[#This Row],[RS]]= "", "", 100-(100/(1+tbl_ORCL[[#This Row],[RS]])))</f>
        <v>50.413223140495845</v>
      </c>
      <c r="J55" s="127">
        <f ca="1">IF(ROW($N55)-4&lt;BB_Periods, "", AVERAGE(INDIRECT(ADDRESS(ROW($F55)-RSI_Periods +1, MATCH("Adj Close", Price_Header,0))): INDIRECT(ADDRESS(ROW($F55),MATCH("Adj Close", Price_Header,0)))))</f>
        <v>60.252857142857138</v>
      </c>
      <c r="K55" s="127">
        <f ca="1">IF(tbl_ORCL[[#This Row],[BB_Mean]]="", "", tbl_ORCL[[#This Row],[BB_Mean]]+(BB_Width*tbl_ORCL[[#This Row],[BB_Stdev]]))</f>
        <v>61.852942305425849</v>
      </c>
      <c r="L55" s="127">
        <f ca="1">IF(tbl_ORCL[[#This Row],[BB_Mean]]="", "", tbl_ORCL[[#This Row],[BB_Mean]]-(BB_Width*tbl_ORCL[[#This Row],[BB_Stdev]]))</f>
        <v>58.652771980288428</v>
      </c>
      <c r="M55" s="50">
        <f>IF(ROW(tbl_ORCL[[#This Row],[Adj Close]])=5, 0, $F55-$F54)</f>
        <v>0.13000000000000256</v>
      </c>
      <c r="N55" s="50">
        <f>MAX(tbl_ORCL[[#This Row],[Move]],0)</f>
        <v>0.13000000000000256</v>
      </c>
      <c r="O55" s="50">
        <f>MAX(-tbl_ORCL[[#This Row],[Move]],0)</f>
        <v>0</v>
      </c>
      <c r="P55" s="50">
        <f ca="1">IF(ROW($N55)-5&lt;RSI_Periods, "", AVERAGE(INDIRECT(ADDRESS(ROW($N55)-RSI_Periods +1, MATCH("Upmove", Price_Header,0))): INDIRECT(ADDRESS(ROW($N55),MATCH("Upmove", Price_Header,0)))))</f>
        <v>0.21785714285714317</v>
      </c>
      <c r="Q55" s="50">
        <f ca="1">IF(ROW($O55)-5&lt;RSI_Periods, "", AVERAGE(INDIRECT(ADDRESS(ROW($O55)-RSI_Periods +1, MATCH("Downmove", Price_Header,0))): INDIRECT(ADDRESS(ROW($O55),MATCH("Downmove", Price_Header,0)))))</f>
        <v>0.2142857142857148</v>
      </c>
      <c r="R55" s="50">
        <f ca="1">IF(tbl_ORCL[[#This Row],[Avg_Upmove]]="", "", tbl_ORCL[[#This Row],[Avg_Upmove]]/tbl_ORCL[[#This Row],[Avg_Downmove]])</f>
        <v>1.0166666666666657</v>
      </c>
      <c r="S55" s="127">
        <f ca="1">IF(ROW($N55)-4&lt;BB_Periods, "", _xlfn.STDEV.S(INDIRECT(ADDRESS(ROW($F55)-RSI_Periods +1, MATCH("Adj Close", Price_Header,0))): INDIRECT(ADDRESS(ROW($F55),MATCH("Adj Close", Price_Header,0)))))</f>
        <v>0.8000425812843539</v>
      </c>
    </row>
    <row r="56" spans="1:19" x14ac:dyDescent="0.35">
      <c r="A56" s="8">
        <v>44125</v>
      </c>
      <c r="B56" s="10">
        <v>59.34</v>
      </c>
      <c r="C56" s="10">
        <v>60.12</v>
      </c>
      <c r="D56" s="10">
        <v>59.22</v>
      </c>
      <c r="E56" s="10">
        <v>59.67</v>
      </c>
      <c r="F56" s="10">
        <v>59.67</v>
      </c>
      <c r="G56">
        <v>10114900</v>
      </c>
      <c r="H56" s="127">
        <f>IF(tbl_ORCL[[#This Row],[Date]]=$A$5, $F56, EMA_Beta*$H55 + (1-EMA_Beta)*$F56)</f>
        <v>59.967899588843501</v>
      </c>
      <c r="I56" s="50">
        <f ca="1">IF(tbl_ORCL[[#This Row],[RS]]= "", "", 100-(100/(1+tbl_ORCL[[#This Row],[RS]])))</f>
        <v>49.918166939443552</v>
      </c>
      <c r="J56" s="127">
        <f ca="1">IF(ROW($N56)-4&lt;BB_Periods, "", AVERAGE(INDIRECT(ADDRESS(ROW($F56)-RSI_Periods +1, MATCH("Adj Close", Price_Header,0))): INDIRECT(ADDRESS(ROW($F56),MATCH("Adj Close", Price_Header,0)))))</f>
        <v>60.25214285714285</v>
      </c>
      <c r="K56" s="127">
        <f ca="1">IF(tbl_ORCL[[#This Row],[BB_Mean]]="", "", tbl_ORCL[[#This Row],[BB_Mean]]+(BB_Width*tbl_ORCL[[#This Row],[BB_Stdev]]))</f>
        <v>61.853338152422715</v>
      </c>
      <c r="L56" s="127">
        <f ca="1">IF(tbl_ORCL[[#This Row],[BB_Mean]]="", "", tbl_ORCL[[#This Row],[BB_Mean]]-(BB_Width*tbl_ORCL[[#This Row],[BB_Stdev]]))</f>
        <v>58.650947561862985</v>
      </c>
      <c r="M56" s="50">
        <f>IF(ROW(tbl_ORCL[[#This Row],[Adj Close]])=5, 0, $F56-$F55)</f>
        <v>-7.9999999999998295E-2</v>
      </c>
      <c r="N56" s="50">
        <f>MAX(tbl_ORCL[[#This Row],[Move]],0)</f>
        <v>0</v>
      </c>
      <c r="O56" s="50">
        <f>MAX(-tbl_ORCL[[#This Row],[Move]],0)</f>
        <v>7.9999999999998295E-2</v>
      </c>
      <c r="P56" s="50">
        <f ca="1">IF(ROW($N56)-5&lt;RSI_Periods, "", AVERAGE(INDIRECT(ADDRESS(ROW($N56)-RSI_Periods +1, MATCH("Upmove", Price_Header,0))): INDIRECT(ADDRESS(ROW($N56),MATCH("Upmove", Price_Header,0)))))</f>
        <v>0.21785714285714317</v>
      </c>
      <c r="Q56" s="50">
        <f ca="1">IF(ROW($O56)-5&lt;RSI_Periods, "", AVERAGE(INDIRECT(ADDRESS(ROW($O56)-RSI_Periods +1, MATCH("Downmove", Price_Header,0))): INDIRECT(ADDRESS(ROW($O56),MATCH("Downmove", Price_Header,0)))))</f>
        <v>0.21857142857142872</v>
      </c>
      <c r="R56" s="50">
        <f ca="1">IF(tbl_ORCL[[#This Row],[Avg_Upmove]]="", "", tbl_ORCL[[#This Row],[Avg_Upmove]]/tbl_ORCL[[#This Row],[Avg_Downmove]])</f>
        <v>0.99673202614379153</v>
      </c>
      <c r="S56" s="127">
        <f ca="1">IF(ROW($N56)-4&lt;BB_Periods, "", _xlfn.STDEV.S(INDIRECT(ADDRESS(ROW($F56)-RSI_Periods +1, MATCH("Adj Close", Price_Header,0))): INDIRECT(ADDRESS(ROW($F56),MATCH("Adj Close", Price_Header,0)))))</f>
        <v>0.80059764763993246</v>
      </c>
    </row>
    <row r="57" spans="1:19" x14ac:dyDescent="0.35">
      <c r="A57" s="8">
        <v>44126</v>
      </c>
      <c r="B57" s="10">
        <v>59.44</v>
      </c>
      <c r="C57" s="10">
        <v>59.87</v>
      </c>
      <c r="D57" s="10">
        <v>58.69</v>
      </c>
      <c r="E57" s="10">
        <v>59.69</v>
      </c>
      <c r="F57" s="10">
        <v>59.69</v>
      </c>
      <c r="G57">
        <v>11900600</v>
      </c>
      <c r="H57" s="127">
        <f>IF(tbl_ORCL[[#This Row],[Date]]=$A$5, $F57, EMA_Beta*$H56 + (1-EMA_Beta)*$F57)</f>
        <v>59.940109629959153</v>
      </c>
      <c r="I57" s="50">
        <f ca="1">IF(tbl_ORCL[[#This Row],[RS]]= "", "", 100-(100/(1+tbl_ORCL[[#This Row],[RS]])))</f>
        <v>58.143939393939384</v>
      </c>
      <c r="J57" s="127">
        <f ca="1">IF(ROW($N57)-4&lt;BB_Periods, "", AVERAGE(INDIRECT(ADDRESS(ROW($F57)-RSI_Periods +1, MATCH("Adj Close", Price_Header,0))): INDIRECT(ADDRESS(ROW($F57),MATCH("Adj Close", Price_Header,0)))))</f>
        <v>60.313571428571422</v>
      </c>
      <c r="K57" s="127">
        <f ca="1">IF(tbl_ORCL[[#This Row],[BB_Mean]]="", "", tbl_ORCL[[#This Row],[BB_Mean]]+(BB_Width*tbl_ORCL[[#This Row],[BB_Stdev]]))</f>
        <v>61.735717307551106</v>
      </c>
      <c r="L57" s="127">
        <f ca="1">IF(tbl_ORCL[[#This Row],[BB_Mean]]="", "", tbl_ORCL[[#This Row],[BB_Mean]]-(BB_Width*tbl_ORCL[[#This Row],[BB_Stdev]]))</f>
        <v>58.891425549591737</v>
      </c>
      <c r="M57" s="50">
        <f>IF(ROW(tbl_ORCL[[#This Row],[Adj Close]])=5, 0, $F57-$F56)</f>
        <v>1.9999999999996021E-2</v>
      </c>
      <c r="N57" s="50">
        <f>MAX(tbl_ORCL[[#This Row],[Move]],0)</f>
        <v>1.9999999999996021E-2</v>
      </c>
      <c r="O57" s="50">
        <f>MAX(-tbl_ORCL[[#This Row],[Move]],0)</f>
        <v>0</v>
      </c>
      <c r="P57" s="50">
        <f ca="1">IF(ROW($N57)-5&lt;RSI_Periods, "", AVERAGE(INDIRECT(ADDRESS(ROW($N57)-RSI_Periods +1, MATCH("Upmove", Price_Header,0))): INDIRECT(ADDRESS(ROW($N57),MATCH("Upmove", Price_Header,0)))))</f>
        <v>0.21928571428571431</v>
      </c>
      <c r="Q57" s="50">
        <f ca="1">IF(ROW($O57)-5&lt;RSI_Periods, "", AVERAGE(INDIRECT(ADDRESS(ROW($O57)-RSI_Periods +1, MATCH("Downmove", Price_Header,0))): INDIRECT(ADDRESS(ROW($O57),MATCH("Downmove", Price_Header,0)))))</f>
        <v>0.15785714285714292</v>
      </c>
      <c r="R57" s="50">
        <f ca="1">IF(tbl_ORCL[[#This Row],[Avg_Upmove]]="", "", tbl_ORCL[[#This Row],[Avg_Upmove]]/tbl_ORCL[[#This Row],[Avg_Downmove]])</f>
        <v>1.3891402714932122</v>
      </c>
      <c r="S57" s="127">
        <f ca="1">IF(ROW($N57)-4&lt;BB_Periods, "", _xlfn.STDEV.S(INDIRECT(ADDRESS(ROW($F57)-RSI_Periods +1, MATCH("Adj Close", Price_Header,0))): INDIRECT(ADDRESS(ROW($F57),MATCH("Adj Close", Price_Header,0)))))</f>
        <v>0.7110729394898424</v>
      </c>
    </row>
    <row r="58" spans="1:19" x14ac:dyDescent="0.35">
      <c r="A58" s="8">
        <v>44127</v>
      </c>
      <c r="B58" s="10">
        <v>59.9</v>
      </c>
      <c r="C58" s="10">
        <v>60.16</v>
      </c>
      <c r="D58" s="10">
        <v>59.71</v>
      </c>
      <c r="E58" s="10">
        <v>59.9</v>
      </c>
      <c r="F58" s="10">
        <v>59.9</v>
      </c>
      <c r="G58">
        <v>9739300</v>
      </c>
      <c r="H58" s="127">
        <f>IF(tbl_ORCL[[#This Row],[Date]]=$A$5, $F58, EMA_Beta*$H57 + (1-EMA_Beta)*$F58)</f>
        <v>59.936098666963233</v>
      </c>
      <c r="I58" s="50">
        <f ca="1">IF(tbl_ORCL[[#This Row],[RS]]= "", "", 100-(100/(1+tbl_ORCL[[#This Row],[RS]])))</f>
        <v>53.571428571428541</v>
      </c>
      <c r="J58" s="127">
        <f ca="1">IF(ROW($N58)-4&lt;BB_Periods, "", AVERAGE(INDIRECT(ADDRESS(ROW($F58)-RSI_Periods +1, MATCH("Adj Close", Price_Header,0))): INDIRECT(ADDRESS(ROW($F58),MATCH("Adj Close", Price_Header,0)))))</f>
        <v>60.337857142857139</v>
      </c>
      <c r="K58" s="127">
        <f ca="1">IF(tbl_ORCL[[#This Row],[BB_Mean]]="", "", tbl_ORCL[[#This Row],[BB_Mean]]+(BB_Width*tbl_ORCL[[#This Row],[BB_Stdev]]))</f>
        <v>61.715484502797821</v>
      </c>
      <c r="L58" s="127">
        <f ca="1">IF(tbl_ORCL[[#This Row],[BB_Mean]]="", "", tbl_ORCL[[#This Row],[BB_Mean]]-(BB_Width*tbl_ORCL[[#This Row],[BB_Stdev]]))</f>
        <v>58.960229782916457</v>
      </c>
      <c r="M58" s="50">
        <f>IF(ROW(tbl_ORCL[[#This Row],[Adj Close]])=5, 0, $F58-$F57)</f>
        <v>0.21000000000000085</v>
      </c>
      <c r="N58" s="50">
        <f>MAX(tbl_ORCL[[#This Row],[Move]],0)</f>
        <v>0.21000000000000085</v>
      </c>
      <c r="O58" s="50">
        <f>MAX(-tbl_ORCL[[#This Row],[Move]],0)</f>
        <v>0</v>
      </c>
      <c r="P58" s="50">
        <f ca="1">IF(ROW($N58)-5&lt;RSI_Periods, "", AVERAGE(INDIRECT(ADDRESS(ROW($N58)-RSI_Periods +1, MATCH("Upmove", Price_Header,0))): INDIRECT(ADDRESS(ROW($N58),MATCH("Upmove", Price_Header,0)))))</f>
        <v>0.18214285714285694</v>
      </c>
      <c r="Q58" s="50">
        <f ca="1">IF(ROW($O58)-5&lt;RSI_Periods, "", AVERAGE(INDIRECT(ADDRESS(ROW($O58)-RSI_Periods +1, MATCH("Downmove", Price_Header,0))): INDIRECT(ADDRESS(ROW($O58),MATCH("Downmove", Price_Header,0)))))</f>
        <v>0.15785714285714292</v>
      </c>
      <c r="R58" s="50">
        <f ca="1">IF(tbl_ORCL[[#This Row],[Avg_Upmove]]="", "", tbl_ORCL[[#This Row],[Avg_Upmove]]/tbl_ORCL[[#This Row],[Avg_Downmove]])</f>
        <v>1.1538461538461522</v>
      </c>
      <c r="S58" s="127">
        <f ca="1">IF(ROW($N58)-4&lt;BB_Periods, "", _xlfn.STDEV.S(INDIRECT(ADDRESS(ROW($F58)-RSI_Periods +1, MATCH("Adj Close", Price_Header,0))): INDIRECT(ADDRESS(ROW($F58),MATCH("Adj Close", Price_Header,0)))))</f>
        <v>0.68881367997034282</v>
      </c>
    </row>
    <row r="59" spans="1:19" x14ac:dyDescent="0.35">
      <c r="A59" s="8">
        <v>44130</v>
      </c>
      <c r="B59" s="10">
        <v>58.1</v>
      </c>
      <c r="C59" s="10">
        <v>58.48</v>
      </c>
      <c r="D59" s="10">
        <v>56.53</v>
      </c>
      <c r="E59" s="10">
        <v>57.49</v>
      </c>
      <c r="F59" s="10">
        <v>57.49</v>
      </c>
      <c r="G59">
        <v>18876900</v>
      </c>
      <c r="H59" s="127">
        <f>IF(tbl_ORCL[[#This Row],[Date]]=$A$5, $F59, EMA_Beta*$H58 + (1-EMA_Beta)*$F59)</f>
        <v>59.69148880026691</v>
      </c>
      <c r="I59" s="50">
        <f ca="1">IF(tbl_ORCL[[#This Row],[RS]]= "", "", 100-(100/(1+tbl_ORCL[[#This Row],[RS]])))</f>
        <v>37.063953488372078</v>
      </c>
      <c r="J59" s="127">
        <f ca="1">IF(ROW($N59)-4&lt;BB_Periods, "", AVERAGE(INDIRECT(ADDRESS(ROW($F59)-RSI_Periods +1, MATCH("Adj Close", Price_Header,0))): INDIRECT(ADDRESS(ROW($F59),MATCH("Adj Close", Price_Header,0)))))</f>
        <v>60.210714285714282</v>
      </c>
      <c r="K59" s="127">
        <f ca="1">IF(tbl_ORCL[[#This Row],[BB_Mean]]="", "", tbl_ORCL[[#This Row],[BB_Mean]]+(BB_Width*tbl_ORCL[[#This Row],[BB_Stdev]]))</f>
        <v>62.203909853496974</v>
      </c>
      <c r="L59" s="127">
        <f ca="1">IF(tbl_ORCL[[#This Row],[BB_Mean]]="", "", tbl_ORCL[[#This Row],[BB_Mean]]-(BB_Width*tbl_ORCL[[#This Row],[BB_Stdev]]))</f>
        <v>58.21751871793159</v>
      </c>
      <c r="M59" s="50">
        <f>IF(ROW(tbl_ORCL[[#This Row],[Adj Close]])=5, 0, $F59-$F58)</f>
        <v>-2.4099999999999966</v>
      </c>
      <c r="N59" s="50">
        <f>MAX(tbl_ORCL[[#This Row],[Move]],0)</f>
        <v>0</v>
      </c>
      <c r="O59" s="50">
        <f>MAX(-tbl_ORCL[[#This Row],[Move]],0)</f>
        <v>2.4099999999999966</v>
      </c>
      <c r="P59" s="50">
        <f ca="1">IF(ROW($N59)-5&lt;RSI_Periods, "", AVERAGE(INDIRECT(ADDRESS(ROW($N59)-RSI_Periods +1, MATCH("Upmove", Price_Header,0))): INDIRECT(ADDRESS(ROW($N59),MATCH("Upmove", Price_Header,0)))))</f>
        <v>0.18214285714285694</v>
      </c>
      <c r="Q59" s="50">
        <f ca="1">IF(ROW($O59)-5&lt;RSI_Periods, "", AVERAGE(INDIRECT(ADDRESS(ROW($O59)-RSI_Periods +1, MATCH("Downmove", Price_Header,0))): INDIRECT(ADDRESS(ROW($O59),MATCH("Downmove", Price_Header,0)))))</f>
        <v>0.30928571428571416</v>
      </c>
      <c r="R59" s="50">
        <f ca="1">IF(tbl_ORCL[[#This Row],[Avg_Upmove]]="", "", tbl_ORCL[[#This Row],[Avg_Upmove]]/tbl_ORCL[[#This Row],[Avg_Downmove]])</f>
        <v>0.58891454965357926</v>
      </c>
      <c r="S59" s="127">
        <f ca="1">IF(ROW($N59)-4&lt;BB_Periods, "", _xlfn.STDEV.S(INDIRECT(ADDRESS(ROW($F59)-RSI_Periods +1, MATCH("Adj Close", Price_Header,0))): INDIRECT(ADDRESS(ROW($F59),MATCH("Adj Close", Price_Header,0)))))</f>
        <v>0.99659778389134646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>
        <f ca="1">SUBTOTAL(103,tbl_ORCL[BB_Stdev])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60"/>
  <sheetViews>
    <sheetView topLeftCell="B53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3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3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3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3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3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3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3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3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3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3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3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3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3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3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3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3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3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3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35">
      <c r="A37" s="8">
        <v>44098</v>
      </c>
      <c r="B37" s="10">
        <v>31.81</v>
      </c>
      <c r="C37" s="10">
        <v>32.94</v>
      </c>
      <c r="D37" s="10">
        <v>31.32</v>
      </c>
      <c r="E37" s="10">
        <v>32.15</v>
      </c>
      <c r="F37" s="10">
        <v>32.15</v>
      </c>
      <c r="G37">
        <v>116200</v>
      </c>
      <c r="H37" s="10">
        <f>IF(tbl_AKRO[[#This Row],[Date]]=$A$5, $F37, EMA_Beta*$H36 + (1-EMA_Beta)*$F37)</f>
        <v>34.144688857498792</v>
      </c>
      <c r="I37" s="46">
        <f ca="1">IF(tbl_AKRO[[#This Row],[RS]]= "", "", 100-(100/(1+tbl_AKRO[[#This Row],[RS]])))</f>
        <v>46.471050473517096</v>
      </c>
      <c r="J37" s="10">
        <f ca="1">IF(ROW($N37)-4&lt;BB_Periods, "", AVERAGE(INDIRECT(ADDRESS(ROW($F37)-RSI_Periods +1, MATCH("Adj Close", Price_Header,0))): INDIRECT(ADDRESS(ROW($F37),MATCH("Adj Close", Price_Header,0)))))</f>
        <v>34.388571142857138</v>
      </c>
      <c r="K37" s="127">
        <f ca="1">IF(tbl_AKRO[[#This Row],[BB_Mean]]="", "", tbl_AKRO[[#This Row],[BB_Mean]]+(BB_Width*tbl_AKRO[[#This Row],[BB_Stdev]]))</f>
        <v>38.093776595362769</v>
      </c>
      <c r="L37" s="127">
        <f ca="1">IF(tbl_AKRO[[#This Row],[BB_Mean]]="", "", tbl_AKRO[[#This Row],[BB_Mean]]-(BB_Width*tbl_AKRO[[#This Row],[BB_Stdev]]))</f>
        <v>30.683365690351508</v>
      </c>
      <c r="M37" s="46">
        <f>IF(ROW(tbl_AKRO[[#This Row],[Adj Close]])=5, 0, $F37-$F36)</f>
        <v>0.19999999999999929</v>
      </c>
      <c r="N37" s="46">
        <f>MAX(tbl_AKRO[[#This Row],[Move]],0)</f>
        <v>0.19999999999999929</v>
      </c>
      <c r="O37" s="46">
        <f>MAX(-tbl_AKRO[[#This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0.41857135714285754</v>
      </c>
      <c r="Q37" s="46">
        <f ca="1">IF(ROW($O37)-5&lt;RSI_Periods, "", AVERAGE(INDIRECT(ADDRESS(ROW($O37)-RSI_Periods +1, MATCH("Downmove", Price_Header,0))): INDIRECT(ADDRESS(ROW($O37),MATCH("Downmove", Price_Header,0)))))</f>
        <v>0.48214285714285737</v>
      </c>
      <c r="R37" s="46">
        <f ca="1">IF(tbl_AKRO[[#This Row],[Avg_Upmove]]="", "", tbl_AKRO[[#This Row],[Avg_Upmove]]/tbl_AKRO[[#This Row],[Avg_Downmove]])</f>
        <v>0.86814800000000036</v>
      </c>
      <c r="S37" s="10">
        <f ca="1">IF(ROW($N37)-4&lt;BB_Periods, "", _xlfn.STDEV.S(INDIRECT(ADDRESS(ROW($F37)-RSI_Periods +1, MATCH("Adj Close", Price_Header,0))): INDIRECT(ADDRESS(ROW($F37),MATCH("Adj Close", Price_Header,0)))))</f>
        <v>1.8526027262528146</v>
      </c>
    </row>
    <row r="38" spans="1:19" x14ac:dyDescent="0.35">
      <c r="A38" s="8">
        <v>44099</v>
      </c>
      <c r="B38" s="10">
        <v>32.54</v>
      </c>
      <c r="C38" s="10">
        <v>32.81</v>
      </c>
      <c r="D38" s="10">
        <v>31.83</v>
      </c>
      <c r="E38" s="10">
        <v>32.130000000000003</v>
      </c>
      <c r="F38" s="10">
        <v>32.130000000000003</v>
      </c>
      <c r="G38">
        <v>84800</v>
      </c>
      <c r="H38" s="10">
        <f>IF(tbl_AKRO[[#This Row],[Date]]=$A$5, $F38, EMA_Beta*$H37 + (1-EMA_Beta)*$F38)</f>
        <v>33.94321997174891</v>
      </c>
      <c r="I38" s="46">
        <f ca="1">IF(tbl_AKRO[[#This Row],[RS]]= "", "", 100-(100/(1+tbl_AKRO[[#This Row],[RS]])))</f>
        <v>49.119865736775481</v>
      </c>
      <c r="J38" s="10">
        <f ca="1">IF(ROW($N38)-4&lt;BB_Periods, "", AVERAGE(INDIRECT(ADDRESS(ROW($F38)-RSI_Periods +1, MATCH("Adj Close", Price_Header,0))): INDIRECT(ADDRESS(ROW($F38),MATCH("Adj Close", Price_Header,0)))))</f>
        <v>34.373571142857138</v>
      </c>
      <c r="K38" s="127">
        <f ca="1">IF(tbl_AKRO[[#This Row],[BB_Mean]]="", "", tbl_AKRO[[#This Row],[BB_Mean]]+(BB_Width*tbl_AKRO[[#This Row],[BB_Stdev]]))</f>
        <v>38.116014979428748</v>
      </c>
      <c r="L38" s="127">
        <f ca="1">IF(tbl_AKRO[[#This Row],[BB_Mean]]="", "", tbl_AKRO[[#This Row],[BB_Mean]]-(BB_Width*tbl_AKRO[[#This Row],[BB_Stdev]]))</f>
        <v>30.631127306285528</v>
      </c>
      <c r="M38" s="46">
        <f>IF(ROW(tbl_AKRO[[#This Row],[Adj Close]])=5, 0, $F38-$F37)</f>
        <v>-1.9999999999996021E-2</v>
      </c>
      <c r="N38" s="46">
        <f>MAX(tbl_AKRO[[#This Row],[Move]],0)</f>
        <v>0</v>
      </c>
      <c r="O38" s="46">
        <f>MAX(-tbl_AKRO[[#This Row],[Move]],0)</f>
        <v>1.9999999999996021E-2</v>
      </c>
      <c r="P38" s="46">
        <f ca="1">IF(ROW($N38)-5&lt;RSI_Periods, "", AVERAGE(INDIRECT(ADDRESS(ROW($N38)-RSI_Periods +1, MATCH("Upmove", Price_Header,0))): INDIRECT(ADDRESS(ROW($N38),MATCH("Upmove", Price_Header,0)))))</f>
        <v>0.41857135714285754</v>
      </c>
      <c r="Q38" s="46">
        <f ca="1">IF(ROW($O38)-5&lt;RSI_Periods, "", AVERAGE(INDIRECT(ADDRESS(ROW($O38)-RSI_Periods +1, MATCH("Downmove", Price_Header,0))): INDIRECT(ADDRESS(ROW($O38),MATCH("Downmove", Price_Header,0)))))</f>
        <v>0.43357135714285761</v>
      </c>
      <c r="R38" s="46">
        <f ca="1">IF(tbl_AKRO[[#This Row],[Avg_Upmove]]="", "", tbl_AKRO[[#This Row],[Avg_Upmove]]/tbl_AKRO[[#This Row],[Avg_Downmove]])</f>
        <v>0.96540361868263891</v>
      </c>
      <c r="S38" s="10">
        <f ca="1">IF(ROW($N38)-4&lt;BB_Periods, "", _xlfn.STDEV.S(INDIRECT(ADDRESS(ROW($F38)-RSI_Periods +1, MATCH("Adj Close", Price_Header,0))): INDIRECT(ADDRESS(ROW($F38),MATCH("Adj Close", Price_Header,0)))))</f>
        <v>1.871221918285805</v>
      </c>
    </row>
    <row r="39" spans="1:19" x14ac:dyDescent="0.35">
      <c r="A39" s="8">
        <v>44102</v>
      </c>
      <c r="B39" s="10">
        <v>32.299999999999997</v>
      </c>
      <c r="C39" s="10">
        <v>32.299999999999997</v>
      </c>
      <c r="D39" s="10">
        <v>30.71</v>
      </c>
      <c r="E39" s="10">
        <v>31.57</v>
      </c>
      <c r="F39" s="10">
        <v>31.57</v>
      </c>
      <c r="G39">
        <v>95500</v>
      </c>
      <c r="H39" s="10">
        <f>IF(tbl_AKRO[[#This Row],[Date]]=$A$5, $F39, EMA_Beta*$H38 + (1-EMA_Beta)*$F39)</f>
        <v>33.705897974574015</v>
      </c>
      <c r="I39" s="46">
        <f ca="1">IF(tbl_AKRO[[#This Row],[RS]]= "", "", 100-(100/(1+tbl_AKRO[[#This Row],[RS]])))</f>
        <v>45.476981907894739</v>
      </c>
      <c r="J39" s="10">
        <f ca="1">IF(ROW($N39)-4&lt;BB_Periods, "", AVERAGE(INDIRECT(ADDRESS(ROW($F39)-RSI_Periods +1, MATCH("Adj Close", Price_Header,0))): INDIRECT(ADDRESS(ROW($F39),MATCH("Adj Close", Price_Header,0)))))</f>
        <v>34.294999857142855</v>
      </c>
      <c r="K39" s="127">
        <f ca="1">IF(tbl_AKRO[[#This Row],[BB_Mean]]="", "", tbl_AKRO[[#This Row],[BB_Mean]]+(BB_Width*tbl_AKRO[[#This Row],[BB_Stdev]]))</f>
        <v>38.232611414341754</v>
      </c>
      <c r="L39" s="127">
        <f ca="1">IF(tbl_AKRO[[#This Row],[BB_Mean]]="", "", tbl_AKRO[[#This Row],[BB_Mean]]-(BB_Width*tbl_AKRO[[#This Row],[BB_Stdev]]))</f>
        <v>30.357388299943953</v>
      </c>
      <c r="M39" s="46">
        <f>IF(ROW(tbl_AKRO[[#This Row],[Adj Close]])=5, 0, $F39-$F38)</f>
        <v>-0.56000000000000227</v>
      </c>
      <c r="N39" s="46">
        <f>MAX(tbl_AKRO[[#This Row],[Move]],0)</f>
        <v>0</v>
      </c>
      <c r="O39" s="46">
        <f>MAX(-tbl_AKRO[[#This Row],[Move]],0)</f>
        <v>0.56000000000000227</v>
      </c>
      <c r="P39" s="46">
        <f ca="1">IF(ROW($N39)-5&lt;RSI_Periods, "", AVERAGE(INDIRECT(ADDRESS(ROW($N39)-RSI_Periods +1, MATCH("Upmove", Price_Header,0))): INDIRECT(ADDRESS(ROW($N39),MATCH("Upmove", Price_Header,0)))))</f>
        <v>0.39500007142857207</v>
      </c>
      <c r="Q39" s="46">
        <f ca="1">IF(ROW($O39)-5&lt;RSI_Periods, "", AVERAGE(INDIRECT(ADDRESS(ROW($O39)-RSI_Periods +1, MATCH("Downmove", Price_Header,0))): INDIRECT(ADDRESS(ROW($O39),MATCH("Downmove", Price_Header,0)))))</f>
        <v>0.47357135714285775</v>
      </c>
      <c r="R39" s="46">
        <f ca="1">IF(tbl_AKRO[[#This Row],[Avg_Upmove]]="", "", tbl_AKRO[[#This Row],[Avg_Upmove]]/tbl_AKRO[[#This Row],[Avg_Downmove]])</f>
        <v>0.83408775778095923</v>
      </c>
      <c r="S39" s="10">
        <f ca="1">IF(ROW($N39)-4&lt;BB_Periods, "", _xlfn.STDEV.S(INDIRECT(ADDRESS(ROW($F39)-RSI_Periods +1, MATCH("Adj Close", Price_Header,0))): INDIRECT(ADDRESS(ROW($F39),MATCH("Adj Close", Price_Header,0)))))</f>
        <v>1.9688057785994511</v>
      </c>
    </row>
    <row r="40" spans="1:19" x14ac:dyDescent="0.35">
      <c r="A40" s="8">
        <v>44103</v>
      </c>
      <c r="B40" s="10">
        <v>31.52</v>
      </c>
      <c r="C40" s="10">
        <v>31.92</v>
      </c>
      <c r="D40" s="10">
        <v>31.16</v>
      </c>
      <c r="E40" s="10">
        <v>31.37</v>
      </c>
      <c r="F40" s="10">
        <v>31.37</v>
      </c>
      <c r="G40">
        <v>128200</v>
      </c>
      <c r="H40" s="10">
        <f>IF(tbl_AKRO[[#This Row],[Date]]=$A$5, $F40, EMA_Beta*$H39 + (1-EMA_Beta)*$F40)</f>
        <v>33.472308177116609</v>
      </c>
      <c r="I40" s="46">
        <f ca="1">IF(tbl_AKRO[[#This Row],[RS]]= "", "", 100-(100/(1+tbl_AKRO[[#This Row],[RS]])))</f>
        <v>37.108664825046063</v>
      </c>
      <c r="J40" s="10">
        <f ca="1">IF(ROW($N40)-4&lt;BB_Periods, "", AVERAGE(INDIRECT(ADDRESS(ROW($F40)-RSI_Periods +1, MATCH("Adj Close", Price_Header,0))): INDIRECT(ADDRESS(ROW($F40),MATCH("Adj Close", Price_Header,0)))))</f>
        <v>34.094999999999992</v>
      </c>
      <c r="K40" s="127">
        <f ca="1">IF(tbl_AKRO[[#This Row],[BB_Mean]]="", "", tbl_AKRO[[#This Row],[BB_Mean]]+(BB_Width*tbl_AKRO[[#This Row],[BB_Stdev]]))</f>
        <v>38.332943986996952</v>
      </c>
      <c r="L40" s="127">
        <f ca="1">IF(tbl_AKRO[[#This Row],[BB_Mean]]="", "", tbl_AKRO[[#This Row],[BB_Mean]]-(BB_Width*tbl_AKRO[[#This Row],[BB_Stdev]]))</f>
        <v>29.857056013003032</v>
      </c>
      <c r="M40" s="46">
        <f>IF(ROW(tbl_AKRO[[#This Row],[Adj Close]])=5, 0, $F40-$F39)</f>
        <v>-0.19999999999999929</v>
      </c>
      <c r="N40" s="46">
        <f>MAX(tbl_AKRO[[#This Row],[Move]],0)</f>
        <v>0</v>
      </c>
      <c r="O40" s="46">
        <f>MAX(-tbl_AKRO[[#This Row],[Move]],0)</f>
        <v>0.19999999999999929</v>
      </c>
      <c r="P40" s="46">
        <f ca="1">IF(ROW($N40)-5&lt;RSI_Periods, "", AVERAGE(INDIRECT(ADDRESS(ROW($N40)-RSI_Periods +1, MATCH("Upmove", Price_Header,0))): INDIRECT(ADDRESS(ROW($N40),MATCH("Upmove", Price_Header,0)))))</f>
        <v>0.28785721428571492</v>
      </c>
      <c r="Q40" s="46">
        <f ca="1">IF(ROW($O40)-5&lt;RSI_Periods, "", AVERAGE(INDIRECT(ADDRESS(ROW($O40)-RSI_Periods +1, MATCH("Downmove", Price_Header,0))): INDIRECT(ADDRESS(ROW($O40),MATCH("Downmove", Price_Header,0)))))</f>
        <v>0.48785707142857199</v>
      </c>
      <c r="R40" s="46">
        <f ca="1">IF(tbl_AKRO[[#This Row],[Avg_Upmove]]="", "", tbl_AKRO[[#This Row],[Avg_Upmove]]/tbl_AKRO[[#This Row],[Avg_Downmove]])</f>
        <v>0.59004415666825194</v>
      </c>
      <c r="S40" s="10">
        <f ca="1">IF(ROW($N40)-4&lt;BB_Periods, "", _xlfn.STDEV.S(INDIRECT(ADDRESS(ROW($F40)-RSI_Periods +1, MATCH("Adj Close", Price_Header,0))): INDIRECT(ADDRESS(ROW($F40),MATCH("Adj Close", Price_Header,0)))))</f>
        <v>2.1189719934984796</v>
      </c>
    </row>
    <row r="41" spans="1:19" x14ac:dyDescent="0.35">
      <c r="A41" s="8">
        <v>44104</v>
      </c>
      <c r="B41" s="10">
        <v>31.25</v>
      </c>
      <c r="C41" s="10">
        <v>31.75</v>
      </c>
      <c r="D41" s="10">
        <v>30.65</v>
      </c>
      <c r="E41" s="10">
        <v>30.79</v>
      </c>
      <c r="F41" s="10">
        <v>30.79</v>
      </c>
      <c r="G41">
        <v>180900</v>
      </c>
      <c r="H41" s="10">
        <f>IF(tbl_AKRO[[#This Row],[Date]]=$A$5, $F41, EMA_Beta*$H40 + (1-EMA_Beta)*$F41)</f>
        <v>33.204077359404948</v>
      </c>
      <c r="I41" s="46">
        <f ca="1">IF(tbl_AKRO[[#This Row],[RS]]= "", "", 100-(100/(1+tbl_AKRO[[#This Row],[RS]])))</f>
        <v>35.632183298271471</v>
      </c>
      <c r="J41" s="10">
        <f ca="1">IF(ROW($N41)-4&lt;BB_Periods, "", AVERAGE(INDIRECT(ADDRESS(ROW($F41)-RSI_Periods +1, MATCH("Adj Close", Price_Header,0))): INDIRECT(ADDRESS(ROW($F41),MATCH("Adj Close", Price_Header,0)))))</f>
        <v>33.862857071428571</v>
      </c>
      <c r="K41" s="127">
        <f ca="1">IF(tbl_AKRO[[#This Row],[BB_Mean]]="", "", tbl_AKRO[[#This Row],[BB_Mean]]+(BB_Width*tbl_AKRO[[#This Row],[BB_Stdev]]))</f>
        <v>38.45502717615787</v>
      </c>
      <c r="L41" s="127">
        <f ca="1">IF(tbl_AKRO[[#This Row],[BB_Mean]]="", "", tbl_AKRO[[#This Row],[BB_Mean]]-(BB_Width*tbl_AKRO[[#This Row],[BB_Stdev]]))</f>
        <v>29.270686966699273</v>
      </c>
      <c r="M41" s="46">
        <f>IF(ROW(tbl_AKRO[[#This Row],[Adj Close]])=5, 0, $F41-$F40)</f>
        <v>-0.58000000000000185</v>
      </c>
      <c r="N41" s="46">
        <f>MAX(tbl_AKRO[[#This Row],[Move]],0)</f>
        <v>0</v>
      </c>
      <c r="O41" s="46">
        <f>MAX(-tbl_AKRO[[#This Row],[Move]],0)</f>
        <v>0.58000000000000185</v>
      </c>
      <c r="P41" s="46">
        <f ca="1">IF(ROW($N41)-5&lt;RSI_Periods, "", AVERAGE(INDIRECT(ADDRESS(ROW($N41)-RSI_Periods +1, MATCH("Upmove", Price_Header,0))): INDIRECT(ADDRESS(ROW($N41),MATCH("Upmove", Price_Header,0)))))</f>
        <v>0.28785721428571492</v>
      </c>
      <c r="Q41" s="46">
        <f ca="1">IF(ROW($O41)-5&lt;RSI_Periods, "", AVERAGE(INDIRECT(ADDRESS(ROW($O41)-RSI_Periods +1, MATCH("Downmove", Price_Header,0))): INDIRECT(ADDRESS(ROW($O41),MATCH("Downmove", Price_Header,0)))))</f>
        <v>0.52000014285714335</v>
      </c>
      <c r="R41" s="46">
        <f ca="1">IF(tbl_AKRO[[#This Row],[Avg_Upmove]]="", "", tbl_AKRO[[#This Row],[Avg_Upmove]]/tbl_AKRO[[#This Row],[Avg_Downmove]])</f>
        <v>0.55357141385400788</v>
      </c>
      <c r="S41" s="10">
        <f ca="1">IF(ROW($N41)-4&lt;BB_Periods, "", _xlfn.STDEV.S(INDIRECT(ADDRESS(ROW($F41)-RSI_Periods +1, MATCH("Adj Close", Price_Header,0))): INDIRECT(ADDRESS(ROW($F41),MATCH("Adj Close", Price_Header,0)))))</f>
        <v>2.2960850523646501</v>
      </c>
    </row>
    <row r="42" spans="1:19" x14ac:dyDescent="0.35">
      <c r="A42" s="8">
        <v>44105</v>
      </c>
      <c r="B42" s="10">
        <v>31.07</v>
      </c>
      <c r="C42" s="10">
        <v>31.07</v>
      </c>
      <c r="D42" s="10">
        <v>28.67</v>
      </c>
      <c r="E42" s="10">
        <v>29.18</v>
      </c>
      <c r="F42" s="10">
        <v>29.18</v>
      </c>
      <c r="G42">
        <v>353800</v>
      </c>
      <c r="H42" s="10">
        <f>IF(tbl_AKRO[[#This Row],[Date]]=$A$5, $F42, EMA_Beta*$H41 + (1-EMA_Beta)*$F42)</f>
        <v>32.801669623464448</v>
      </c>
      <c r="I42" s="46">
        <f ca="1">IF(tbl_AKRO[[#This Row],[RS]]= "", "", 100-(100/(1+tbl_AKRO[[#This Row],[RS]])))</f>
        <v>31.216116869394554</v>
      </c>
      <c r="J42" s="10">
        <f ca="1">IF(ROW($N42)-4&lt;BB_Periods, "", AVERAGE(INDIRECT(ADDRESS(ROW($F42)-RSI_Periods +1, MATCH("Adj Close", Price_Header,0))): INDIRECT(ADDRESS(ROW($F42),MATCH("Adj Close", Price_Header,0)))))</f>
        <v>33.51642857142857</v>
      </c>
      <c r="K42" s="127">
        <f ca="1">IF(tbl_AKRO[[#This Row],[BB_Mean]]="", "", tbl_AKRO[[#This Row],[BB_Mean]]+(BB_Width*tbl_AKRO[[#This Row],[BB_Stdev]]))</f>
        <v>38.74231447876366</v>
      </c>
      <c r="L42" s="127">
        <f ca="1">IF(tbl_AKRO[[#This Row],[BB_Mean]]="", "", tbl_AKRO[[#This Row],[BB_Mean]]-(BB_Width*tbl_AKRO[[#This Row],[BB_Stdev]]))</f>
        <v>28.290542664093479</v>
      </c>
      <c r="M42" s="46">
        <f>IF(ROW(tbl_AKRO[[#This Row],[Adj Close]])=5, 0, $F42-$F41)</f>
        <v>-1.6099999999999994</v>
      </c>
      <c r="N42" s="46">
        <f>MAX(tbl_AKRO[[#This Row],[Move]],0)</f>
        <v>0</v>
      </c>
      <c r="O42" s="46">
        <f>MAX(-tbl_AKRO[[#This Row],[Move]],0)</f>
        <v>1.6099999999999994</v>
      </c>
      <c r="P42" s="46">
        <f ca="1">IF(ROW($N42)-5&lt;RSI_Periods, "", AVERAGE(INDIRECT(ADDRESS(ROW($N42)-RSI_Periods +1, MATCH("Upmove", Price_Header,0))): INDIRECT(ADDRESS(ROW($N42),MATCH("Upmove", Price_Header,0)))))</f>
        <v>0.28785721428571492</v>
      </c>
      <c r="Q42" s="46">
        <f ca="1">IF(ROW($O42)-5&lt;RSI_Periods, "", AVERAGE(INDIRECT(ADDRESS(ROW($O42)-RSI_Periods +1, MATCH("Downmove", Price_Header,0))): INDIRECT(ADDRESS(ROW($O42),MATCH("Downmove", Price_Header,0)))))</f>
        <v>0.63428571428571467</v>
      </c>
      <c r="R42" s="46">
        <f ca="1">IF(tbl_AKRO[[#This Row],[Avg_Upmove]]="", "", tbl_AKRO[[#This Row],[Avg_Upmove]]/tbl_AKRO[[#This Row],[Avg_Downmove]])</f>
        <v>0.45382894144144215</v>
      </c>
      <c r="S42" s="10">
        <f ca="1">IF(ROW($N42)-4&lt;BB_Periods, "", _xlfn.STDEV.S(INDIRECT(ADDRESS(ROW($F42)-RSI_Periods +1, MATCH("Adj Close", Price_Header,0))): INDIRECT(ADDRESS(ROW($F42),MATCH("Adj Close", Price_Header,0)))))</f>
        <v>2.6129429536675457</v>
      </c>
    </row>
    <row r="43" spans="1:19" x14ac:dyDescent="0.35">
      <c r="A43" s="8">
        <v>44106</v>
      </c>
      <c r="B43" s="10">
        <v>28.79</v>
      </c>
      <c r="C43" s="10">
        <v>29.35</v>
      </c>
      <c r="D43" s="10">
        <v>28.13</v>
      </c>
      <c r="E43" s="10">
        <v>28.99</v>
      </c>
      <c r="F43" s="10">
        <v>28.99</v>
      </c>
      <c r="G43">
        <v>189100</v>
      </c>
      <c r="H43" s="10">
        <f>IF(tbl_AKRO[[#This Row],[Date]]=$A$5, $F43, EMA_Beta*$H42 + (1-EMA_Beta)*$F43)</f>
        <v>32.420502661118</v>
      </c>
      <c r="I43" s="46">
        <f ca="1">IF(tbl_AKRO[[#This Row],[RS]]= "", "", 100-(100/(1+tbl_AKRO[[#This Row],[RS]])))</f>
        <v>12.620423892100234</v>
      </c>
      <c r="J43" s="10">
        <f ca="1">IF(ROW($N43)-4&lt;BB_Periods, "", AVERAGE(INDIRECT(ADDRESS(ROW($F43)-RSI_Periods +1, MATCH("Adj Close", Price_Header,0))): INDIRECT(ADDRESS(ROW($F43),MATCH("Adj Close", Price_Header,0)))))</f>
        <v>32.962142857142858</v>
      </c>
      <c r="K43" s="127">
        <f ca="1">IF(tbl_AKRO[[#This Row],[BB_Mean]]="", "", tbl_AKRO[[#This Row],[BB_Mean]]+(BB_Width*tbl_AKRO[[#This Row],[BB_Stdev]]))</f>
        <v>38.354115115525204</v>
      </c>
      <c r="L43" s="127">
        <f ca="1">IF(tbl_AKRO[[#This Row],[BB_Mean]]="", "", tbl_AKRO[[#This Row],[BB_Mean]]-(BB_Width*tbl_AKRO[[#This Row],[BB_Stdev]]))</f>
        <v>27.570170598760512</v>
      </c>
      <c r="M43" s="46">
        <f>IF(ROW(tbl_AKRO[[#This Row],[Adj Close]])=5, 0, $F43-$F42)</f>
        <v>-0.19000000000000128</v>
      </c>
      <c r="N43" s="46">
        <f>MAX(tbl_AKRO[[#This Row],[Move]],0)</f>
        <v>0</v>
      </c>
      <c r="O43" s="46">
        <f>MAX(-tbl_AKRO[[#This Row],[Move]],0)</f>
        <v>0.19000000000000128</v>
      </c>
      <c r="P43" s="46">
        <f ca="1">IF(ROW($N43)-5&lt;RSI_Periods, "", AVERAGE(INDIRECT(ADDRESS(ROW($N43)-RSI_Periods +1, MATCH("Upmove", Price_Header,0))): INDIRECT(ADDRESS(ROW($N43),MATCH("Upmove", Price_Header,0)))))</f>
        <v>9.3571428571428986E-2</v>
      </c>
      <c r="Q43" s="46">
        <f ca="1">IF(ROW($O43)-5&lt;RSI_Periods, "", AVERAGE(INDIRECT(ADDRESS(ROW($O43)-RSI_Periods +1, MATCH("Downmove", Price_Header,0))): INDIRECT(ADDRESS(ROW($O43),MATCH("Downmove", Price_Header,0)))))</f>
        <v>0.64785714285714335</v>
      </c>
      <c r="R43" s="46">
        <f ca="1">IF(tbl_AKRO[[#This Row],[Avg_Upmove]]="", "", tbl_AKRO[[#This Row],[Avg_Upmove]]/tbl_AKRO[[#This Row],[Avg_Downmove]])</f>
        <v>0.14443219404630703</v>
      </c>
      <c r="S43" s="10">
        <f ca="1">IF(ROW($N43)-4&lt;BB_Periods, "", _xlfn.STDEV.S(INDIRECT(ADDRESS(ROW($F43)-RSI_Periods +1, MATCH("Adj Close", Price_Header,0))): INDIRECT(ADDRESS(ROW($F43),MATCH("Adj Close", Price_Header,0)))))</f>
        <v>2.6959861291911738</v>
      </c>
    </row>
    <row r="44" spans="1:19" x14ac:dyDescent="0.35">
      <c r="A44" s="8">
        <v>44109</v>
      </c>
      <c r="B44" s="10">
        <v>29.13</v>
      </c>
      <c r="C44" s="10">
        <v>30.15</v>
      </c>
      <c r="D44" s="10">
        <v>29</v>
      </c>
      <c r="E44" s="10">
        <v>29.89</v>
      </c>
      <c r="F44" s="10">
        <v>29.89</v>
      </c>
      <c r="G44">
        <v>238500</v>
      </c>
      <c r="H44" s="10">
        <f>IF(tbl_AKRO[[#This Row],[Date]]=$A$5, $F44, EMA_Beta*$H43 + (1-EMA_Beta)*$F44)</f>
        <v>32.167452395006201</v>
      </c>
      <c r="I44" s="46">
        <f ca="1">IF(tbl_AKRO[[#This Row],[RS]]= "", "", 100-(100/(1+tbl_AKRO[[#This Row],[RS]])))</f>
        <v>20.673526660430355</v>
      </c>
      <c r="J44" s="10">
        <f ca="1">IF(ROW($N44)-4&lt;BB_Periods, "", AVERAGE(INDIRECT(ADDRESS(ROW($F44)-RSI_Periods +1, MATCH("Adj Close", Price_Header,0))): INDIRECT(ADDRESS(ROW($F44),MATCH("Adj Close", Price_Header,0)))))</f>
        <v>32.51428571428572</v>
      </c>
      <c r="K44" s="127">
        <f ca="1">IF(tbl_AKRO[[#This Row],[BB_Mean]]="", "", tbl_AKRO[[#This Row],[BB_Mean]]+(BB_Width*tbl_AKRO[[#This Row],[BB_Stdev]]))</f>
        <v>37.802651547585569</v>
      </c>
      <c r="L44" s="127">
        <f ca="1">IF(tbl_AKRO[[#This Row],[BB_Mean]]="", "", tbl_AKRO[[#This Row],[BB_Mean]]-(BB_Width*tbl_AKRO[[#This Row],[BB_Stdev]]))</f>
        <v>27.225919880985874</v>
      </c>
      <c r="M44" s="46">
        <f>IF(ROW(tbl_AKRO[[#This Row],[Adj Close]])=5, 0, $F44-$F43)</f>
        <v>0.90000000000000213</v>
      </c>
      <c r="N44" s="46">
        <f>MAX(tbl_AKRO[[#This Row],[Move]],0)</f>
        <v>0.90000000000000213</v>
      </c>
      <c r="O44" s="46">
        <f>MAX(-tbl_AKRO[[#This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0.15785714285714342</v>
      </c>
      <c r="Q44" s="46">
        <f ca="1">IF(ROW($O44)-5&lt;RSI_Periods, "", AVERAGE(INDIRECT(ADDRESS(ROW($O44)-RSI_Periods +1, MATCH("Downmove", Price_Header,0))): INDIRECT(ADDRESS(ROW($O44),MATCH("Downmove", Price_Header,0)))))</f>
        <v>0.60571428571428598</v>
      </c>
      <c r="R44" s="46">
        <f ca="1">IF(tbl_AKRO[[#This Row],[Avg_Upmove]]="", "", tbl_AKRO[[#This Row],[Avg_Upmove]]/tbl_AKRO[[#This Row],[Avg_Downmove]])</f>
        <v>0.2606132075471706</v>
      </c>
      <c r="S44" s="10">
        <f ca="1">IF(ROW($N44)-4&lt;BB_Periods, "", _xlfn.STDEV.S(INDIRECT(ADDRESS(ROW($F44)-RSI_Periods +1, MATCH("Adj Close", Price_Header,0))): INDIRECT(ADDRESS(ROW($F44),MATCH("Adj Close", Price_Header,0)))))</f>
        <v>2.6441829166499233</v>
      </c>
    </row>
    <row r="45" spans="1:19" x14ac:dyDescent="0.35">
      <c r="A45" s="8">
        <v>44110</v>
      </c>
      <c r="B45" s="10">
        <v>29.6</v>
      </c>
      <c r="C45" s="10">
        <v>30.75</v>
      </c>
      <c r="D45" s="10">
        <v>28.15</v>
      </c>
      <c r="E45" s="10">
        <v>28.19</v>
      </c>
      <c r="F45" s="10">
        <v>28.19</v>
      </c>
      <c r="G45">
        <v>159100</v>
      </c>
      <c r="H45" s="10">
        <f>IF(tbl_AKRO[[#This Row],[Date]]=$A$5, $F45, EMA_Beta*$H44 + (1-EMA_Beta)*$F45)</f>
        <v>31.769707155505582</v>
      </c>
      <c r="I45" s="46">
        <f ca="1">IF(tbl_AKRO[[#This Row],[RS]]= "", "", 100-(100/(1+tbl_AKRO[[#This Row],[RS]])))</f>
        <v>16.006600660066027</v>
      </c>
      <c r="J45" s="10">
        <f ca="1">IF(ROW($N45)-4&lt;BB_Periods, "", AVERAGE(INDIRECT(ADDRESS(ROW($F45)-RSI_Periods +1, MATCH("Adj Close", Price_Header,0))): INDIRECT(ADDRESS(ROW($F45),MATCH("Adj Close", Price_Header,0)))))</f>
        <v>31.925714285714289</v>
      </c>
      <c r="K45" s="127">
        <f ca="1">IF(tbl_AKRO[[#This Row],[BB_Mean]]="", "", tbl_AKRO[[#This Row],[BB_Mean]]+(BB_Width*tbl_AKRO[[#This Row],[BB_Stdev]]))</f>
        <v>37.170754224174622</v>
      </c>
      <c r="L45" s="127">
        <f ca="1">IF(tbl_AKRO[[#This Row],[BB_Mean]]="", "", tbl_AKRO[[#This Row],[BB_Mean]]-(BB_Width*tbl_AKRO[[#This Row],[BB_Stdev]]))</f>
        <v>26.680674347253959</v>
      </c>
      <c r="M45" s="46">
        <f>IF(ROW(tbl_AKRO[[#This Row],[Adj Close]])=5, 0, $F45-$F44)</f>
        <v>-1.6999999999999993</v>
      </c>
      <c r="N45" s="46">
        <f>MAX(tbl_AKRO[[#This Row],[Move]],0)</f>
        <v>0</v>
      </c>
      <c r="O45" s="46">
        <f>MAX(-tbl_AKRO[[#This Row],[Move]],0)</f>
        <v>1.6999999999999993</v>
      </c>
      <c r="P45" s="46">
        <f ca="1">IF(ROW($N45)-5&lt;RSI_Periods, "", AVERAGE(INDIRECT(ADDRESS(ROW($N45)-RSI_Periods +1, MATCH("Upmove", Price_Header,0))): INDIRECT(ADDRESS(ROW($N45),MATCH("Upmove", Price_Header,0)))))</f>
        <v>0.13857142857142893</v>
      </c>
      <c r="Q45" s="46">
        <f ca="1">IF(ROW($O45)-5&lt;RSI_Periods, "", AVERAGE(INDIRECT(ADDRESS(ROW($O45)-RSI_Periods +1, MATCH("Downmove", Price_Header,0))): INDIRECT(ADDRESS(ROW($O45),MATCH("Downmove", Price_Header,0)))))</f>
        <v>0.72714285714285742</v>
      </c>
      <c r="R45" s="46">
        <f ca="1">IF(tbl_AKRO[[#This Row],[Avg_Upmove]]="", "", tbl_AKRO[[#This Row],[Avg_Upmove]]/tbl_AKRO[[#This Row],[Avg_Downmove]])</f>
        <v>0.19056974459724993</v>
      </c>
      <c r="S45" s="10">
        <f ca="1">IF(ROW($N45)-4&lt;BB_Periods, "", _xlfn.STDEV.S(INDIRECT(ADDRESS(ROW($F45)-RSI_Periods +1, MATCH("Adj Close", Price_Header,0))): INDIRECT(ADDRESS(ROW($F45),MATCH("Adj Close", Price_Header,0)))))</f>
        <v>2.6225199692301655</v>
      </c>
    </row>
    <row r="46" spans="1:19" x14ac:dyDescent="0.35">
      <c r="A46" s="8">
        <v>44111</v>
      </c>
      <c r="B46" s="10">
        <v>26.4</v>
      </c>
      <c r="C46" s="10">
        <v>29.31</v>
      </c>
      <c r="D46" s="10">
        <v>26.4</v>
      </c>
      <c r="E46" s="10">
        <v>28.74</v>
      </c>
      <c r="F46" s="10">
        <v>28.74</v>
      </c>
      <c r="G46">
        <v>310500</v>
      </c>
      <c r="H46" s="10">
        <f>IF(tbl_AKRO[[#This Row],[Date]]=$A$5, $F46, EMA_Beta*$H45 + (1-EMA_Beta)*$F46)</f>
        <v>31.466736439955024</v>
      </c>
      <c r="I46" s="46">
        <f ca="1">IF(tbl_AKRO[[#This Row],[RS]]= "", "", 100-(100/(1+tbl_AKRO[[#This Row],[RS]])))</f>
        <v>20.080645161290334</v>
      </c>
      <c r="J46" s="10">
        <f ca="1">IF(ROW($N46)-4&lt;BB_Periods, "", AVERAGE(INDIRECT(ADDRESS(ROW($F46)-RSI_Periods +1, MATCH("Adj Close", Price_Header,0))): INDIRECT(ADDRESS(ROW($F46),MATCH("Adj Close", Price_Header,0)))))</f>
        <v>31.395714285714288</v>
      </c>
      <c r="K46" s="127">
        <f ca="1">IF(tbl_AKRO[[#This Row],[BB_Mean]]="", "", tbl_AKRO[[#This Row],[BB_Mean]]+(BB_Width*tbl_AKRO[[#This Row],[BB_Stdev]]))</f>
        <v>36.285135923908726</v>
      </c>
      <c r="L46" s="127">
        <f ca="1">IF(tbl_AKRO[[#This Row],[BB_Mean]]="", "", tbl_AKRO[[#This Row],[BB_Mean]]-(BB_Width*tbl_AKRO[[#This Row],[BB_Stdev]]))</f>
        <v>26.506292647519849</v>
      </c>
      <c r="M46" s="46">
        <f>IF(ROW(tbl_AKRO[[#This Row],[Adj Close]])=5, 0, $F46-$F45)</f>
        <v>0.54999999999999716</v>
      </c>
      <c r="N46" s="46">
        <f>MAX(tbl_AKRO[[#This Row],[Move]],0)</f>
        <v>0.54999999999999716</v>
      </c>
      <c r="O46" s="46">
        <f>MAX(-tbl_AKRO[[#This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0.17785714285714299</v>
      </c>
      <c r="Q46" s="46">
        <f ca="1">IF(ROW($O46)-5&lt;RSI_Periods, "", AVERAGE(INDIRECT(ADDRESS(ROW($O46)-RSI_Periods +1, MATCH("Downmove", Price_Header,0))): INDIRECT(ADDRESS(ROW($O46),MATCH("Downmove", Price_Header,0)))))</f>
        <v>0.70785714285714285</v>
      </c>
      <c r="R46" s="46">
        <f ca="1">IF(tbl_AKRO[[#This Row],[Avg_Upmove]]="", "", tbl_AKRO[[#This Row],[Avg_Upmove]]/tbl_AKRO[[#This Row],[Avg_Downmove]])</f>
        <v>0.25126135216952594</v>
      </c>
      <c r="S46" s="10">
        <f ca="1">IF(ROW($N46)-4&lt;BB_Periods, "", _xlfn.STDEV.S(INDIRECT(ADDRESS(ROW($F46)-RSI_Periods +1, MATCH("Adj Close", Price_Header,0))): INDIRECT(ADDRESS(ROW($F46),MATCH("Adj Close", Price_Header,0)))))</f>
        <v>2.4447108190972182</v>
      </c>
    </row>
    <row r="47" spans="1:19" x14ac:dyDescent="0.35">
      <c r="A47" s="8">
        <v>44112</v>
      </c>
      <c r="B47" s="10">
        <v>28.41</v>
      </c>
      <c r="C47" s="10">
        <v>29.25</v>
      </c>
      <c r="D47" s="10">
        <v>27.99</v>
      </c>
      <c r="E47" s="10">
        <v>29.17</v>
      </c>
      <c r="F47" s="10">
        <v>29.17</v>
      </c>
      <c r="G47">
        <v>157800</v>
      </c>
      <c r="H47" s="10">
        <f>IF(tbl_AKRO[[#This Row],[Date]]=$A$5, $F47, EMA_Beta*$H46 + (1-EMA_Beta)*$F47)</f>
        <v>31.23706279595952</v>
      </c>
      <c r="I47" s="46">
        <f ca="1">IF(tbl_AKRO[[#This Row],[RS]]= "", "", 100-(100/(1+tbl_AKRO[[#This Row],[RS]])))</f>
        <v>17.347789824854061</v>
      </c>
      <c r="J47" s="10">
        <f ca="1">IF(ROW($N47)-4&lt;BB_Periods, "", AVERAGE(INDIRECT(ADDRESS(ROW($F47)-RSI_Periods +1, MATCH("Adj Close", Price_Header,0))): INDIRECT(ADDRESS(ROW($F47),MATCH("Adj Close", Price_Header,0)))))</f>
        <v>30.836428571428574</v>
      </c>
      <c r="K47" s="127">
        <f ca="1">IF(tbl_AKRO[[#This Row],[BB_Mean]]="", "", tbl_AKRO[[#This Row],[BB_Mean]]+(BB_Width*tbl_AKRO[[#This Row],[BB_Stdev]]))</f>
        <v>34.633695662724286</v>
      </c>
      <c r="L47" s="127">
        <f ca="1">IF(tbl_AKRO[[#This Row],[BB_Mean]]="", "", tbl_AKRO[[#This Row],[BB_Mean]]-(BB_Width*tbl_AKRO[[#This Row],[BB_Stdev]]))</f>
        <v>27.039161480132865</v>
      </c>
      <c r="M47" s="46">
        <f>IF(ROW(tbl_AKRO[[#This Row],[Adj Close]])=5, 0, $F47-$F46)</f>
        <v>0.43000000000000327</v>
      </c>
      <c r="N47" s="46">
        <f>MAX(tbl_AKRO[[#This Row],[Move]],0)</f>
        <v>0.43000000000000327</v>
      </c>
      <c r="O47" s="46">
        <f>MAX(-tbl_AKRO[[#This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0.14857142857142872</v>
      </c>
      <c r="Q47" s="46">
        <f ca="1">IF(ROW($O47)-5&lt;RSI_Periods, "", AVERAGE(INDIRECT(ADDRESS(ROW($O47)-RSI_Periods +1, MATCH("Downmove", Price_Header,0))): INDIRECT(ADDRESS(ROW($O47),MATCH("Downmove", Price_Header,0)))))</f>
        <v>0.70785714285714285</v>
      </c>
      <c r="R47" s="46">
        <f ca="1">IF(tbl_AKRO[[#This Row],[Avg_Upmove]]="", "", tbl_AKRO[[#This Row],[Avg_Upmove]]/tbl_AKRO[[#This Row],[Avg_Downmove]])</f>
        <v>0.20988900100908195</v>
      </c>
      <c r="S47" s="10">
        <f ca="1">IF(ROW($N47)-4&lt;BB_Periods, "", _xlfn.STDEV.S(INDIRECT(ADDRESS(ROW($F47)-RSI_Periods +1, MATCH("Adj Close", Price_Header,0))): INDIRECT(ADDRESS(ROW($F47),MATCH("Adj Close", Price_Header,0)))))</f>
        <v>1.8986335456478545</v>
      </c>
    </row>
    <row r="48" spans="1:19" x14ac:dyDescent="0.35">
      <c r="A48" s="8">
        <v>44113</v>
      </c>
      <c r="B48" s="10">
        <v>29.3</v>
      </c>
      <c r="C48" s="10">
        <v>29.32</v>
      </c>
      <c r="D48" s="10">
        <v>28.49</v>
      </c>
      <c r="E48" s="10">
        <v>28.81</v>
      </c>
      <c r="F48" s="10">
        <v>28.81</v>
      </c>
      <c r="G48">
        <v>170100</v>
      </c>
      <c r="H48" s="10">
        <f>IF(tbl_AKRO[[#This Row],[Date]]=$A$5, $F48, EMA_Beta*$H47 + (1-EMA_Beta)*$F48)</f>
        <v>30.99435651636357</v>
      </c>
      <c r="I48" s="46">
        <f ca="1">IF(tbl_AKRO[[#This Row],[RS]]= "", "", 100-(100/(1+tbl_AKRO[[#This Row],[RS]])))</f>
        <v>20.194174757281559</v>
      </c>
      <c r="J48" s="10">
        <f ca="1">IF(ROW($N48)-4&lt;BB_Periods, "", AVERAGE(INDIRECT(ADDRESS(ROW($F48)-RSI_Periods +1, MATCH("Adj Close", Price_Header,0))): INDIRECT(ADDRESS(ROW($F48),MATCH("Adj Close", Price_Header,0)))))</f>
        <v>30.397857142857141</v>
      </c>
      <c r="K48" s="127">
        <f ca="1">IF(tbl_AKRO[[#This Row],[BB_Mean]]="", "", tbl_AKRO[[#This Row],[BB_Mean]]+(BB_Width*tbl_AKRO[[#This Row],[BB_Stdev]]))</f>
        <v>33.503912554433086</v>
      </c>
      <c r="L48" s="127">
        <f ca="1">IF(tbl_AKRO[[#This Row],[BB_Mean]]="", "", tbl_AKRO[[#This Row],[BB_Mean]]-(BB_Width*tbl_AKRO[[#This Row],[BB_Stdev]]))</f>
        <v>27.291801731281197</v>
      </c>
      <c r="M48" s="46">
        <f>IF(ROW(tbl_AKRO[[#This Row],[Adj Close]])=5, 0, $F48-$F47)</f>
        <v>-0.36000000000000298</v>
      </c>
      <c r="N48" s="46">
        <f>MAX(tbl_AKRO[[#This Row],[Move]],0)</f>
        <v>0</v>
      </c>
      <c r="O48" s="46">
        <f>MAX(-tbl_AKRO[[#This Row],[Move]],0)</f>
        <v>0.36000000000000298</v>
      </c>
      <c r="P48" s="46">
        <f ca="1">IF(ROW($N48)-5&lt;RSI_Periods, "", AVERAGE(INDIRECT(ADDRESS(ROW($N48)-RSI_Periods +1, MATCH("Upmove", Price_Header,0))): INDIRECT(ADDRESS(ROW($N48),MATCH("Upmove", Price_Header,0)))))</f>
        <v>0.14857142857142872</v>
      </c>
      <c r="Q48" s="46">
        <f ca="1">IF(ROW($O48)-5&lt;RSI_Periods, "", AVERAGE(INDIRECT(ADDRESS(ROW($O48)-RSI_Periods +1, MATCH("Downmove", Price_Header,0))): INDIRECT(ADDRESS(ROW($O48),MATCH("Downmove", Price_Header,0)))))</f>
        <v>0.58714285714285752</v>
      </c>
      <c r="R48" s="46">
        <f ca="1">IF(tbl_AKRO[[#This Row],[Avg_Upmove]]="", "", tbl_AKRO[[#This Row],[Avg_Upmove]]/tbl_AKRO[[#This Row],[Avg_Downmove]])</f>
        <v>0.2530413625304137</v>
      </c>
      <c r="S48" s="10">
        <f ca="1">IF(ROW($N48)-4&lt;BB_Periods, "", _xlfn.STDEV.S(INDIRECT(ADDRESS(ROW($F48)-RSI_Periods +1, MATCH("Adj Close", Price_Header,0))): INDIRECT(ADDRESS(ROW($F48),MATCH("Adj Close", Price_Header,0)))))</f>
        <v>1.5530277057879731</v>
      </c>
    </row>
    <row r="49" spans="1:19" x14ac:dyDescent="0.35">
      <c r="A49" s="8">
        <v>44116</v>
      </c>
      <c r="B49" s="10">
        <v>28.84</v>
      </c>
      <c r="C49" s="10">
        <v>29.18</v>
      </c>
      <c r="D49" s="10">
        <v>28.5</v>
      </c>
      <c r="E49" s="10">
        <v>28.93</v>
      </c>
      <c r="F49" s="10">
        <v>28.93</v>
      </c>
      <c r="G49">
        <v>366500</v>
      </c>
      <c r="H49" s="10">
        <f>IF(tbl_AKRO[[#This Row],[Date]]=$A$5, $F49, EMA_Beta*$H48 + (1-EMA_Beta)*$F49)</f>
        <v>30.787920864727216</v>
      </c>
      <c r="I49" s="46">
        <f ca="1">IF(tbl_AKRO[[#This Row],[RS]]= "", "", 100-(100/(1+tbl_AKRO[[#This Row],[RS]])))</f>
        <v>27.127003699136878</v>
      </c>
      <c r="J49" s="10">
        <f ca="1">IF(ROW($N49)-4&lt;BB_Periods, "", AVERAGE(INDIRECT(ADDRESS(ROW($F49)-RSI_Periods +1, MATCH("Adj Close", Price_Header,0))): INDIRECT(ADDRESS(ROW($F49),MATCH("Adj Close", Price_Header,0)))))</f>
        <v>30.132857142857144</v>
      </c>
      <c r="K49" s="127">
        <f ca="1">IF(tbl_AKRO[[#This Row],[BB_Mean]]="", "", tbl_AKRO[[#This Row],[BB_Mean]]+(BB_Width*tbl_AKRO[[#This Row],[BB_Stdev]]))</f>
        <v>33.041670578675195</v>
      </c>
      <c r="L49" s="127">
        <f ca="1">IF(tbl_AKRO[[#This Row],[BB_Mean]]="", "", tbl_AKRO[[#This Row],[BB_Mean]]-(BB_Width*tbl_AKRO[[#This Row],[BB_Stdev]]))</f>
        <v>27.224043707039094</v>
      </c>
      <c r="M49" s="46">
        <f>IF(ROW(tbl_AKRO[[#This Row],[Adj Close]])=5, 0, $F49-$F48)</f>
        <v>0.12000000000000099</v>
      </c>
      <c r="N49" s="46">
        <f>MAX(tbl_AKRO[[#This Row],[Move]],0)</f>
        <v>0.12000000000000099</v>
      </c>
      <c r="O49" s="46">
        <f>MAX(-tbl_AKRO[[#This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0.15714285714285733</v>
      </c>
      <c r="Q49" s="46">
        <f ca="1">IF(ROW($O49)-5&lt;RSI_Periods, "", AVERAGE(INDIRECT(ADDRESS(ROW($O49)-RSI_Periods +1, MATCH("Downmove", Price_Header,0))): INDIRECT(ADDRESS(ROW($O49),MATCH("Downmove", Price_Header,0)))))</f>
        <v>0.42214285714285743</v>
      </c>
      <c r="R49" s="46">
        <f ca="1">IF(tbl_AKRO[[#This Row],[Avg_Upmove]]="", "", tbl_AKRO[[#This Row],[Avg_Upmove]]/tbl_AKRO[[#This Row],[Avg_Downmove]])</f>
        <v>0.37225042301184452</v>
      </c>
      <c r="S49" s="10">
        <f ca="1">IF(ROW($N49)-4&lt;BB_Periods, "", _xlfn.STDEV.S(INDIRECT(ADDRESS(ROW($F49)-RSI_Periods +1, MATCH("Adj Close", Price_Header,0))): INDIRECT(ADDRESS(ROW($F49),MATCH("Adj Close", Price_Header,0)))))</f>
        <v>1.454406717909025</v>
      </c>
    </row>
    <row r="50" spans="1:19" x14ac:dyDescent="0.35">
      <c r="A50" s="8">
        <v>44117</v>
      </c>
      <c r="B50" s="10">
        <v>28.82</v>
      </c>
      <c r="C50" s="10">
        <v>29.75</v>
      </c>
      <c r="D50" s="10">
        <v>28.82</v>
      </c>
      <c r="E50" s="10">
        <v>29.44</v>
      </c>
      <c r="F50" s="10">
        <v>29.44</v>
      </c>
      <c r="G50">
        <v>170800</v>
      </c>
      <c r="H50" s="10">
        <f>IF(tbl_AKRO[[#This Row],[Date]]=$A$5, $F50, EMA_Beta*$H49 + (1-EMA_Beta)*$F50)</f>
        <v>30.653128778254494</v>
      </c>
      <c r="I50" s="46">
        <f ca="1">IF(tbl_AKRO[[#This Row],[RS]]= "", "", 100-(100/(1+tbl_AKRO[[#This Row],[RS]])))</f>
        <v>34.174022698612887</v>
      </c>
      <c r="J50" s="10">
        <f ca="1">IF(ROW($N50)-4&lt;BB_Periods, "", AVERAGE(INDIRECT(ADDRESS(ROW($F50)-RSI_Periods +1, MATCH("Adj Close", Price_Header,0))): INDIRECT(ADDRESS(ROW($F50),MATCH("Adj Close", Price_Header,0)))))</f>
        <v>29.953571428571429</v>
      </c>
      <c r="K50" s="127">
        <f ca="1">IF(tbl_AKRO[[#This Row],[BB_Mean]]="", "", tbl_AKRO[[#This Row],[BB_Mean]]+(BB_Width*tbl_AKRO[[#This Row],[BB_Stdev]]))</f>
        <v>32.683852982301261</v>
      </c>
      <c r="L50" s="127">
        <f ca="1">IF(tbl_AKRO[[#This Row],[BB_Mean]]="", "", tbl_AKRO[[#This Row],[BB_Mean]]-(BB_Width*tbl_AKRO[[#This Row],[BB_Stdev]]))</f>
        <v>27.223289874841601</v>
      </c>
      <c r="M50" s="46">
        <f>IF(ROW(tbl_AKRO[[#This Row],[Adj Close]])=5, 0, $F50-$F49)</f>
        <v>0.51000000000000156</v>
      </c>
      <c r="N50" s="46">
        <f>MAX(tbl_AKRO[[#This Row],[Move]],0)</f>
        <v>0.51000000000000156</v>
      </c>
      <c r="O50" s="46">
        <f>MAX(-tbl_AKRO[[#This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0.19357142857142889</v>
      </c>
      <c r="Q50" s="46">
        <f ca="1">IF(ROW($O50)-5&lt;RSI_Periods, "", AVERAGE(INDIRECT(ADDRESS(ROW($O50)-RSI_Periods +1, MATCH("Downmove", Price_Header,0))): INDIRECT(ADDRESS(ROW($O50),MATCH("Downmove", Price_Header,0)))))</f>
        <v>0.37285714285714305</v>
      </c>
      <c r="R50" s="46">
        <f ca="1">IF(tbl_AKRO[[#This Row],[Avg_Upmove]]="", "", tbl_AKRO[[#This Row],[Avg_Upmove]]/tbl_AKRO[[#This Row],[Avg_Downmove]])</f>
        <v>0.51915708812260597</v>
      </c>
      <c r="S50" s="10">
        <f ca="1">IF(ROW($N50)-4&lt;BB_Periods, "", _xlfn.STDEV.S(INDIRECT(ADDRESS(ROW($F50)-RSI_Periods +1, MATCH("Adj Close", Price_Header,0))): INDIRECT(ADDRESS(ROW($F50),MATCH("Adj Close", Price_Header,0)))))</f>
        <v>1.3651407768649142</v>
      </c>
    </row>
    <row r="51" spans="1:19" x14ac:dyDescent="0.35">
      <c r="A51" s="8">
        <v>44118</v>
      </c>
      <c r="B51" s="10">
        <v>29.47</v>
      </c>
      <c r="C51" s="10">
        <v>29.75</v>
      </c>
      <c r="D51" s="10">
        <v>28.47</v>
      </c>
      <c r="E51" s="10">
        <v>28.56</v>
      </c>
      <c r="F51" s="10">
        <v>28.56</v>
      </c>
      <c r="G51">
        <v>184900</v>
      </c>
      <c r="H51" s="10">
        <f>IF(tbl_AKRO[[#This Row],[Date]]=$A$5, $F51, EMA_Beta*$H50 + (1-EMA_Beta)*$F51)</f>
        <v>30.443815900429044</v>
      </c>
      <c r="I51" s="46">
        <f ca="1">IF(tbl_AKRO[[#This Row],[RS]]= "", "", 100-(100/(1+tbl_AKRO[[#This Row],[RS]])))</f>
        <v>29.152148664343812</v>
      </c>
      <c r="J51" s="10">
        <f ca="1">IF(ROW($N51)-4&lt;BB_Periods, "", AVERAGE(INDIRECT(ADDRESS(ROW($F51)-RSI_Periods +1, MATCH("Adj Close", Price_Header,0))): INDIRECT(ADDRESS(ROW($F51),MATCH("Adj Close", Price_Header,0)))))</f>
        <v>29.697142857142861</v>
      </c>
      <c r="K51" s="127">
        <f ca="1">IF(tbl_AKRO[[#This Row],[BB_Mean]]="", "", tbl_AKRO[[#This Row],[BB_Mean]]+(BB_Width*tbl_AKRO[[#This Row],[BB_Stdev]]))</f>
        <v>32.204000265519745</v>
      </c>
      <c r="L51" s="127">
        <f ca="1">IF(tbl_AKRO[[#This Row],[BB_Mean]]="", "", tbl_AKRO[[#This Row],[BB_Mean]]-(BB_Width*tbl_AKRO[[#This Row],[BB_Stdev]]))</f>
        <v>27.190285448765977</v>
      </c>
      <c r="M51" s="46">
        <f>IF(ROW(tbl_AKRO[[#This Row],[Adj Close]])=5, 0, $F51-$F50)</f>
        <v>-0.88000000000000256</v>
      </c>
      <c r="N51" s="46">
        <f>MAX(tbl_AKRO[[#This Row],[Move]],0)</f>
        <v>0</v>
      </c>
      <c r="O51" s="46">
        <f>MAX(-tbl_AKRO[[#This Row],[Move]],0)</f>
        <v>0.88000000000000256</v>
      </c>
      <c r="P51" s="46">
        <f ca="1">IF(ROW($N51)-5&lt;RSI_Periods, "", AVERAGE(INDIRECT(ADDRESS(ROW($N51)-RSI_Periods +1, MATCH("Upmove", Price_Header,0))): INDIRECT(ADDRESS(ROW($N51),MATCH("Upmove", Price_Header,0)))))</f>
        <v>0.17928571428571466</v>
      </c>
      <c r="Q51" s="46">
        <f ca="1">IF(ROW($O51)-5&lt;RSI_Periods, "", AVERAGE(INDIRECT(ADDRESS(ROW($O51)-RSI_Periods +1, MATCH("Downmove", Price_Header,0))): INDIRECT(ADDRESS(ROW($O51),MATCH("Downmove", Price_Header,0)))))</f>
        <v>0.43571428571428605</v>
      </c>
      <c r="R51" s="46">
        <f ca="1">IF(tbl_AKRO[[#This Row],[Avg_Upmove]]="", "", tbl_AKRO[[#This Row],[Avg_Upmove]]/tbl_AKRO[[#This Row],[Avg_Downmove]])</f>
        <v>0.41147540983606612</v>
      </c>
      <c r="S51" s="10">
        <f ca="1">IF(ROW($N51)-4&lt;BB_Periods, "", _xlfn.STDEV.S(INDIRECT(ADDRESS(ROW($F51)-RSI_Periods +1, MATCH("Adj Close", Price_Header,0))): INDIRECT(ADDRESS(ROW($F51),MATCH("Adj Close", Price_Header,0)))))</f>
        <v>1.2534287041884427</v>
      </c>
    </row>
    <row r="52" spans="1:19" x14ac:dyDescent="0.35">
      <c r="A52" s="8">
        <v>44119</v>
      </c>
      <c r="B52" s="10">
        <v>28.5</v>
      </c>
      <c r="C52" s="10">
        <v>28.5</v>
      </c>
      <c r="D52" s="10">
        <v>27.15</v>
      </c>
      <c r="E52" s="10">
        <v>27.85</v>
      </c>
      <c r="F52" s="10">
        <v>27.85</v>
      </c>
      <c r="G52">
        <v>120900</v>
      </c>
      <c r="H52" s="10">
        <f>IF(tbl_AKRO[[#This Row],[Date]]=$A$5, $F52, EMA_Beta*$H51 + (1-EMA_Beta)*$F52)</f>
        <v>30.184434310386141</v>
      </c>
      <c r="I52" s="46">
        <f ca="1">IF(tbl_AKRO[[#This Row],[RS]]= "", "", 100-(100/(1+tbl_AKRO[[#This Row],[RS]])))</f>
        <v>26.989247311827981</v>
      </c>
      <c r="J52" s="10">
        <f ca="1">IF(ROW($N52)-4&lt;BB_Periods, "", AVERAGE(INDIRECT(ADDRESS(ROW($F52)-RSI_Periods +1, MATCH("Adj Close", Price_Header,0))): INDIRECT(ADDRESS(ROW($F52),MATCH("Adj Close", Price_Header,0)))))</f>
        <v>29.391428571428577</v>
      </c>
      <c r="K52" s="127">
        <f ca="1">IF(tbl_AKRO[[#This Row],[BB_Mean]]="", "", tbl_AKRO[[#This Row],[BB_Mean]]+(BB_Width*tbl_AKRO[[#This Row],[BB_Stdev]]))</f>
        <v>31.652046011154106</v>
      </c>
      <c r="L52" s="127">
        <f ca="1">IF(tbl_AKRO[[#This Row],[BB_Mean]]="", "", tbl_AKRO[[#This Row],[BB_Mean]]-(BB_Width*tbl_AKRO[[#This Row],[BB_Stdev]]))</f>
        <v>27.130811131703048</v>
      </c>
      <c r="M52" s="46">
        <f>IF(ROW(tbl_AKRO[[#This Row],[Adj Close]])=5, 0, $F52-$F51)</f>
        <v>-0.7099999999999973</v>
      </c>
      <c r="N52" s="46">
        <f>MAX(tbl_AKRO[[#This Row],[Move]],0)</f>
        <v>0</v>
      </c>
      <c r="O52" s="46">
        <f>MAX(-tbl_AKRO[[#This Row],[Move]],0)</f>
        <v>0.7099999999999973</v>
      </c>
      <c r="P52" s="46">
        <f ca="1">IF(ROW($N52)-5&lt;RSI_Periods, "", AVERAGE(INDIRECT(ADDRESS(ROW($N52)-RSI_Periods +1, MATCH("Upmove", Price_Header,0))): INDIRECT(ADDRESS(ROW($N52),MATCH("Upmove", Price_Header,0)))))</f>
        <v>0.17928571428571466</v>
      </c>
      <c r="Q52" s="46">
        <f ca="1">IF(ROW($O52)-5&lt;RSI_Periods, "", AVERAGE(INDIRECT(ADDRESS(ROW($O52)-RSI_Periods +1, MATCH("Downmove", Price_Header,0))): INDIRECT(ADDRESS(ROW($O52),MATCH("Downmove", Price_Header,0)))))</f>
        <v>0.48500000000000043</v>
      </c>
      <c r="R52" s="46">
        <f ca="1">IF(tbl_AKRO[[#This Row],[Avg_Upmove]]="", "", tbl_AKRO[[#This Row],[Avg_Upmove]]/tbl_AKRO[[#This Row],[Avg_Downmove]])</f>
        <v>0.36966126656848353</v>
      </c>
      <c r="S52" s="10">
        <f ca="1">IF(ROW($N52)-4&lt;BB_Periods, "", _xlfn.STDEV.S(INDIRECT(ADDRESS(ROW($F52)-RSI_Periods +1, MATCH("Adj Close", Price_Header,0))): INDIRECT(ADDRESS(ROW($F52),MATCH("Adj Close", Price_Header,0)))))</f>
        <v>1.130308719862765</v>
      </c>
    </row>
    <row r="53" spans="1:19" x14ac:dyDescent="0.35">
      <c r="A53" s="8">
        <v>44120</v>
      </c>
      <c r="B53" s="10">
        <v>27.96</v>
      </c>
      <c r="C53" s="10">
        <v>29.37</v>
      </c>
      <c r="D53" s="10">
        <v>27.39</v>
      </c>
      <c r="E53" s="10">
        <v>28.35</v>
      </c>
      <c r="F53" s="10">
        <v>28.35</v>
      </c>
      <c r="G53">
        <v>245200</v>
      </c>
      <c r="H53" s="10">
        <f>IF(tbl_AKRO[[#This Row],[Date]]=$A$5, $F53, EMA_Beta*$H52 + (1-EMA_Beta)*$F53)</f>
        <v>30.00099087934753</v>
      </c>
      <c r="I53" s="46">
        <f ca="1">IF(tbl_AKRO[[#This Row],[RS]]= "", "", 100-(100/(1+tbl_AKRO[[#This Row],[RS]])))</f>
        <v>32.575757575757592</v>
      </c>
      <c r="J53" s="10">
        <f ca="1">IF(ROW($N53)-4&lt;BB_Periods, "", AVERAGE(INDIRECT(ADDRESS(ROW($F53)-RSI_Periods +1, MATCH("Adj Close", Price_Header,0))): INDIRECT(ADDRESS(ROW($F53),MATCH("Adj Close", Price_Header,0)))))</f>
        <v>29.161428571428576</v>
      </c>
      <c r="K53" s="127">
        <f ca="1">IF(tbl_AKRO[[#This Row],[BB_Mean]]="", "", tbl_AKRO[[#This Row],[BB_Mean]]+(BB_Width*tbl_AKRO[[#This Row],[BB_Stdev]]))</f>
        <v>31.099434797390746</v>
      </c>
      <c r="L53" s="127">
        <f ca="1">IF(tbl_AKRO[[#This Row],[BB_Mean]]="", "", tbl_AKRO[[#This Row],[BB_Mean]]-(BB_Width*tbl_AKRO[[#This Row],[BB_Stdev]]))</f>
        <v>27.223422345466407</v>
      </c>
      <c r="M53" s="46">
        <f>IF(ROW(tbl_AKRO[[#This Row],[Adj Close]])=5, 0, $F53-$F52)</f>
        <v>0.5</v>
      </c>
      <c r="N53" s="46">
        <f>MAX(tbl_AKRO[[#This Row],[Move]],0)</f>
        <v>0.5</v>
      </c>
      <c r="O53" s="46">
        <f>MAX(-tbl_AKRO[[#This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0.21500000000000036</v>
      </c>
      <c r="Q53" s="46">
        <f ca="1">IF(ROW($O53)-5&lt;RSI_Periods, "", AVERAGE(INDIRECT(ADDRESS(ROW($O53)-RSI_Periods +1, MATCH("Downmove", Price_Header,0))): INDIRECT(ADDRESS(ROW($O53),MATCH("Downmove", Price_Header,0)))))</f>
        <v>0.44500000000000028</v>
      </c>
      <c r="R53" s="46">
        <f ca="1">IF(tbl_AKRO[[#This Row],[Avg_Upmove]]="", "", tbl_AKRO[[#This Row],[Avg_Upmove]]/tbl_AKRO[[#This Row],[Avg_Downmove]])</f>
        <v>0.48314606741573085</v>
      </c>
      <c r="S53" s="10">
        <f ca="1">IF(ROW($N53)-4&lt;BB_Periods, "", _xlfn.STDEV.S(INDIRECT(ADDRESS(ROW($F53)-RSI_Periods +1, MATCH("Adj Close", Price_Header,0))): INDIRECT(ADDRESS(ROW($F53),MATCH("Adj Close", Price_Header,0)))))</f>
        <v>0.96900311298108477</v>
      </c>
    </row>
    <row r="54" spans="1:19" x14ac:dyDescent="0.35">
      <c r="A54" s="8">
        <v>44123</v>
      </c>
      <c r="B54" s="10">
        <v>28.52</v>
      </c>
      <c r="C54" s="10">
        <v>28.57</v>
      </c>
      <c r="D54" s="10">
        <v>27.06</v>
      </c>
      <c r="E54" s="10">
        <v>27.4</v>
      </c>
      <c r="F54" s="10">
        <v>27.4</v>
      </c>
      <c r="G54">
        <v>318600</v>
      </c>
      <c r="H54" s="10">
        <f>IF(tbl_AKRO[[#This Row],[Date]]=$A$5, $F54, EMA_Beta*$H53 + (1-EMA_Beta)*$F54)</f>
        <v>29.740891791412775</v>
      </c>
      <c r="I54" s="46">
        <f ca="1">IF(tbl_AKRO[[#This Row],[RS]]= "", "", 100-(100/(1+tbl_AKRO[[#This Row],[RS]])))</f>
        <v>30.130130130130141</v>
      </c>
      <c r="J54" s="10">
        <f ca="1">IF(ROW($N54)-4&lt;BB_Periods, "", AVERAGE(INDIRECT(ADDRESS(ROW($F54)-RSI_Periods +1, MATCH("Adj Close", Price_Header,0))): INDIRECT(ADDRESS(ROW($F54),MATCH("Adj Close", Price_Header,0)))))</f>
        <v>28.877857142857145</v>
      </c>
      <c r="K54" s="127">
        <f ca="1">IF(tbl_AKRO[[#This Row],[BB_Mean]]="", "", tbl_AKRO[[#This Row],[BB_Mean]]+(BB_Width*tbl_AKRO[[#This Row],[BB_Stdev]]))</f>
        <v>30.569977861799067</v>
      </c>
      <c r="L54" s="127">
        <f ca="1">IF(tbl_AKRO[[#This Row],[BB_Mean]]="", "", tbl_AKRO[[#This Row],[BB_Mean]]-(BB_Width*tbl_AKRO[[#This Row],[BB_Stdev]]))</f>
        <v>27.185736423915223</v>
      </c>
      <c r="M54" s="46">
        <f>IF(ROW(tbl_AKRO[[#This Row],[Adj Close]])=5, 0, $F54-$F53)</f>
        <v>-0.95000000000000284</v>
      </c>
      <c r="N54" s="46">
        <f>MAX(tbl_AKRO[[#This Row],[Move]],0)</f>
        <v>0</v>
      </c>
      <c r="O54" s="46">
        <f>MAX(-tbl_AKRO[[#This Row],[Move]],0)</f>
        <v>0.95000000000000284</v>
      </c>
      <c r="P54" s="46">
        <f ca="1">IF(ROW($N54)-5&lt;RSI_Periods, "", AVERAGE(INDIRECT(ADDRESS(ROW($N54)-RSI_Periods +1, MATCH("Upmove", Price_Header,0))): INDIRECT(ADDRESS(ROW($N54),MATCH("Upmove", Price_Header,0)))))</f>
        <v>0.21500000000000036</v>
      </c>
      <c r="Q54" s="46">
        <f ca="1">IF(ROW($O54)-5&lt;RSI_Periods, "", AVERAGE(INDIRECT(ADDRESS(ROW($O54)-RSI_Periods +1, MATCH("Downmove", Price_Header,0))): INDIRECT(ADDRESS(ROW($O54),MATCH("Downmove", Price_Header,0)))))</f>
        <v>0.49857142857142911</v>
      </c>
      <c r="R54" s="46">
        <f ca="1">IF(tbl_AKRO[[#This Row],[Avg_Upmove]]="", "", tbl_AKRO[[#This Row],[Avg_Upmove]]/tbl_AKRO[[#This Row],[Avg_Downmove]])</f>
        <v>0.43123209169054466</v>
      </c>
      <c r="S54" s="10">
        <f ca="1">IF(ROW($N54)-4&lt;BB_Periods, "", _xlfn.STDEV.S(INDIRECT(ADDRESS(ROW($F54)-RSI_Periods +1, MATCH("Adj Close", Price_Header,0))): INDIRECT(ADDRESS(ROW($F54),MATCH("Adj Close", Price_Header,0)))))</f>
        <v>0.84606035947096103</v>
      </c>
    </row>
    <row r="55" spans="1:19" x14ac:dyDescent="0.35">
      <c r="A55" s="8">
        <v>44124</v>
      </c>
      <c r="B55" s="10">
        <v>27.56</v>
      </c>
      <c r="C55" s="10">
        <v>27.62</v>
      </c>
      <c r="D55" s="10">
        <v>26.05</v>
      </c>
      <c r="E55" s="10">
        <v>26.64</v>
      </c>
      <c r="F55" s="10">
        <v>26.64</v>
      </c>
      <c r="G55">
        <v>230500</v>
      </c>
      <c r="H55" s="10">
        <f>IF(tbl_AKRO[[#This Row],[Date]]=$A$5, $F55, EMA_Beta*$H54 + (1-EMA_Beta)*$F55)</f>
        <v>29.430802612271496</v>
      </c>
      <c r="I55" s="46">
        <f ca="1">IF(tbl_AKRO[[#This Row],[RS]]= "", "", 100-(100/(1+tbl_AKRO[[#This Row],[RS]])))</f>
        <v>29.59685349065883</v>
      </c>
      <c r="J55" s="10">
        <f ca="1">IF(ROW($N55)-4&lt;BB_Periods, "", AVERAGE(INDIRECT(ADDRESS(ROW($F55)-RSI_Periods +1, MATCH("Adj Close", Price_Header,0))): INDIRECT(ADDRESS(ROW($F55),MATCH("Adj Close", Price_Header,0)))))</f>
        <v>28.581428571428575</v>
      </c>
      <c r="K55" s="127">
        <f ca="1">IF(tbl_AKRO[[#This Row],[BB_Mean]]="", "", tbl_AKRO[[#This Row],[BB_Mean]]+(BB_Width*tbl_AKRO[[#This Row],[BB_Stdev]]))</f>
        <v>30.284563366994718</v>
      </c>
      <c r="L55" s="127">
        <f ca="1">IF(tbl_AKRO[[#This Row],[BB_Mean]]="", "", tbl_AKRO[[#This Row],[BB_Mean]]-(BB_Width*tbl_AKRO[[#This Row],[BB_Stdev]]))</f>
        <v>26.878293775862431</v>
      </c>
      <c r="M55" s="46">
        <f>IF(ROW(tbl_AKRO[[#This Row],[Adj Close]])=5, 0, $F55-$F54)</f>
        <v>-0.75999999999999801</v>
      </c>
      <c r="N55" s="46">
        <f>MAX(tbl_AKRO[[#This Row],[Move]],0)</f>
        <v>0</v>
      </c>
      <c r="O55" s="46">
        <f>MAX(-tbl_AKRO[[#This Row],[Move]],0)</f>
        <v>0.75999999999999801</v>
      </c>
      <c r="P55" s="46">
        <f ca="1">IF(ROW($N55)-5&lt;RSI_Periods, "", AVERAGE(INDIRECT(ADDRESS(ROW($N55)-RSI_Periods +1, MATCH("Upmove", Price_Header,0))): INDIRECT(ADDRESS(ROW($N55),MATCH("Upmove", Price_Header,0)))))</f>
        <v>0.21500000000000036</v>
      </c>
      <c r="Q55" s="46">
        <f ca="1">IF(ROW($O55)-5&lt;RSI_Periods, "", AVERAGE(INDIRECT(ADDRESS(ROW($O55)-RSI_Periods +1, MATCH("Downmove", Price_Header,0))): INDIRECT(ADDRESS(ROW($O55),MATCH("Downmove", Price_Header,0)))))</f>
        <v>0.51142857142857168</v>
      </c>
      <c r="R55" s="46">
        <f ca="1">IF(tbl_AKRO[[#This Row],[Avg_Upmove]]="", "", tbl_AKRO[[#This Row],[Avg_Upmove]]/tbl_AKRO[[#This Row],[Avg_Downmove]])</f>
        <v>0.42039106145251448</v>
      </c>
      <c r="S55" s="10">
        <f ca="1">IF(ROW($N55)-4&lt;BB_Periods, "", _xlfn.STDEV.S(INDIRECT(ADDRESS(ROW($F55)-RSI_Periods +1, MATCH("Adj Close", Price_Header,0))): INDIRECT(ADDRESS(ROW($F55),MATCH("Adj Close", Price_Header,0)))))</f>
        <v>0.85156739778307211</v>
      </c>
    </row>
    <row r="56" spans="1:19" x14ac:dyDescent="0.35">
      <c r="A56" s="8">
        <v>44125</v>
      </c>
      <c r="B56" s="10">
        <v>27.04</v>
      </c>
      <c r="C56" s="10">
        <v>27.04</v>
      </c>
      <c r="D56" s="10">
        <v>25.62</v>
      </c>
      <c r="E56" s="10">
        <v>25.8</v>
      </c>
      <c r="F56" s="10">
        <v>25.8</v>
      </c>
      <c r="G56">
        <v>191300</v>
      </c>
      <c r="H56" s="10">
        <f>IF(tbl_AKRO[[#This Row],[Date]]=$A$5, $F56, EMA_Beta*$H55 + (1-EMA_Beta)*$F56)</f>
        <v>29.067722351044345</v>
      </c>
      <c r="I56" s="46">
        <f ca="1">IF(tbl_AKRO[[#This Row],[RS]]= "", "", 100-(100/(1+tbl_AKRO[[#This Row],[RS]])))</f>
        <v>32.021276595744695</v>
      </c>
      <c r="J56" s="10">
        <f ca="1">IF(ROW($N56)-4&lt;BB_Periods, "", AVERAGE(INDIRECT(ADDRESS(ROW($F56)-RSI_Periods +1, MATCH("Adj Close", Price_Header,0))): INDIRECT(ADDRESS(ROW($F56),MATCH("Adj Close", Price_Header,0)))))</f>
        <v>28.34</v>
      </c>
      <c r="K56" s="127">
        <f ca="1">IF(tbl_AKRO[[#This Row],[BB_Mean]]="", "", tbl_AKRO[[#This Row],[BB_Mean]]+(BB_Width*tbl_AKRO[[#This Row],[BB_Stdev]]))</f>
        <v>30.558051813225706</v>
      </c>
      <c r="L56" s="127">
        <f ca="1">IF(tbl_AKRO[[#This Row],[BB_Mean]]="", "", tbl_AKRO[[#This Row],[BB_Mean]]-(BB_Width*tbl_AKRO[[#This Row],[BB_Stdev]]))</f>
        <v>26.121948186774294</v>
      </c>
      <c r="M56" s="46">
        <f>IF(ROW(tbl_AKRO[[#This Row],[Adj Close]])=5, 0, $F56-$F55)</f>
        <v>-0.83999999999999986</v>
      </c>
      <c r="N56" s="46">
        <f>MAX(tbl_AKRO[[#This Row],[Move]],0)</f>
        <v>0</v>
      </c>
      <c r="O56" s="46">
        <f>MAX(-tbl_AKRO[[#This Row],[Move]],0)</f>
        <v>0.83999999999999986</v>
      </c>
      <c r="P56" s="46">
        <f ca="1">IF(ROW($N56)-5&lt;RSI_Periods, "", AVERAGE(INDIRECT(ADDRESS(ROW($N56)-RSI_Periods +1, MATCH("Upmove", Price_Header,0))): INDIRECT(ADDRESS(ROW($N56),MATCH("Upmove", Price_Header,0)))))</f>
        <v>0.21500000000000036</v>
      </c>
      <c r="Q56" s="46">
        <f ca="1">IF(ROW($O56)-5&lt;RSI_Periods, "", AVERAGE(INDIRECT(ADDRESS(ROW($O56)-RSI_Periods +1, MATCH("Downmove", Price_Header,0))): INDIRECT(ADDRESS(ROW($O56),MATCH("Downmove", Price_Header,0)))))</f>
        <v>0.45642857142857174</v>
      </c>
      <c r="R56" s="46">
        <f ca="1">IF(tbl_AKRO[[#This Row],[Avg_Upmove]]="", "", tbl_AKRO[[#This Row],[Avg_Upmove]]/tbl_AKRO[[#This Row],[Avg_Downmove]])</f>
        <v>0.4710485133020349</v>
      </c>
      <c r="S56" s="10">
        <f ca="1">IF(ROW($N56)-4&lt;BB_Periods, "", _xlfn.STDEV.S(INDIRECT(ADDRESS(ROW($F56)-RSI_Periods +1, MATCH("Adj Close", Price_Header,0))): INDIRECT(ADDRESS(ROW($F56),MATCH("Adj Close", Price_Header,0)))))</f>
        <v>1.1090259066128534</v>
      </c>
    </row>
    <row r="57" spans="1:19" x14ac:dyDescent="0.35">
      <c r="A57" s="8">
        <v>44126</v>
      </c>
      <c r="B57" s="10">
        <v>25.67</v>
      </c>
      <c r="C57" s="10">
        <v>26.5</v>
      </c>
      <c r="D57" s="10">
        <v>25.5</v>
      </c>
      <c r="E57" s="10">
        <v>25.81</v>
      </c>
      <c r="F57" s="10">
        <v>25.81</v>
      </c>
      <c r="G57">
        <v>126500</v>
      </c>
      <c r="H57" s="10">
        <f>IF(tbl_AKRO[[#This Row],[Date]]=$A$5, $F57, EMA_Beta*$H56 + (1-EMA_Beta)*$F57)</f>
        <v>28.741950115939911</v>
      </c>
      <c r="I57" s="46">
        <f ca="1">IF(tbl_AKRO[[#This Row],[RS]]= "", "", 100-(100/(1+tbl_AKRO[[#This Row],[RS]])))</f>
        <v>32.754880694143182</v>
      </c>
      <c r="J57" s="10">
        <f ca="1">IF(ROW($N57)-4&lt;BB_Periods, "", AVERAGE(INDIRECT(ADDRESS(ROW($F57)-RSI_Periods +1, MATCH("Adj Close", Price_Header,0))): INDIRECT(ADDRESS(ROW($F57),MATCH("Adj Close", Price_Header,0)))))</f>
        <v>28.112857142857141</v>
      </c>
      <c r="K57" s="127">
        <f ca="1">IF(tbl_AKRO[[#This Row],[BB_Mean]]="", "", tbl_AKRO[[#This Row],[BB_Mean]]+(BB_Width*tbl_AKRO[[#This Row],[BB_Stdev]]))</f>
        <v>30.669615048684555</v>
      </c>
      <c r="L57" s="127">
        <f ca="1">IF(tbl_AKRO[[#This Row],[BB_Mean]]="", "", tbl_AKRO[[#This Row],[BB_Mean]]-(BB_Width*tbl_AKRO[[#This Row],[BB_Stdev]]))</f>
        <v>25.556099237029727</v>
      </c>
      <c r="M57" s="46">
        <f>IF(ROW(tbl_AKRO[[#This Row],[Adj Close]])=5, 0, $F57-$F56)</f>
        <v>9.9999999999980105E-3</v>
      </c>
      <c r="N57" s="46">
        <f>MAX(tbl_AKRO[[#This Row],[Move]],0)</f>
        <v>9.9999999999980105E-3</v>
      </c>
      <c r="O57" s="46">
        <f>MAX(-tbl_AKRO[[#This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0.21571428571428594</v>
      </c>
      <c r="Q57" s="46">
        <f ca="1">IF(ROW($O57)-5&lt;RSI_Periods, "", AVERAGE(INDIRECT(ADDRESS(ROW($O57)-RSI_Periods +1, MATCH("Downmove", Price_Header,0))): INDIRECT(ADDRESS(ROW($O57),MATCH("Downmove", Price_Header,0)))))</f>
        <v>0.44285714285714306</v>
      </c>
      <c r="R57" s="46">
        <f ca="1">IF(tbl_AKRO[[#This Row],[Avg_Upmove]]="", "", tbl_AKRO[[#This Row],[Avg_Upmove]]/tbl_AKRO[[#This Row],[Avg_Downmove]])</f>
        <v>0.48709677419354869</v>
      </c>
      <c r="S57" s="10">
        <f ca="1">IF(ROW($N57)-4&lt;BB_Periods, "", _xlfn.STDEV.S(INDIRECT(ADDRESS(ROW($F57)-RSI_Periods +1, MATCH("Adj Close", Price_Header,0))): INDIRECT(ADDRESS(ROW($F57),MATCH("Adj Close", Price_Header,0)))))</f>
        <v>1.2783789529137077</v>
      </c>
    </row>
    <row r="58" spans="1:19" x14ac:dyDescent="0.35">
      <c r="A58" s="8">
        <v>44127</v>
      </c>
      <c r="B58" s="10">
        <v>26.04</v>
      </c>
      <c r="C58" s="10">
        <v>26.47</v>
      </c>
      <c r="D58" s="10">
        <v>25.74</v>
      </c>
      <c r="E58" s="10">
        <v>26.24</v>
      </c>
      <c r="F58" s="10">
        <v>26.24</v>
      </c>
      <c r="G58">
        <v>115100</v>
      </c>
      <c r="H58" s="10">
        <f>IF(tbl_AKRO[[#This Row],[Date]]=$A$5, $F58, EMA_Beta*$H57 + (1-EMA_Beta)*$F58)</f>
        <v>28.49175510434592</v>
      </c>
      <c r="I58" s="46">
        <f ca="1">IF(tbl_AKRO[[#This Row],[RS]]= "", "", 100-(100/(1+tbl_AKRO[[#This Row],[RS]])))</f>
        <v>29.142857142857139</v>
      </c>
      <c r="J58" s="10">
        <f ca="1">IF(ROW($N58)-4&lt;BB_Periods, "", AVERAGE(INDIRECT(ADDRESS(ROW($F58)-RSI_Periods +1, MATCH("Adj Close", Price_Header,0))): INDIRECT(ADDRESS(ROW($F58),MATCH("Adj Close", Price_Header,0)))))</f>
        <v>27.852142857142859</v>
      </c>
      <c r="K58" s="127">
        <f ca="1">IF(tbl_AKRO[[#This Row],[BB_Mean]]="", "", tbl_AKRO[[#This Row],[BB_Mean]]+(BB_Width*tbl_AKRO[[#This Row],[BB_Stdev]]))</f>
        <v>30.372401434492275</v>
      </c>
      <c r="L58" s="127">
        <f ca="1">IF(tbl_AKRO[[#This Row],[BB_Mean]]="", "", tbl_AKRO[[#This Row],[BB_Mean]]-(BB_Width*tbl_AKRO[[#This Row],[BB_Stdev]]))</f>
        <v>25.331884279793442</v>
      </c>
      <c r="M58" s="46">
        <f>IF(ROW(tbl_AKRO[[#This Row],[Adj Close]])=5, 0, $F58-$F57)</f>
        <v>0.42999999999999972</v>
      </c>
      <c r="N58" s="46">
        <f>MAX(tbl_AKRO[[#This Row],[Move]],0)</f>
        <v>0.42999999999999972</v>
      </c>
      <c r="O58" s="46">
        <f>MAX(-tbl_AKRO[[#This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0.18214285714285719</v>
      </c>
      <c r="Q58" s="46">
        <f ca="1">IF(ROW($O58)-5&lt;RSI_Periods, "", AVERAGE(INDIRECT(ADDRESS(ROW($O58)-RSI_Periods +1, MATCH("Downmove", Price_Header,0))): INDIRECT(ADDRESS(ROW($O58),MATCH("Downmove", Price_Header,0)))))</f>
        <v>0.44285714285714306</v>
      </c>
      <c r="R58" s="46">
        <f ca="1">IF(tbl_AKRO[[#This Row],[Avg_Upmove]]="", "", tbl_AKRO[[#This Row],[Avg_Upmove]]/tbl_AKRO[[#This Row],[Avg_Downmove]])</f>
        <v>0.41129032258064507</v>
      </c>
      <c r="S58" s="10">
        <f ca="1">IF(ROW($N58)-4&lt;BB_Periods, "", _xlfn.STDEV.S(INDIRECT(ADDRESS(ROW($F58)-RSI_Periods +1, MATCH("Adj Close", Price_Header,0))): INDIRECT(ADDRESS(ROW($F58),MATCH("Adj Close", Price_Header,0)))))</f>
        <v>1.2601292886747077</v>
      </c>
    </row>
    <row r="59" spans="1:19" x14ac:dyDescent="0.35">
      <c r="A59" s="8">
        <v>44130</v>
      </c>
      <c r="B59" s="10">
        <v>26.45</v>
      </c>
      <c r="C59" s="10">
        <v>26.45</v>
      </c>
      <c r="D59" s="10">
        <v>25.5</v>
      </c>
      <c r="E59" s="10">
        <v>26.26</v>
      </c>
      <c r="F59" s="10">
        <v>26.26</v>
      </c>
      <c r="G59">
        <v>132600</v>
      </c>
      <c r="H59" s="10">
        <f>IF(tbl_AKRO[[#This Row],[Date]]=$A$5, $F59, EMA_Beta*$H58 + (1-EMA_Beta)*$F59)</f>
        <v>28.268579593911326</v>
      </c>
      <c r="I59" s="46">
        <f ca="1">IF(tbl_AKRO[[#This Row],[RS]]= "", "", 100-(100/(1+tbl_AKRO[[#This Row],[RS]])))</f>
        <v>36.350777934936367</v>
      </c>
      <c r="J59" s="10">
        <f ca="1">IF(ROW($N59)-4&lt;BB_Periods, "", AVERAGE(INDIRECT(ADDRESS(ROW($F59)-RSI_Periods +1, MATCH("Adj Close", Price_Header,0))): INDIRECT(ADDRESS(ROW($F59),MATCH("Adj Close", Price_Header,0)))))</f>
        <v>27.714285714285715</v>
      </c>
      <c r="K59" s="127">
        <f ca="1">IF(tbl_AKRO[[#This Row],[BB_Mean]]="", "", tbl_AKRO[[#This Row],[BB_Mean]]+(BB_Width*tbl_AKRO[[#This Row],[BB_Stdev]]))</f>
        <v>30.362811740189578</v>
      </c>
      <c r="L59" s="127">
        <f ca="1">IF(tbl_AKRO[[#This Row],[BB_Mean]]="", "", tbl_AKRO[[#This Row],[BB_Mean]]-(BB_Width*tbl_AKRO[[#This Row],[BB_Stdev]]))</f>
        <v>25.065759688381853</v>
      </c>
      <c r="M59" s="46">
        <f>IF(ROW(tbl_AKRO[[#This Row],[Adj Close]])=5, 0, $F59-$F58)</f>
        <v>2.0000000000003126E-2</v>
      </c>
      <c r="N59" s="46">
        <f>MAX(tbl_AKRO[[#This Row],[Move]],0)</f>
        <v>2.0000000000003126E-2</v>
      </c>
      <c r="O59" s="46">
        <f>MAX(-tbl_AKRO[[#This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0.18357142857142886</v>
      </c>
      <c r="Q59" s="46">
        <f ca="1">IF(ROW($O59)-5&lt;RSI_Periods, "", AVERAGE(INDIRECT(ADDRESS(ROW($O59)-RSI_Periods +1, MATCH("Downmove", Price_Header,0))): INDIRECT(ADDRESS(ROW($O59),MATCH("Downmove", Price_Header,0)))))</f>
        <v>0.32142857142857167</v>
      </c>
      <c r="R59" s="46">
        <f ca="1">IF(tbl_AKRO[[#This Row],[Avg_Upmove]]="", "", tbl_AKRO[[#This Row],[Avg_Upmove]]/tbl_AKRO[[#This Row],[Avg_Downmove]])</f>
        <v>0.57111111111111157</v>
      </c>
      <c r="S59" s="10">
        <f ca="1">IF(ROW($N59)-4&lt;BB_Periods, "", _xlfn.STDEV.S(INDIRECT(ADDRESS(ROW($F59)-RSI_Periods +1, MATCH("Adj Close", Price_Header,0))): INDIRECT(ADDRESS(ROW($F59),MATCH("Adj Close", Price_Header,0)))))</f>
        <v>1.3242630129519317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J60" s="61"/>
      <c r="K60" s="61"/>
      <c r="L60" s="61"/>
      <c r="S60" s="61">
        <f ca="1">SUBTOTAL(103,tbl_AKRO[BB_Stdev])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0"/>
  <sheetViews>
    <sheetView topLeftCell="B53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252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3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3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3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3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3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3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3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3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3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3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3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3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3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3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3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3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3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3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35">
      <c r="A37" s="8">
        <v>44098</v>
      </c>
      <c r="B37" s="10">
        <v>244.99</v>
      </c>
      <c r="C37" s="10">
        <v>250.51</v>
      </c>
      <c r="D37" s="10">
        <v>241.04</v>
      </c>
      <c r="E37" s="10">
        <v>241.42</v>
      </c>
      <c r="F37" s="10">
        <v>241.42</v>
      </c>
      <c r="G37">
        <v>3083000</v>
      </c>
      <c r="H37" s="10">
        <f>IF(tbl_FDX[[#This Row],[Date]]=$A$5, $F37, EMA_Beta*$H36 + (1-EMA_Beta)*$F37)</f>
        <v>232.98772054133363</v>
      </c>
      <c r="I37" s="46">
        <f ca="1">IF(tbl_FDX[[#This Row],[RS]]= "", "", 100-(100/(1+tbl_FDX[[#This Row],[RS]])))</f>
        <v>66.948453575779936</v>
      </c>
      <c r="J37" s="10">
        <f ca="1">IF(ROW($N37)-4&lt;BB_Periods, "", AVERAGE(INDIRECT(ADDRESS(ROW($F37)-RSI_Periods +1, MATCH("Adj Close", Price_Header,0))): INDIRECT(ADDRESS(ROW($F37),MATCH("Adj Close", Price_Header,0)))))</f>
        <v>236.09428514285719</v>
      </c>
      <c r="K37" s="10">
        <f ca="1">IF(tbl_FDX[[#This Row],[BB_Mean]]="", "", tbl_FDX[[#This Row],[BB_Mean]]+(BB_Width*tbl_FDX[[#This Row],[BB_Stdev]]))</f>
        <v>253.70214060032345</v>
      </c>
      <c r="L37" s="127">
        <f ca="1">IF(tbl_FDX[[#This Row],[BB_Mean]]="", "", tbl_FDX[[#This Row],[BB_Mean]]-(BB_Width*tbl_FDX[[#This Row],[BB_Stdev]]))</f>
        <v>218.48642968539093</v>
      </c>
      <c r="M37" s="46">
        <f>IF(ROW(tbl_FDX[[#This Row],[Adj Close]])=5, 0, $F37-$F36)</f>
        <v>0</v>
      </c>
      <c r="N37" s="46">
        <f>MAX(tbl_FDX[[#This Row],[Move]],0)</f>
        <v>0</v>
      </c>
      <c r="O37" s="46">
        <f>MAX(-tbl_FDX[[#This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1.4242852142857134</v>
      </c>
      <c r="R37" s="46">
        <f ca="1">IF(tbl_FDX[[#This Row],[Avg_Upmove]]="", "", tbl_FDX[[#This Row],[Avg_Upmove]]/tbl_FDX[[#This Row],[Avg_Downmove]])</f>
        <v>2.0255770400721804</v>
      </c>
      <c r="S37" s="10">
        <f ca="1">IF(ROW($N37)-4&lt;BB_Periods, "", _xlfn.STDEV.S(INDIRECT(ADDRESS(ROW($F37)-RSI_Periods +1, MATCH("Adj Close", Price_Header,0))): INDIRECT(ADDRESS(ROW($F37),MATCH("Adj Close", Price_Header,0)))))</f>
        <v>8.8039277287331323</v>
      </c>
    </row>
    <row r="38" spans="1:19" x14ac:dyDescent="0.35">
      <c r="A38" s="8">
        <v>44099</v>
      </c>
      <c r="B38" s="10">
        <v>241.68</v>
      </c>
      <c r="C38" s="10">
        <v>251.9</v>
      </c>
      <c r="D38" s="10">
        <v>241.47</v>
      </c>
      <c r="E38" s="10">
        <v>250.17</v>
      </c>
      <c r="F38" s="10">
        <v>250.17</v>
      </c>
      <c r="G38">
        <v>3212400</v>
      </c>
      <c r="H38" s="10">
        <f>IF(tbl_FDX[[#This Row],[Date]]=$A$5, $F38, EMA_Beta*$H37 + (1-EMA_Beta)*$F38)</f>
        <v>234.70594848720026</v>
      </c>
      <c r="I38" s="46">
        <f ca="1">IF(tbl_FDX[[#This Row],[RS]]= "", "", 100-(100/(1+tbl_FDX[[#This Row],[RS]])))</f>
        <v>68.809642097399959</v>
      </c>
      <c r="J38" s="10">
        <f ca="1">IF(ROW($N38)-4&lt;BB_Periods, "", AVERAGE(INDIRECT(ADDRESS(ROW($F38)-RSI_Periods +1, MATCH("Adj Close", Price_Header,0))): INDIRECT(ADDRESS(ROW($F38),MATCH("Adj Close", Price_Header,0)))))</f>
        <v>237.8121426428572</v>
      </c>
      <c r="K38" s="10">
        <f ca="1">IF(tbl_FDX[[#This Row],[BB_Mean]]="", "", tbl_FDX[[#This Row],[BB_Mean]]+(BB_Width*tbl_FDX[[#This Row],[BB_Stdev]]))</f>
        <v>255.91393743961049</v>
      </c>
      <c r="L38" s="127">
        <f ca="1">IF(tbl_FDX[[#This Row],[BB_Mean]]="", "", tbl_FDX[[#This Row],[BB_Mean]]-(BB_Width*tbl_FDX[[#This Row],[BB_Stdev]]))</f>
        <v>219.7103478461039</v>
      </c>
      <c r="M38" s="46">
        <f>IF(ROW(tbl_FDX[[#This Row],[Adj Close]])=5, 0, $F38-$F37)</f>
        <v>8.75</v>
      </c>
      <c r="N38" s="46">
        <f>MAX(tbl_FDX[[#This Row],[Move]],0)</f>
        <v>8.75</v>
      </c>
      <c r="O38" s="46">
        <f>MAX(-tbl_FDX[[#This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3.1421427142857135</v>
      </c>
      <c r="Q38" s="46">
        <f ca="1">IF(ROW($O38)-5&lt;RSI_Periods, "", AVERAGE(INDIRECT(ADDRESS(ROW($O38)-RSI_Periods +1, MATCH("Downmove", Price_Header,0))): INDIRECT(ADDRESS(ROW($O38),MATCH("Downmove", Price_Header,0)))))</f>
        <v>1.4242852142857134</v>
      </c>
      <c r="R38" s="46">
        <f ca="1">IF(tbl_FDX[[#This Row],[Avg_Upmove]]="", "", tbl_FDX[[#This Row],[Avg_Upmove]]/tbl_FDX[[#This Row],[Avg_Downmove]])</f>
        <v>2.2061190292293489</v>
      </c>
      <c r="S38" s="10">
        <f ca="1">IF(ROW($N38)-4&lt;BB_Periods, "", _xlfn.STDEV.S(INDIRECT(ADDRESS(ROW($F38)-RSI_Periods +1, MATCH("Adj Close", Price_Header,0))): INDIRECT(ADDRESS(ROW($F38),MATCH("Adj Close", Price_Header,0)))))</f>
        <v>9.0508973983766552</v>
      </c>
    </row>
    <row r="39" spans="1:19" x14ac:dyDescent="0.35">
      <c r="A39" s="8">
        <v>44102</v>
      </c>
      <c r="B39" s="10">
        <v>255.27</v>
      </c>
      <c r="C39" s="10">
        <v>259.95</v>
      </c>
      <c r="D39" s="10">
        <v>254.08</v>
      </c>
      <c r="E39" s="10">
        <v>254.44</v>
      </c>
      <c r="F39" s="10">
        <v>254.44</v>
      </c>
      <c r="G39">
        <v>3309800</v>
      </c>
      <c r="H39" s="10">
        <f>IF(tbl_FDX[[#This Row],[Date]]=$A$5, $F39, EMA_Beta*$H38 + (1-EMA_Beta)*$F39)</f>
        <v>236.67935363848022</v>
      </c>
      <c r="I39" s="46">
        <f ca="1">IF(tbl_FDX[[#This Row],[RS]]= "", "", 100-(100/(1+tbl_FDX[[#This Row],[RS]])))</f>
        <v>76.445428107800211</v>
      </c>
      <c r="J39" s="10">
        <f ca="1">IF(ROW($N39)-4&lt;BB_Periods, "", AVERAGE(INDIRECT(ADDRESS(ROW($F39)-RSI_Periods +1, MATCH("Adj Close", Price_Header,0))): INDIRECT(ADDRESS(ROW($F39),MATCH("Adj Close", Price_Header,0)))))</f>
        <v>240.19714242857145</v>
      </c>
      <c r="K39" s="10">
        <f ca="1">IF(tbl_FDX[[#This Row],[BB_Mean]]="", "", tbl_FDX[[#This Row],[BB_Mean]]+(BB_Width*tbl_FDX[[#This Row],[BB_Stdev]]))</f>
        <v>257.56931157261494</v>
      </c>
      <c r="L39" s="127">
        <f ca="1">IF(tbl_FDX[[#This Row],[BB_Mean]]="", "", tbl_FDX[[#This Row],[BB_Mean]]-(BB_Width*tbl_FDX[[#This Row],[BB_Stdev]]))</f>
        <v>222.82497328452797</v>
      </c>
      <c r="M39" s="46">
        <f>IF(ROW(tbl_FDX[[#This Row],[Adj Close]])=5, 0, $F39-$F38)</f>
        <v>4.2700000000000102</v>
      </c>
      <c r="N39" s="46">
        <f>MAX(tbl_FDX[[#This Row],[Move]],0)</f>
        <v>4.2700000000000102</v>
      </c>
      <c r="O39" s="46">
        <f>MAX(-tbl_FDX[[#This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3.4471427142857141</v>
      </c>
      <c r="Q39" s="46">
        <f ca="1">IF(ROW($O39)-5&lt;RSI_Periods, "", AVERAGE(INDIRECT(ADDRESS(ROW($O39)-RSI_Periods +1, MATCH("Downmove", Price_Header,0))): INDIRECT(ADDRESS(ROW($O39),MATCH("Downmove", Price_Header,0)))))</f>
        <v>1.0621429285714288</v>
      </c>
      <c r="R39" s="46">
        <f ca="1">IF(tbl_FDX[[#This Row],[Avg_Upmove]]="", "", tbl_FDX[[#This Row],[Avg_Upmove]]/tbl_FDX[[#This Row],[Avg_Downmove]])</f>
        <v>3.2454603062904965</v>
      </c>
      <c r="S39" s="10">
        <f ca="1">IF(ROW($N39)-4&lt;BB_Periods, "", _xlfn.STDEV.S(INDIRECT(ADDRESS(ROW($F39)-RSI_Periods +1, MATCH("Adj Close", Price_Header,0))): INDIRECT(ADDRESS(ROW($F39),MATCH("Adj Close", Price_Header,0)))))</f>
        <v>8.6860845720217394</v>
      </c>
    </row>
    <row r="40" spans="1:19" x14ac:dyDescent="0.35">
      <c r="A40" s="8">
        <v>44103</v>
      </c>
      <c r="B40" s="10">
        <v>254.99</v>
      </c>
      <c r="C40" s="10">
        <v>258.2</v>
      </c>
      <c r="D40" s="10">
        <v>249.12</v>
      </c>
      <c r="E40" s="10">
        <v>253.5</v>
      </c>
      <c r="F40" s="10">
        <v>253.5</v>
      </c>
      <c r="G40">
        <v>2195400</v>
      </c>
      <c r="H40" s="10">
        <f>IF(tbl_FDX[[#This Row],[Date]]=$A$5, $F40, EMA_Beta*$H39 + (1-EMA_Beta)*$F40)</f>
        <v>238.3614182746322</v>
      </c>
      <c r="I40" s="46">
        <f ca="1">IF(tbl_FDX[[#This Row],[RS]]= "", "", 100-(100/(1+tbl_FDX[[#This Row],[RS]])))</f>
        <v>73.370388298117291</v>
      </c>
      <c r="J40" s="10">
        <f ca="1">IF(ROW($N40)-4&lt;BB_Periods, "", AVERAGE(INDIRECT(ADDRESS(ROW($F40)-RSI_Periods +1, MATCH("Adj Close", Price_Header,0))): INDIRECT(ADDRESS(ROW($F40),MATCH("Adj Close", Price_Header,0)))))</f>
        <v>242.17928528571429</v>
      </c>
      <c r="K40" s="10">
        <f ca="1">IF(tbl_FDX[[#This Row],[BB_Mean]]="", "", tbl_FDX[[#This Row],[BB_Mean]]+(BB_Width*tbl_FDX[[#This Row],[BB_Stdev]]))</f>
        <v>258.76534503413097</v>
      </c>
      <c r="L40" s="127">
        <f ca="1">IF(tbl_FDX[[#This Row],[BB_Mean]]="", "", tbl_FDX[[#This Row],[BB_Mean]]-(BB_Width*tbl_FDX[[#This Row],[BB_Stdev]]))</f>
        <v>225.59322553729763</v>
      </c>
      <c r="M40" s="46">
        <f>IF(ROW(tbl_FDX[[#This Row],[Adj Close]])=5, 0, $F40-$F39)</f>
        <v>-0.93999999999999773</v>
      </c>
      <c r="N40" s="46">
        <f>MAX(tbl_FDX[[#This Row],[Move]],0)</f>
        <v>0</v>
      </c>
      <c r="O40" s="46">
        <f>MAX(-tbl_FDX[[#This Row],[Move]],0)</f>
        <v>0.93999999999999773</v>
      </c>
      <c r="P40" s="46">
        <f ca="1">IF(ROW($N40)-5&lt;RSI_Periods, "", AVERAGE(INDIRECT(ADDRESS(ROW($N40)-RSI_Periods +1, MATCH("Upmove", Price_Header,0))): INDIRECT(ADDRESS(ROW($N40),MATCH("Upmove", Price_Header,0)))))</f>
        <v>3.1114286428571427</v>
      </c>
      <c r="Q40" s="46">
        <f ca="1">IF(ROW($O40)-5&lt;RSI_Periods, "", AVERAGE(INDIRECT(ADDRESS(ROW($O40)-RSI_Periods +1, MATCH("Downmove", Price_Header,0))): INDIRECT(ADDRESS(ROW($O40),MATCH("Downmove", Price_Header,0)))))</f>
        <v>1.1292857857142857</v>
      </c>
      <c r="R40" s="46">
        <f ca="1">IF(tbl_FDX[[#This Row],[Avg_Upmove]]="", "", tbl_FDX[[#This Row],[Avg_Upmove]]/tbl_FDX[[#This Row],[Avg_Downmove]])</f>
        <v>2.7552181052992974</v>
      </c>
      <c r="S40" s="10">
        <f ca="1">IF(ROW($N40)-4&lt;BB_Periods, "", _xlfn.STDEV.S(INDIRECT(ADDRESS(ROW($F40)-RSI_Periods +1, MATCH("Adj Close", Price_Header,0))): INDIRECT(ADDRESS(ROW($F40),MATCH("Adj Close", Price_Header,0)))))</f>
        <v>8.293029874208333</v>
      </c>
    </row>
    <row r="41" spans="1:19" x14ac:dyDescent="0.35">
      <c r="A41" s="8">
        <v>44104</v>
      </c>
      <c r="B41" s="10">
        <v>253.47</v>
      </c>
      <c r="C41" s="10">
        <v>257.51</v>
      </c>
      <c r="D41" s="10">
        <v>249.5</v>
      </c>
      <c r="E41" s="10">
        <v>251.52</v>
      </c>
      <c r="F41" s="10">
        <v>251.52</v>
      </c>
      <c r="G41">
        <v>2503000</v>
      </c>
      <c r="H41" s="10">
        <f>IF(tbl_FDX[[#This Row],[Date]]=$A$5, $F41, EMA_Beta*$H40 + (1-EMA_Beta)*$F41)</f>
        <v>239.67727644716896</v>
      </c>
      <c r="I41" s="46">
        <f ca="1">IF(tbl_FDX[[#This Row],[RS]]= "", "", 100-(100/(1+tbl_FDX[[#This Row],[RS]])))</f>
        <v>72.551629077173303</v>
      </c>
      <c r="J41" s="10">
        <f ca="1">IF(ROW($N41)-4&lt;BB_Periods, "", AVERAGE(INDIRECT(ADDRESS(ROW($F41)-RSI_Periods +1, MATCH("Adj Close", Price_Header,0))): INDIRECT(ADDRESS(ROW($F41),MATCH("Adj Close", Price_Header,0)))))</f>
        <v>244.11357085714286</v>
      </c>
      <c r="K41" s="10">
        <f ca="1">IF(tbl_FDX[[#This Row],[BB_Mean]]="", "", tbl_FDX[[#This Row],[BB_Mean]]+(BB_Width*tbl_FDX[[#This Row],[BB_Stdev]]))</f>
        <v>257.86132937548706</v>
      </c>
      <c r="L41" s="127">
        <f ca="1">IF(tbl_FDX[[#This Row],[BB_Mean]]="", "", tbl_FDX[[#This Row],[BB_Mean]]-(BB_Width*tbl_FDX[[#This Row],[BB_Stdev]]))</f>
        <v>230.36581233879869</v>
      </c>
      <c r="M41" s="46">
        <f>IF(ROW(tbl_FDX[[#This Row],[Adj Close]])=5, 0, $F41-$F40)</f>
        <v>-1.9799999999999898</v>
      </c>
      <c r="N41" s="46">
        <f>MAX(tbl_FDX[[#This Row],[Move]],0)</f>
        <v>0</v>
      </c>
      <c r="O41" s="46">
        <f>MAX(-tbl_FDX[[#This Row],[Move]],0)</f>
        <v>1.9799999999999898</v>
      </c>
      <c r="P41" s="46">
        <f ca="1">IF(ROW($N41)-5&lt;RSI_Periods, "", AVERAGE(INDIRECT(ADDRESS(ROW($N41)-RSI_Periods +1, MATCH("Upmove", Price_Header,0))): INDIRECT(ADDRESS(ROW($N41),MATCH("Upmove", Price_Header,0)))))</f>
        <v>3.1114286428571427</v>
      </c>
      <c r="Q41" s="46">
        <f ca="1">IF(ROW($O41)-5&lt;RSI_Periods, "", AVERAGE(INDIRECT(ADDRESS(ROW($O41)-RSI_Periods +1, MATCH("Downmove", Price_Header,0))): INDIRECT(ADDRESS(ROW($O41),MATCH("Downmove", Price_Header,0)))))</f>
        <v>1.1771430714285702</v>
      </c>
      <c r="R41" s="46">
        <f ca="1">IF(tbl_FDX[[#This Row],[Avg_Upmove]]="", "", tbl_FDX[[#This Row],[Avg_Upmove]]/tbl_FDX[[#This Row],[Avg_Downmove]])</f>
        <v>2.643203463009081</v>
      </c>
      <c r="S41" s="10">
        <f ca="1">IF(ROW($N41)-4&lt;BB_Periods, "", _xlfn.STDEV.S(INDIRECT(ADDRESS(ROW($F41)-RSI_Periods +1, MATCH("Adj Close", Price_Header,0))): INDIRECT(ADDRESS(ROW($F41),MATCH("Adj Close", Price_Header,0)))))</f>
        <v>6.8738792591720914</v>
      </c>
    </row>
    <row r="42" spans="1:19" x14ac:dyDescent="0.35">
      <c r="A42" s="8">
        <v>44105</v>
      </c>
      <c r="B42" s="10">
        <v>255.26</v>
      </c>
      <c r="C42" s="10">
        <v>257.79000000000002</v>
      </c>
      <c r="D42" s="10">
        <v>252.88</v>
      </c>
      <c r="E42" s="10">
        <v>254.08</v>
      </c>
      <c r="F42" s="10">
        <v>254.08</v>
      </c>
      <c r="G42">
        <v>2862300</v>
      </c>
      <c r="H42" s="10">
        <f>IF(tbl_FDX[[#This Row],[Date]]=$A$5, $F42, EMA_Beta*$H41 + (1-EMA_Beta)*$F42)</f>
        <v>241.11754880245206</v>
      </c>
      <c r="I42" s="46">
        <f ca="1">IF(tbl_FDX[[#This Row],[RS]]= "", "", 100-(100/(1+tbl_FDX[[#This Row],[RS]])))</f>
        <v>69.622121565205902</v>
      </c>
      <c r="J42" s="10">
        <f ca="1">IF(ROW($N42)-4&lt;BB_Periods, "", AVERAGE(INDIRECT(ADDRESS(ROW($F42)-RSI_Periods +1, MATCH("Adj Close", Price_Header,0))): INDIRECT(ADDRESS(ROW($F42),MATCH("Adj Close", Price_Header,0)))))</f>
        <v>245.63428564285715</v>
      </c>
      <c r="K42" s="10">
        <f ca="1">IF(tbl_FDX[[#This Row],[BB_Mean]]="", "", tbl_FDX[[#This Row],[BB_Mean]]+(BB_Width*tbl_FDX[[#This Row],[BB_Stdev]]))</f>
        <v>258.6783892308419</v>
      </c>
      <c r="L42" s="127">
        <f ca="1">IF(tbl_FDX[[#This Row],[BB_Mean]]="", "", tbl_FDX[[#This Row],[BB_Mean]]-(BB_Width*tbl_FDX[[#This Row],[BB_Stdev]]))</f>
        <v>232.59018205487243</v>
      </c>
      <c r="M42" s="46">
        <f>IF(ROW(tbl_FDX[[#This Row],[Adj Close]])=5, 0, $F42-$F41)</f>
        <v>2.5600000000000023</v>
      </c>
      <c r="N42" s="46">
        <f>MAX(tbl_FDX[[#This Row],[Move]],0)</f>
        <v>2.5600000000000023</v>
      </c>
      <c r="O42" s="46">
        <f>MAX(-tbl_FDX[[#This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2.6978578571428562</v>
      </c>
      <c r="Q42" s="46">
        <f ca="1">IF(ROW($O42)-5&lt;RSI_Periods, "", AVERAGE(INDIRECT(ADDRESS(ROW($O42)-RSI_Periods +1, MATCH("Downmove", Price_Header,0))): INDIRECT(ADDRESS(ROW($O42),MATCH("Downmove", Price_Header,0)))))</f>
        <v>1.1771430714285702</v>
      </c>
      <c r="R42" s="46">
        <f ca="1">IF(tbl_FDX[[#This Row],[Avg_Upmove]]="", "", tbl_FDX[[#This Row],[Avg_Upmove]]/tbl_FDX[[#This Row],[Avg_Downmove]])</f>
        <v>2.2918691216257683</v>
      </c>
      <c r="S42" s="10">
        <f ca="1">IF(ROW($N42)-4&lt;BB_Periods, "", _xlfn.STDEV.S(INDIRECT(ADDRESS(ROW($F42)-RSI_Periods +1, MATCH("Adj Close", Price_Header,0))): INDIRECT(ADDRESS(ROW($F42),MATCH("Adj Close", Price_Header,0)))))</f>
        <v>6.5220517939923655</v>
      </c>
    </row>
    <row r="43" spans="1:19" x14ac:dyDescent="0.35">
      <c r="A43" s="8">
        <v>44106</v>
      </c>
      <c r="B43" s="10">
        <v>250.55</v>
      </c>
      <c r="C43" s="10">
        <v>258.55</v>
      </c>
      <c r="D43" s="10">
        <v>250</v>
      </c>
      <c r="E43" s="10">
        <v>255.2</v>
      </c>
      <c r="F43" s="10">
        <v>255.2</v>
      </c>
      <c r="G43">
        <v>3015300</v>
      </c>
      <c r="H43" s="10">
        <f>IF(tbl_FDX[[#This Row],[Date]]=$A$5, $F43, EMA_Beta*$H42 + (1-EMA_Beta)*$F43)</f>
        <v>242.52579392220684</v>
      </c>
      <c r="I43" s="46">
        <f ca="1">IF(tbl_FDX[[#This Row],[RS]]= "", "", 100-(100/(1+tbl_FDX[[#This Row],[RS]])))</f>
        <v>68.197607449323144</v>
      </c>
      <c r="J43" s="10">
        <f ca="1">IF(ROW($N43)-4&lt;BB_Periods, "", AVERAGE(INDIRECT(ADDRESS(ROW($F43)-RSI_Periods +1, MATCH("Adj Close", Price_Header,0))): INDIRECT(ADDRESS(ROW($F43),MATCH("Adj Close", Price_Header,0)))))</f>
        <v>246.98142878571429</v>
      </c>
      <c r="K43" s="10">
        <f ca="1">IF(tbl_FDX[[#This Row],[BB_Mean]]="", "", tbl_FDX[[#This Row],[BB_Mean]]+(BB_Width*tbl_FDX[[#This Row],[BB_Stdev]]))</f>
        <v>259.78401291164539</v>
      </c>
      <c r="L43" s="127">
        <f ca="1">IF(tbl_FDX[[#This Row],[BB_Mean]]="", "", tbl_FDX[[#This Row],[BB_Mean]]-(BB_Width*tbl_FDX[[#This Row],[BB_Stdev]]))</f>
        <v>234.17884465978315</v>
      </c>
      <c r="M43" s="46">
        <f>IF(ROW(tbl_FDX[[#This Row],[Adj Close]])=5, 0, $F43-$F42)</f>
        <v>1.1199999999999761</v>
      </c>
      <c r="N43" s="46">
        <f>MAX(tbl_FDX[[#This Row],[Move]],0)</f>
        <v>1.1199999999999761</v>
      </c>
      <c r="O43" s="46">
        <f>MAX(-tbl_FDX[[#This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2.5242862142857114</v>
      </c>
      <c r="Q43" s="46">
        <f ca="1">IF(ROW($O43)-5&lt;RSI_Periods, "", AVERAGE(INDIRECT(ADDRESS(ROW($O43)-RSI_Periods +1, MATCH("Downmove", Price_Header,0))): INDIRECT(ADDRESS(ROW($O43),MATCH("Downmove", Price_Header,0)))))</f>
        <v>1.1771430714285702</v>
      </c>
      <c r="R43" s="46">
        <f ca="1">IF(tbl_FDX[[#This Row],[Avg_Upmove]]="", "", tbl_FDX[[#This Row],[Avg_Upmove]]/tbl_FDX[[#This Row],[Avg_Downmove]])</f>
        <v>2.1444175101181715</v>
      </c>
      <c r="S43" s="10">
        <f ca="1">IF(ROW($N43)-4&lt;BB_Periods, "", _xlfn.STDEV.S(INDIRECT(ADDRESS(ROW($F43)-RSI_Periods +1, MATCH("Adj Close", Price_Header,0))): INDIRECT(ADDRESS(ROW($F43),MATCH("Adj Close", Price_Header,0)))))</f>
        <v>6.4012920629655614</v>
      </c>
    </row>
    <row r="44" spans="1:19" x14ac:dyDescent="0.35">
      <c r="A44" s="8">
        <v>44109</v>
      </c>
      <c r="B44" s="10">
        <v>258.8</v>
      </c>
      <c r="C44" s="10">
        <v>260.95999999999998</v>
      </c>
      <c r="D44" s="10">
        <v>257.73</v>
      </c>
      <c r="E44" s="10">
        <v>259.20999999999998</v>
      </c>
      <c r="F44" s="10">
        <v>259.20999999999998</v>
      </c>
      <c r="G44">
        <v>2426300</v>
      </c>
      <c r="H44" s="10">
        <f>IF(tbl_FDX[[#This Row],[Date]]=$A$5, $F44, EMA_Beta*$H43 + (1-EMA_Beta)*$F44)</f>
        <v>244.19421452998617</v>
      </c>
      <c r="I44" s="46">
        <f ca="1">IF(tbl_FDX[[#This Row],[RS]]= "", "", 100-(100/(1+tbl_FDX[[#This Row],[RS]])))</f>
        <v>70.306305181073128</v>
      </c>
      <c r="J44" s="10">
        <f ca="1">IF(ROW($N44)-4&lt;BB_Periods, "", AVERAGE(INDIRECT(ADDRESS(ROW($F44)-RSI_Periods +1, MATCH("Adj Close", Price_Header,0))): INDIRECT(ADDRESS(ROW($F44),MATCH("Adj Close", Price_Header,0)))))</f>
        <v>248.59142892857145</v>
      </c>
      <c r="K44" s="10">
        <f ca="1">IF(tbl_FDX[[#This Row],[BB_Mean]]="", "", tbl_FDX[[#This Row],[BB_Mean]]+(BB_Width*tbl_FDX[[#This Row],[BB_Stdev]]))</f>
        <v>261.47693615579618</v>
      </c>
      <c r="L44" s="127">
        <f ca="1">IF(tbl_FDX[[#This Row],[BB_Mean]]="", "", tbl_FDX[[#This Row],[BB_Mean]]-(BB_Width*tbl_FDX[[#This Row],[BB_Stdev]]))</f>
        <v>235.70592170134671</v>
      </c>
      <c r="M44" s="46">
        <f>IF(ROW(tbl_FDX[[#This Row],[Adj Close]])=5, 0, $F44-$F43)</f>
        <v>4.0099999999999909</v>
      </c>
      <c r="N44" s="46">
        <f>MAX(tbl_FDX[[#This Row],[Move]],0)</f>
        <v>4.0099999999999909</v>
      </c>
      <c r="O44" s="46">
        <f>MAX(-tbl_FDX[[#This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2.7871432142857122</v>
      </c>
      <c r="Q44" s="46">
        <f ca="1">IF(ROW($O44)-5&lt;RSI_Periods, "", AVERAGE(INDIRECT(ADDRESS(ROW($O44)-RSI_Periods +1, MATCH("Downmove", Price_Header,0))): INDIRECT(ADDRESS(ROW($O44),MATCH("Downmove", Price_Header,0)))))</f>
        <v>1.1771430714285702</v>
      </c>
      <c r="R44" s="46">
        <f ca="1">IF(tbl_FDX[[#This Row],[Avg_Upmove]]="", "", tbl_FDX[[#This Row],[Avg_Upmove]]/tbl_FDX[[#This Row],[Avg_Downmove]])</f>
        <v>2.3677183189833162</v>
      </c>
      <c r="S44" s="10">
        <f ca="1">IF(ROW($N44)-4&lt;BB_Periods, "", _xlfn.STDEV.S(INDIRECT(ADDRESS(ROW($F44)-RSI_Periods +1, MATCH("Adj Close", Price_Header,0))): INDIRECT(ADDRESS(ROW($F44),MATCH("Adj Close", Price_Header,0)))))</f>
        <v>6.4427536136123615</v>
      </c>
    </row>
    <row r="45" spans="1:19" x14ac:dyDescent="0.35">
      <c r="A45" s="8">
        <v>44110</v>
      </c>
      <c r="B45" s="10">
        <v>260.12</v>
      </c>
      <c r="C45" s="10">
        <v>264.98</v>
      </c>
      <c r="D45" s="10">
        <v>258.18</v>
      </c>
      <c r="E45" s="10">
        <v>259.27</v>
      </c>
      <c r="F45" s="10">
        <v>259.27</v>
      </c>
      <c r="G45">
        <v>3152200</v>
      </c>
      <c r="H45" s="10">
        <f>IF(tbl_FDX[[#This Row],[Date]]=$A$5, $F45, EMA_Beta*$H44 + (1-EMA_Beta)*$F45)</f>
        <v>245.70179307698754</v>
      </c>
      <c r="I45" s="46">
        <f ca="1">IF(tbl_FDX[[#This Row],[RS]]= "", "", 100-(100/(1+tbl_FDX[[#This Row],[RS]])))</f>
        <v>60.696394417143239</v>
      </c>
      <c r="J45" s="10">
        <f ca="1">IF(ROW($N45)-4&lt;BB_Periods, "", AVERAGE(INDIRECT(ADDRESS(ROW($F45)-RSI_Periods +1, MATCH("Adj Close", Price_Header,0))): INDIRECT(ADDRESS(ROW($F45),MATCH("Adj Close", Price_Header,0)))))</f>
        <v>249.23214299999998</v>
      </c>
      <c r="K45" s="10">
        <f ca="1">IF(tbl_FDX[[#This Row],[BB_Mean]]="", "", tbl_FDX[[#This Row],[BB_Mean]]+(BB_Width*tbl_FDX[[#This Row],[BB_Stdev]]))</f>
        <v>263.31959966957464</v>
      </c>
      <c r="L45" s="127">
        <f ca="1">IF(tbl_FDX[[#This Row],[BB_Mean]]="", "", tbl_FDX[[#This Row],[BB_Mean]]-(BB_Width*tbl_FDX[[#This Row],[BB_Stdev]]))</f>
        <v>235.14468633042532</v>
      </c>
      <c r="M45" s="46">
        <f>IF(ROW(tbl_FDX[[#This Row],[Adj Close]])=5, 0, $F45-$F44)</f>
        <v>6.0000000000002274E-2</v>
      </c>
      <c r="N45" s="46">
        <f>MAX(tbl_FDX[[#This Row],[Move]],0)</f>
        <v>6.0000000000002274E-2</v>
      </c>
      <c r="O45" s="46">
        <f>MAX(-tbl_FDX[[#This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1.81785714285714</v>
      </c>
      <c r="Q45" s="46">
        <f ca="1">IF(ROW($O45)-5&lt;RSI_Periods, "", AVERAGE(INDIRECT(ADDRESS(ROW($O45)-RSI_Periods +1, MATCH("Downmove", Price_Header,0))): INDIRECT(ADDRESS(ROW($O45),MATCH("Downmove", Price_Header,0)))))</f>
        <v>1.1771430714285702</v>
      </c>
      <c r="R45" s="46">
        <f ca="1">IF(tbl_FDX[[#This Row],[Avg_Upmove]]="", "", tbl_FDX[[#This Row],[Avg_Upmove]]/tbl_FDX[[#This Row],[Avg_Downmove]])</f>
        <v>1.5442958353830387</v>
      </c>
      <c r="S45" s="10">
        <f ca="1">IF(ROW($N45)-4&lt;BB_Periods, "", _xlfn.STDEV.S(INDIRECT(ADDRESS(ROW($F45)-RSI_Periods +1, MATCH("Adj Close", Price_Header,0))): INDIRECT(ADDRESS(ROW($F45),MATCH("Adj Close", Price_Header,0)))))</f>
        <v>7.0437283347873336</v>
      </c>
    </row>
    <row r="46" spans="1:19" x14ac:dyDescent="0.35">
      <c r="A46" s="8">
        <v>44111</v>
      </c>
      <c r="B46" s="10">
        <v>263.85000000000002</v>
      </c>
      <c r="C46" s="10">
        <v>270.66000000000003</v>
      </c>
      <c r="D46" s="10">
        <v>263.5</v>
      </c>
      <c r="E46" s="10">
        <v>268.26</v>
      </c>
      <c r="F46" s="10">
        <v>268.26</v>
      </c>
      <c r="G46">
        <v>2986500</v>
      </c>
      <c r="H46" s="10">
        <f>IF(tbl_FDX[[#This Row],[Date]]=$A$5, $F46, EMA_Beta*$H45 + (1-EMA_Beta)*$F46)</f>
        <v>247.9576137692888</v>
      </c>
      <c r="I46" s="46">
        <f ca="1">IF(tbl_FDX[[#This Row],[RS]]= "", "", 100-(100/(1+tbl_FDX[[#This Row],[RS]])))</f>
        <v>77.046976418479801</v>
      </c>
      <c r="J46" s="10">
        <f ca="1">IF(ROW($N46)-4&lt;BB_Periods, "", AVERAGE(INDIRECT(ADDRESS(ROW($F46)-RSI_Periods +1, MATCH("Adj Close", Price_Header,0))): INDIRECT(ADDRESS(ROW($F46),MATCH("Adj Close", Price_Header,0)))))</f>
        <v>250.95928571428573</v>
      </c>
      <c r="K46" s="10">
        <f ca="1">IF(tbl_FDX[[#This Row],[BB_Mean]]="", "", tbl_FDX[[#This Row],[BB_Mean]]+(BB_Width*tbl_FDX[[#This Row],[BB_Stdev]]))</f>
        <v>267.95463252412793</v>
      </c>
      <c r="L46" s="127">
        <f ca="1">IF(tbl_FDX[[#This Row],[BB_Mean]]="", "", tbl_FDX[[#This Row],[BB_Mean]]-(BB_Width*tbl_FDX[[#This Row],[BB_Stdev]]))</f>
        <v>233.96393890444355</v>
      </c>
      <c r="M46" s="46">
        <f>IF(ROW(tbl_FDX[[#This Row],[Adj Close]])=5, 0, $F46-$F45)</f>
        <v>8.9900000000000091</v>
      </c>
      <c r="N46" s="46">
        <f>MAX(tbl_FDX[[#This Row],[Move]],0)</f>
        <v>8.9900000000000091</v>
      </c>
      <c r="O46" s="46">
        <f>MAX(-tbl_FDX[[#This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2.4599999999999977</v>
      </c>
      <c r="Q46" s="46">
        <f ca="1">IF(ROW($O46)-5&lt;RSI_Periods, "", AVERAGE(INDIRECT(ADDRESS(ROW($O46)-RSI_Periods +1, MATCH("Downmove", Price_Header,0))): INDIRECT(ADDRESS(ROW($O46),MATCH("Downmove", Price_Header,0)))))</f>
        <v>0.73285728571428466</v>
      </c>
      <c r="R46" s="46">
        <f ca="1">IF(tbl_FDX[[#This Row],[Avg_Upmove]]="", "", tbl_FDX[[#This Row],[Avg_Upmove]]/tbl_FDX[[#This Row],[Avg_Downmove]])</f>
        <v>3.3567244918665726</v>
      </c>
      <c r="S46" s="10">
        <f ca="1">IF(ROW($N46)-4&lt;BB_Periods, "", _xlfn.STDEV.S(INDIRECT(ADDRESS(ROW($F46)-RSI_Periods +1, MATCH("Adj Close", Price_Header,0))): INDIRECT(ADDRESS(ROW($F46),MATCH("Adj Close", Price_Header,0)))))</f>
        <v>8.4976734049210929</v>
      </c>
    </row>
    <row r="47" spans="1:19" x14ac:dyDescent="0.35">
      <c r="A47" s="8">
        <v>44112</v>
      </c>
      <c r="B47" s="10">
        <v>269.73</v>
      </c>
      <c r="C47" s="10">
        <v>272.52</v>
      </c>
      <c r="D47" s="10">
        <v>266.35000000000002</v>
      </c>
      <c r="E47" s="10">
        <v>271.06</v>
      </c>
      <c r="F47" s="10">
        <v>271.06</v>
      </c>
      <c r="G47">
        <v>1993000</v>
      </c>
      <c r="H47" s="10">
        <f>IF(tbl_FDX[[#This Row],[Date]]=$A$5, $F47, EMA_Beta*$H46 + (1-EMA_Beta)*$F47)</f>
        <v>250.26785239235991</v>
      </c>
      <c r="I47" s="46">
        <f ca="1">IF(tbl_FDX[[#This Row],[RS]]= "", "", 100-(100/(1+tbl_FDX[[#This Row],[RS]])))</f>
        <v>80.606060606060637</v>
      </c>
      <c r="J47" s="10">
        <f ca="1">IF(ROW($N47)-4&lt;BB_Periods, "", AVERAGE(INDIRECT(ADDRESS(ROW($F47)-RSI_Periods +1, MATCH("Adj Close", Price_Header,0))): INDIRECT(ADDRESS(ROW($F47),MATCH("Adj Close", Price_Header,0)))))</f>
        <v>252.97928571428568</v>
      </c>
      <c r="K47" s="10">
        <f ca="1">IF(tbl_FDX[[#This Row],[BB_Mean]]="", "", tbl_FDX[[#This Row],[BB_Mean]]+(BB_Width*tbl_FDX[[#This Row],[BB_Stdev]]))</f>
        <v>272.34418888278293</v>
      </c>
      <c r="L47" s="127">
        <f ca="1">IF(tbl_FDX[[#This Row],[BB_Mean]]="", "", tbl_FDX[[#This Row],[BB_Mean]]-(BB_Width*tbl_FDX[[#This Row],[BB_Stdev]]))</f>
        <v>233.61438254578843</v>
      </c>
      <c r="M47" s="46">
        <f>IF(ROW(tbl_FDX[[#This Row],[Adj Close]])=5, 0, $F47-$F46)</f>
        <v>2.8000000000000114</v>
      </c>
      <c r="N47" s="46">
        <f>MAX(tbl_FDX[[#This Row],[Move]],0)</f>
        <v>2.8000000000000114</v>
      </c>
      <c r="O47" s="46">
        <f>MAX(-tbl_FDX[[#This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2.6599999999999988</v>
      </c>
      <c r="Q47" s="46">
        <f ca="1">IF(ROW($O47)-5&lt;RSI_Periods, "", AVERAGE(INDIRECT(ADDRESS(ROW($O47)-RSI_Periods +1, MATCH("Downmove", Price_Header,0))): INDIRECT(ADDRESS(ROW($O47),MATCH("Downmove", Price_Header,0)))))</f>
        <v>0.63999999999999857</v>
      </c>
      <c r="R47" s="46">
        <f ca="1">IF(tbl_FDX[[#This Row],[Avg_Upmove]]="", "", tbl_FDX[[#This Row],[Avg_Upmove]]/tbl_FDX[[#This Row],[Avg_Downmove]])</f>
        <v>4.1562500000000071</v>
      </c>
      <c r="S47" s="10">
        <f ca="1">IF(ROW($N47)-4&lt;BB_Periods, "", _xlfn.STDEV.S(INDIRECT(ADDRESS(ROW($F47)-RSI_Periods +1, MATCH("Adj Close", Price_Header,0))): INDIRECT(ADDRESS(ROW($F47),MATCH("Adj Close", Price_Header,0)))))</f>
        <v>9.6824515842486232</v>
      </c>
    </row>
    <row r="48" spans="1:19" x14ac:dyDescent="0.35">
      <c r="A48" s="8">
        <v>44113</v>
      </c>
      <c r="B48" s="10">
        <v>274.39999999999998</v>
      </c>
      <c r="C48" s="10">
        <v>275</v>
      </c>
      <c r="D48" s="10">
        <v>269.54000000000002</v>
      </c>
      <c r="E48" s="10">
        <v>271.55</v>
      </c>
      <c r="F48" s="10">
        <v>271.55</v>
      </c>
      <c r="G48">
        <v>2168400</v>
      </c>
      <c r="H48" s="10">
        <f>IF(tbl_FDX[[#This Row],[Date]]=$A$5, $F48, EMA_Beta*$H47 + (1-EMA_Beta)*$F48)</f>
        <v>252.39606715312394</v>
      </c>
      <c r="I48" s="46">
        <f ca="1">IF(tbl_FDX[[#This Row],[RS]]= "", "", 100-(100/(1+tbl_FDX[[#This Row],[RS]])))</f>
        <v>88.464243845252071</v>
      </c>
      <c r="J48" s="10">
        <f ca="1">IF(ROW($N48)-4&lt;BB_Periods, "", AVERAGE(INDIRECT(ADDRESS(ROW($F48)-RSI_Periods +1, MATCH("Adj Close", Price_Header,0))): INDIRECT(ADDRESS(ROW($F48),MATCH("Adj Close", Price_Header,0)))))</f>
        <v>255.32285714285715</v>
      </c>
      <c r="K48" s="10">
        <f ca="1">IF(tbl_FDX[[#This Row],[BB_Mean]]="", "", tbl_FDX[[#This Row],[BB_Mean]]+(BB_Width*tbl_FDX[[#This Row],[BB_Stdev]]))</f>
        <v>275.19916608448051</v>
      </c>
      <c r="L48" s="127">
        <f ca="1">IF(tbl_FDX[[#This Row],[BB_Mean]]="", "", tbl_FDX[[#This Row],[BB_Mean]]-(BB_Width*tbl_FDX[[#This Row],[BB_Stdev]]))</f>
        <v>235.44654820123378</v>
      </c>
      <c r="M48" s="46">
        <f>IF(ROW(tbl_FDX[[#This Row],[Adj Close]])=5, 0, $F48-$F47)</f>
        <v>0.49000000000000909</v>
      </c>
      <c r="N48" s="46">
        <f>MAX(tbl_FDX[[#This Row],[Move]],0)</f>
        <v>0.49000000000000909</v>
      </c>
      <c r="O48" s="46">
        <f>MAX(-tbl_FDX[[#This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2.6949999999999994</v>
      </c>
      <c r="Q48" s="46">
        <f ca="1">IF(ROW($O48)-5&lt;RSI_Periods, "", AVERAGE(INDIRECT(ADDRESS(ROW($O48)-RSI_Periods +1, MATCH("Downmove", Price_Header,0))): INDIRECT(ADDRESS(ROW($O48),MATCH("Downmove", Price_Header,0)))))</f>
        <v>0.35142857142857054</v>
      </c>
      <c r="R48" s="46">
        <f ca="1">IF(tbl_FDX[[#This Row],[Avg_Upmove]]="", "", tbl_FDX[[#This Row],[Avg_Upmove]]/tbl_FDX[[#This Row],[Avg_Downmove]])</f>
        <v>7.6686991869918879</v>
      </c>
      <c r="S48" s="10">
        <f ca="1">IF(ROW($N48)-4&lt;BB_Periods, "", _xlfn.STDEV.S(INDIRECT(ADDRESS(ROW($F48)-RSI_Periods +1, MATCH("Adj Close", Price_Header,0))): INDIRECT(ADDRESS(ROW($F48),MATCH("Adj Close", Price_Header,0)))))</f>
        <v>9.9381544708116891</v>
      </c>
    </row>
    <row r="49" spans="1:19" x14ac:dyDescent="0.35">
      <c r="A49" s="8">
        <v>44116</v>
      </c>
      <c r="B49" s="10">
        <v>272.26</v>
      </c>
      <c r="C49" s="10">
        <v>274.20999999999998</v>
      </c>
      <c r="D49" s="10">
        <v>271.32</v>
      </c>
      <c r="E49" s="10">
        <v>273.5</v>
      </c>
      <c r="F49" s="10">
        <v>273.5</v>
      </c>
      <c r="G49">
        <v>2063600</v>
      </c>
      <c r="H49" s="10">
        <f>IF(tbl_FDX[[#This Row],[Date]]=$A$5, $F49, EMA_Beta*$H48 + (1-EMA_Beta)*$F49)</f>
        <v>254.50646043781154</v>
      </c>
      <c r="I49" s="46">
        <f ca="1">IF(tbl_FDX[[#This Row],[RS]]= "", "", 100-(100/(1+tbl_FDX[[#This Row],[RS]])))</f>
        <v>87.675350701402834</v>
      </c>
      <c r="J49" s="10">
        <f ca="1">IF(ROW($N49)-4&lt;BB_Periods, "", AVERAGE(INDIRECT(ADDRESS(ROW($F49)-RSI_Periods +1, MATCH("Adj Close", Price_Header,0))): INDIRECT(ADDRESS(ROW($F49),MATCH("Adj Close", Price_Header,0)))))</f>
        <v>257.47142857142859</v>
      </c>
      <c r="K49" s="10">
        <f ca="1">IF(tbl_FDX[[#This Row],[BB_Mean]]="", "", tbl_FDX[[#This Row],[BB_Mean]]+(BB_Width*tbl_FDX[[#This Row],[BB_Stdev]]))</f>
        <v>278.28615243868973</v>
      </c>
      <c r="L49" s="127">
        <f ca="1">IF(tbl_FDX[[#This Row],[BB_Mean]]="", "", tbl_FDX[[#This Row],[BB_Mean]]-(BB_Width*tbl_FDX[[#This Row],[BB_Stdev]]))</f>
        <v>236.65670470416745</v>
      </c>
      <c r="M49" s="46">
        <f>IF(ROW(tbl_FDX[[#This Row],[Adj Close]])=5, 0, $F49-$F48)</f>
        <v>1.9499999999999886</v>
      </c>
      <c r="N49" s="46">
        <f>MAX(tbl_FDX[[#This Row],[Move]],0)</f>
        <v>1.9499999999999886</v>
      </c>
      <c r="O49" s="46">
        <f>MAX(-tbl_FDX[[#This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2.5</v>
      </c>
      <c r="Q49" s="46">
        <f ca="1">IF(ROW($O49)-5&lt;RSI_Periods, "", AVERAGE(INDIRECT(ADDRESS(ROW($O49)-RSI_Periods +1, MATCH("Downmove", Price_Header,0))): INDIRECT(ADDRESS(ROW($O49),MATCH("Downmove", Price_Header,0)))))</f>
        <v>0.35142857142857054</v>
      </c>
      <c r="R49" s="46">
        <f ca="1">IF(tbl_FDX[[#This Row],[Avg_Upmove]]="", "", tbl_FDX[[#This Row],[Avg_Upmove]]/tbl_FDX[[#This Row],[Avg_Downmove]])</f>
        <v>7.1138211382114003</v>
      </c>
      <c r="S49" s="10">
        <f ca="1">IF(ROW($N49)-4&lt;BB_Periods, "", _xlfn.STDEV.S(INDIRECT(ADDRESS(ROW($F49)-RSI_Periods +1, MATCH("Adj Close", Price_Header,0))): INDIRECT(ADDRESS(ROW($F49),MATCH("Adj Close", Price_Header,0)))))</f>
        <v>10.407361933630565</v>
      </c>
    </row>
    <row r="50" spans="1:19" x14ac:dyDescent="0.35">
      <c r="A50" s="8">
        <v>44117</v>
      </c>
      <c r="B50" s="10">
        <v>272.32</v>
      </c>
      <c r="C50" s="10">
        <v>275.24</v>
      </c>
      <c r="D50" s="10">
        <v>271.85000000000002</v>
      </c>
      <c r="E50" s="10">
        <v>272.24</v>
      </c>
      <c r="F50" s="10">
        <v>272.24</v>
      </c>
      <c r="G50">
        <v>1657100</v>
      </c>
      <c r="H50" s="10">
        <f>IF(tbl_FDX[[#This Row],[Date]]=$A$5, $F50, EMA_Beta*$H49 + (1-EMA_Beta)*$F50)</f>
        <v>256.27981439403038</v>
      </c>
      <c r="I50" s="46">
        <f ca="1">IF(tbl_FDX[[#This Row],[RS]]= "", "", 100-(100/(1+tbl_FDX[[#This Row],[RS]])))</f>
        <v>89.331291475242523</v>
      </c>
      <c r="J50" s="10">
        <f ca="1">IF(ROW($N50)-4&lt;BB_Periods, "", AVERAGE(INDIRECT(ADDRESS(ROW($F50)-RSI_Periods +1, MATCH("Adj Close", Price_Header,0))): INDIRECT(ADDRESS(ROW($F50),MATCH("Adj Close", Price_Header,0)))))</f>
        <v>259.67285714285714</v>
      </c>
      <c r="K50" s="10">
        <f ca="1">IF(tbl_FDX[[#This Row],[BB_Mean]]="", "", tbl_FDX[[#This Row],[BB_Mean]]+(BB_Width*tbl_FDX[[#This Row],[BB_Stdev]]))</f>
        <v>279.67813095302483</v>
      </c>
      <c r="L50" s="127">
        <f ca="1">IF(tbl_FDX[[#This Row],[BB_Mean]]="", "", tbl_FDX[[#This Row],[BB_Mean]]-(BB_Width*tbl_FDX[[#This Row],[BB_Stdev]]))</f>
        <v>239.66758333268947</v>
      </c>
      <c r="M50" s="46">
        <f>IF(ROW(tbl_FDX[[#This Row],[Adj Close]])=5, 0, $F50-$F49)</f>
        <v>-1.2599999999999909</v>
      </c>
      <c r="N50" s="46">
        <f>MAX(tbl_FDX[[#This Row],[Move]],0)</f>
        <v>0</v>
      </c>
      <c r="O50" s="46">
        <f>MAX(-tbl_FDX[[#This Row],[Move]],0)</f>
        <v>1.2599999999999909</v>
      </c>
      <c r="P50" s="46">
        <f ca="1">IF(ROW($N50)-5&lt;RSI_Periods, "", AVERAGE(INDIRECT(ADDRESS(ROW($N50)-RSI_Periods +1, MATCH("Upmove", Price_Header,0))): INDIRECT(ADDRESS(ROW($N50),MATCH("Upmove", Price_Header,0)))))</f>
        <v>2.5</v>
      </c>
      <c r="Q50" s="46">
        <f ca="1">IF(ROW($O50)-5&lt;RSI_Periods, "", AVERAGE(INDIRECT(ADDRESS(ROW($O50)-RSI_Periods +1, MATCH("Downmove", Price_Header,0))): INDIRECT(ADDRESS(ROW($O50),MATCH("Downmove", Price_Header,0)))))</f>
        <v>0.29857142857142704</v>
      </c>
      <c r="R50" s="46">
        <f ca="1">IF(tbl_FDX[[#This Row],[Avg_Upmove]]="", "", tbl_FDX[[#This Row],[Avg_Upmove]]/tbl_FDX[[#This Row],[Avg_Downmove]])</f>
        <v>8.3732057416268368</v>
      </c>
      <c r="S50" s="10">
        <f ca="1">IF(ROW($N50)-4&lt;BB_Periods, "", _xlfn.STDEV.S(INDIRECT(ADDRESS(ROW($F50)-RSI_Periods +1, MATCH("Adj Close", Price_Header,0))): INDIRECT(ADDRESS(ROW($F50),MATCH("Adj Close", Price_Header,0)))))</f>
        <v>10.002636905083834</v>
      </c>
    </row>
    <row r="51" spans="1:19" x14ac:dyDescent="0.35">
      <c r="A51" s="8">
        <v>44118</v>
      </c>
      <c r="B51" s="10">
        <v>274.75</v>
      </c>
      <c r="C51" s="10">
        <v>278.95999999999998</v>
      </c>
      <c r="D51" s="10">
        <v>273.77</v>
      </c>
      <c r="E51" s="10">
        <v>276.24</v>
      </c>
      <c r="F51" s="10">
        <v>276.24</v>
      </c>
      <c r="G51">
        <v>2080600</v>
      </c>
      <c r="H51" s="10">
        <f>IF(tbl_FDX[[#This Row],[Date]]=$A$5, $F51, EMA_Beta*$H50 + (1-EMA_Beta)*$F51)</f>
        <v>258.27583295462733</v>
      </c>
      <c r="I51" s="46">
        <f ca="1">IF(tbl_FDX[[#This Row],[RS]]= "", "", 100-(100/(1+tbl_FDX[[#This Row],[RS]])))</f>
        <v>90.319592403890738</v>
      </c>
      <c r="J51" s="10">
        <f ca="1">IF(ROW($N51)-4&lt;BB_Periods, "", AVERAGE(INDIRECT(ADDRESS(ROW($F51)-RSI_Periods +1, MATCH("Adj Close", Price_Header,0))): INDIRECT(ADDRESS(ROW($F51),MATCH("Adj Close", Price_Header,0)))))</f>
        <v>262.15999999999997</v>
      </c>
      <c r="K51" s="10">
        <f ca="1">IF(tbl_FDX[[#This Row],[BB_Mean]]="", "", tbl_FDX[[#This Row],[BB_Mean]]+(BB_Width*tbl_FDX[[#This Row],[BB_Stdev]]))</f>
        <v>281.01480391754922</v>
      </c>
      <c r="L51" s="127">
        <f ca="1">IF(tbl_FDX[[#This Row],[BB_Mean]]="", "", tbl_FDX[[#This Row],[BB_Mean]]-(BB_Width*tbl_FDX[[#This Row],[BB_Stdev]]))</f>
        <v>243.30519608245072</v>
      </c>
      <c r="M51" s="46">
        <f>IF(ROW(tbl_FDX[[#This Row],[Adj Close]])=5, 0, $F51-$F50)</f>
        <v>4</v>
      </c>
      <c r="N51" s="46">
        <f>MAX(tbl_FDX[[#This Row],[Move]],0)</f>
        <v>4</v>
      </c>
      <c r="O51" s="46">
        <f>MAX(-tbl_FDX[[#This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2.7857142857142856</v>
      </c>
      <c r="Q51" s="46">
        <f ca="1">IF(ROW($O51)-5&lt;RSI_Periods, "", AVERAGE(INDIRECT(ADDRESS(ROW($O51)-RSI_Periods +1, MATCH("Downmove", Price_Header,0))): INDIRECT(ADDRESS(ROW($O51),MATCH("Downmove", Price_Header,0)))))</f>
        <v>0.29857142857142704</v>
      </c>
      <c r="R51" s="46">
        <f ca="1">IF(tbl_FDX[[#This Row],[Avg_Upmove]]="", "", tbl_FDX[[#This Row],[Avg_Upmove]]/tbl_FDX[[#This Row],[Avg_Downmove]])</f>
        <v>9.3301435406699031</v>
      </c>
      <c r="S51" s="10">
        <f ca="1">IF(ROW($N51)-4&lt;BB_Periods, "", _xlfn.STDEV.S(INDIRECT(ADDRESS(ROW($F51)-RSI_Periods +1, MATCH("Adj Close", Price_Header,0))): INDIRECT(ADDRESS(ROW($F51),MATCH("Adj Close", Price_Header,0)))))</f>
        <v>9.4274019587746309</v>
      </c>
    </row>
    <row r="52" spans="1:19" x14ac:dyDescent="0.35">
      <c r="A52" s="8">
        <v>44119</v>
      </c>
      <c r="B52" s="10">
        <v>273.08999999999997</v>
      </c>
      <c r="C52" s="10">
        <v>282.14</v>
      </c>
      <c r="D52" s="10">
        <v>271.75</v>
      </c>
      <c r="E52" s="10">
        <v>282.11</v>
      </c>
      <c r="F52" s="10">
        <v>282.11</v>
      </c>
      <c r="G52">
        <v>2254700</v>
      </c>
      <c r="H52" s="10">
        <f>IF(tbl_FDX[[#This Row],[Date]]=$A$5, $F52, EMA_Beta*$H51 + (1-EMA_Beta)*$F52)</f>
        <v>260.65924965916463</v>
      </c>
      <c r="I52" s="46">
        <f ca="1">IF(tbl_FDX[[#This Row],[RS]]= "", "", 100-(100/(1+tbl_FDX[[#This Row],[RS]])))</f>
        <v>89.62779156327548</v>
      </c>
      <c r="J52" s="10">
        <f ca="1">IF(ROW($N52)-4&lt;BB_Periods, "", AVERAGE(INDIRECT(ADDRESS(ROW($F52)-RSI_Periods +1, MATCH("Adj Close", Price_Header,0))): INDIRECT(ADDRESS(ROW($F52),MATCH("Adj Close", Price_Header,0)))))</f>
        <v>264.44142857142856</v>
      </c>
      <c r="K52" s="10">
        <f ca="1">IF(tbl_FDX[[#This Row],[BB_Mean]]="", "", tbl_FDX[[#This Row],[BB_Mean]]+(BB_Width*tbl_FDX[[#This Row],[BB_Stdev]]))</f>
        <v>284.72222943126849</v>
      </c>
      <c r="L52" s="127">
        <f ca="1">IF(tbl_FDX[[#This Row],[BB_Mean]]="", "", tbl_FDX[[#This Row],[BB_Mean]]-(BB_Width*tbl_FDX[[#This Row],[BB_Stdev]]))</f>
        <v>244.16062771158863</v>
      </c>
      <c r="M52" s="46">
        <f>IF(ROW(tbl_FDX[[#This Row],[Adj Close]])=5, 0, $F52-$F51)</f>
        <v>5.8700000000000045</v>
      </c>
      <c r="N52" s="46">
        <f>MAX(tbl_FDX[[#This Row],[Move]],0)</f>
        <v>5.8700000000000045</v>
      </c>
      <c r="O52" s="46">
        <f>MAX(-tbl_FDX[[#This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2.5800000000000005</v>
      </c>
      <c r="Q52" s="46">
        <f ca="1">IF(ROW($O52)-5&lt;RSI_Periods, "", AVERAGE(INDIRECT(ADDRESS(ROW($O52)-RSI_Periods +1, MATCH("Downmove", Price_Header,0))): INDIRECT(ADDRESS(ROW($O52),MATCH("Downmove", Price_Header,0)))))</f>
        <v>0.29857142857142704</v>
      </c>
      <c r="R52" s="46">
        <f ca="1">IF(tbl_FDX[[#This Row],[Avg_Upmove]]="", "", tbl_FDX[[#This Row],[Avg_Upmove]]/tbl_FDX[[#This Row],[Avg_Downmove]])</f>
        <v>8.6411483253588983</v>
      </c>
      <c r="S52" s="10">
        <f ca="1">IF(ROW($N52)-4&lt;BB_Periods, "", _xlfn.STDEV.S(INDIRECT(ADDRESS(ROW($F52)-RSI_Periods +1, MATCH("Adj Close", Price_Header,0))): INDIRECT(ADDRESS(ROW($F52),MATCH("Adj Close", Price_Header,0)))))</f>
        <v>10.140400429919962</v>
      </c>
    </row>
    <row r="53" spans="1:19" x14ac:dyDescent="0.35">
      <c r="A53" s="8">
        <v>44120</v>
      </c>
      <c r="B53" s="10">
        <v>284</v>
      </c>
      <c r="C53" s="10">
        <v>287.16000000000003</v>
      </c>
      <c r="D53" s="10">
        <v>282</v>
      </c>
      <c r="E53" s="10">
        <v>283.87</v>
      </c>
      <c r="F53" s="10">
        <v>283.87</v>
      </c>
      <c r="G53">
        <v>2990300</v>
      </c>
      <c r="H53" s="10">
        <f>IF(tbl_FDX[[#This Row],[Date]]=$A$5, $F53, EMA_Beta*$H52 + (1-EMA_Beta)*$F53)</f>
        <v>262.98032469324818</v>
      </c>
      <c r="I53" s="46">
        <f ca="1">IF(tbl_FDX[[#This Row],[RS]]= "", "", 100-(100/(1+tbl_FDX[[#This Row],[RS]])))</f>
        <v>88.938872717650213</v>
      </c>
      <c r="J53" s="10">
        <f ca="1">IF(ROW($N53)-4&lt;BB_Periods, "", AVERAGE(INDIRECT(ADDRESS(ROW($F53)-RSI_Periods +1, MATCH("Adj Close", Price_Header,0))): INDIRECT(ADDRESS(ROW($F53),MATCH("Adj Close", Price_Header,0)))))</f>
        <v>266.54357142857145</v>
      </c>
      <c r="K53" s="10">
        <f ca="1">IF(tbl_FDX[[#This Row],[BB_Mean]]="", "", tbl_FDX[[#This Row],[BB_Mean]]+(BB_Width*tbl_FDX[[#This Row],[BB_Stdev]]))</f>
        <v>288.39858403035635</v>
      </c>
      <c r="L53" s="127">
        <f ca="1">IF(tbl_FDX[[#This Row],[BB_Mean]]="", "", tbl_FDX[[#This Row],[BB_Mean]]-(BB_Width*tbl_FDX[[#This Row],[BB_Stdev]]))</f>
        <v>244.68855882678656</v>
      </c>
      <c r="M53" s="46">
        <f>IF(ROW(tbl_FDX[[#This Row],[Adj Close]])=5, 0, $F53-$F52)</f>
        <v>1.7599999999999909</v>
      </c>
      <c r="N53" s="46">
        <f>MAX(tbl_FDX[[#This Row],[Move]],0)</f>
        <v>1.7599999999999909</v>
      </c>
      <c r="O53" s="46">
        <f>MAX(-tbl_FDX[[#This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2.4007142857142845</v>
      </c>
      <c r="Q53" s="46">
        <f ca="1">IF(ROW($O53)-5&lt;RSI_Periods, "", AVERAGE(INDIRECT(ADDRESS(ROW($O53)-RSI_Periods +1, MATCH("Downmove", Price_Header,0))): INDIRECT(ADDRESS(ROW($O53),MATCH("Downmove", Price_Header,0)))))</f>
        <v>0.29857142857142704</v>
      </c>
      <c r="R53" s="46">
        <f ca="1">IF(tbl_FDX[[#This Row],[Avg_Upmove]]="", "", tbl_FDX[[#This Row],[Avg_Upmove]]/tbl_FDX[[#This Row],[Avg_Downmove]])</f>
        <v>8.0406698564593668</v>
      </c>
      <c r="S53" s="10">
        <f ca="1">IF(ROW($N53)-4&lt;BB_Periods, "", _xlfn.STDEV.S(INDIRECT(ADDRESS(ROW($F53)-RSI_Periods +1, MATCH("Adj Close", Price_Header,0))): INDIRECT(ADDRESS(ROW($F53),MATCH("Adj Close", Price_Header,0)))))</f>
        <v>10.927506300892443</v>
      </c>
    </row>
    <row r="54" spans="1:19" x14ac:dyDescent="0.35">
      <c r="A54" s="8">
        <v>44123</v>
      </c>
      <c r="B54" s="10">
        <v>284.81</v>
      </c>
      <c r="C54" s="10">
        <v>291.22000000000003</v>
      </c>
      <c r="D54" s="10">
        <v>279.56</v>
      </c>
      <c r="E54" s="10">
        <v>281.97000000000003</v>
      </c>
      <c r="F54" s="10">
        <v>281.97000000000003</v>
      </c>
      <c r="G54">
        <v>3450900</v>
      </c>
      <c r="H54" s="10">
        <f>IF(tbl_FDX[[#This Row],[Date]]=$A$5, $F54, EMA_Beta*$H53 + (1-EMA_Beta)*$F54)</f>
        <v>264.87929222392336</v>
      </c>
      <c r="I54" s="46">
        <f ca="1">IF(tbl_FDX[[#This Row],[RS]]= "", "", 100-(100/(1+tbl_FDX[[#This Row],[RS]])))</f>
        <v>86.735483870967826</v>
      </c>
      <c r="J54" s="10">
        <f ca="1">IF(ROW($N54)-4&lt;BB_Periods, "", AVERAGE(INDIRECT(ADDRESS(ROW($F54)-RSI_Periods +1, MATCH("Adj Close", Price_Header,0))): INDIRECT(ADDRESS(ROW($F54),MATCH("Adj Close", Price_Header,0)))))</f>
        <v>268.57714285714286</v>
      </c>
      <c r="K54" s="10">
        <f ca="1">IF(tbl_FDX[[#This Row],[BB_Mean]]="", "", tbl_FDX[[#This Row],[BB_Mean]]+(BB_Width*tbl_FDX[[#This Row],[BB_Stdev]]))</f>
        <v>290.50204465125177</v>
      </c>
      <c r="L54" s="127">
        <f ca="1">IF(tbl_FDX[[#This Row],[BB_Mean]]="", "", tbl_FDX[[#This Row],[BB_Mean]]-(BB_Width*tbl_FDX[[#This Row],[BB_Stdev]]))</f>
        <v>246.65224106303396</v>
      </c>
      <c r="M54" s="46">
        <f>IF(ROW(tbl_FDX[[#This Row],[Adj Close]])=5, 0, $F54-$F53)</f>
        <v>-1.8999999999999773</v>
      </c>
      <c r="N54" s="46">
        <f>MAX(tbl_FDX[[#This Row],[Move]],0)</f>
        <v>0</v>
      </c>
      <c r="O54" s="46">
        <f>MAX(-tbl_FDX[[#This Row],[Move]],0)</f>
        <v>1.8999999999999773</v>
      </c>
      <c r="P54" s="46">
        <f ca="1">IF(ROW($N54)-5&lt;RSI_Periods, "", AVERAGE(INDIRECT(ADDRESS(ROW($N54)-RSI_Periods +1, MATCH("Upmove", Price_Header,0))): INDIRECT(ADDRESS(ROW($N54),MATCH("Upmove", Price_Header,0)))))</f>
        <v>2.4007142857142845</v>
      </c>
      <c r="Q54" s="46">
        <f ca="1">IF(ROW($O54)-5&lt;RSI_Periods, "", AVERAGE(INDIRECT(ADDRESS(ROW($O54)-RSI_Periods +1, MATCH("Downmove", Price_Header,0))): INDIRECT(ADDRESS(ROW($O54),MATCH("Downmove", Price_Header,0)))))</f>
        <v>0.36714285714285416</v>
      </c>
      <c r="R54" s="46">
        <f ca="1">IF(tbl_FDX[[#This Row],[Avg_Upmove]]="", "", tbl_FDX[[#This Row],[Avg_Upmove]]/tbl_FDX[[#This Row],[Avg_Downmove]])</f>
        <v>6.5389105058366255</v>
      </c>
      <c r="S54" s="10">
        <f ca="1">IF(ROW($N54)-4&lt;BB_Periods, "", _xlfn.STDEV.S(INDIRECT(ADDRESS(ROW($F54)-RSI_Periods +1, MATCH("Adj Close", Price_Header,0))): INDIRECT(ADDRESS(ROW($F54),MATCH("Adj Close", Price_Header,0)))))</f>
        <v>10.962450897054445</v>
      </c>
    </row>
    <row r="55" spans="1:19" x14ac:dyDescent="0.35">
      <c r="A55" s="8">
        <v>44124</v>
      </c>
      <c r="B55" s="10">
        <v>284</v>
      </c>
      <c r="C55" s="10">
        <v>292.69</v>
      </c>
      <c r="D55" s="10">
        <v>283.11</v>
      </c>
      <c r="E55" s="10">
        <v>287.39999999999998</v>
      </c>
      <c r="F55" s="10">
        <v>287.39999999999998</v>
      </c>
      <c r="G55">
        <v>3924900</v>
      </c>
      <c r="H55" s="10">
        <f>IF(tbl_FDX[[#This Row],[Date]]=$A$5, $F55, EMA_Beta*$H54 + (1-EMA_Beta)*$F55)</f>
        <v>267.13136300153104</v>
      </c>
      <c r="I55" s="46">
        <f ca="1">IF(tbl_FDX[[#This Row],[RS]]= "", "", 100-(100/(1+tbl_FDX[[#This Row],[RS]])))</f>
        <v>92.51184834123228</v>
      </c>
      <c r="J55" s="10">
        <f ca="1">IF(ROW($N55)-4&lt;BB_Periods, "", AVERAGE(INDIRECT(ADDRESS(ROW($F55)-RSI_Periods +1, MATCH("Adj Close", Price_Header,0))): INDIRECT(ADDRESS(ROW($F55),MATCH("Adj Close", Price_Header,0)))))</f>
        <v>271.14</v>
      </c>
      <c r="K55" s="10">
        <f ca="1">IF(tbl_FDX[[#This Row],[BB_Mean]]="", "", tbl_FDX[[#This Row],[BB_Mean]]+(BB_Width*tbl_FDX[[#This Row],[BB_Stdev]]))</f>
        <v>292.86327925379732</v>
      </c>
      <c r="L55" s="127">
        <f ca="1">IF(tbl_FDX[[#This Row],[BB_Mean]]="", "", tbl_FDX[[#This Row],[BB_Mean]]-(BB_Width*tbl_FDX[[#This Row],[BB_Stdev]]))</f>
        <v>249.41672074620266</v>
      </c>
      <c r="M55" s="46">
        <f>IF(ROW(tbl_FDX[[#This Row],[Adj Close]])=5, 0, $F55-$F54)</f>
        <v>5.42999999999995</v>
      </c>
      <c r="N55" s="46">
        <f>MAX(tbl_FDX[[#This Row],[Move]],0)</f>
        <v>5.42999999999995</v>
      </c>
      <c r="O55" s="46">
        <f>MAX(-tbl_FDX[[#This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2.7885714285714238</v>
      </c>
      <c r="Q55" s="46">
        <f ca="1">IF(ROW($O55)-5&lt;RSI_Periods, "", AVERAGE(INDIRECT(ADDRESS(ROW($O55)-RSI_Periods +1, MATCH("Downmove", Price_Header,0))): INDIRECT(ADDRESS(ROW($O55),MATCH("Downmove", Price_Header,0)))))</f>
        <v>0.22571428571428345</v>
      </c>
      <c r="R55" s="46">
        <f ca="1">IF(tbl_FDX[[#This Row],[Avg_Upmove]]="", "", tbl_FDX[[#This Row],[Avg_Upmove]]/tbl_FDX[[#This Row],[Avg_Downmove]])</f>
        <v>12.354430379746939</v>
      </c>
      <c r="S55" s="10">
        <f ca="1">IF(ROW($N55)-4&lt;BB_Periods, "", _xlfn.STDEV.S(INDIRECT(ADDRESS(ROW($F55)-RSI_Periods +1, MATCH("Adj Close", Price_Header,0))): INDIRECT(ADDRESS(ROW($F55),MATCH("Adj Close", Price_Header,0)))))</f>
        <v>10.86163962689867</v>
      </c>
    </row>
    <row r="56" spans="1:19" x14ac:dyDescent="0.35">
      <c r="A56" s="8">
        <v>44125</v>
      </c>
      <c r="B56" s="10">
        <v>289.16000000000003</v>
      </c>
      <c r="C56" s="10">
        <v>293.3</v>
      </c>
      <c r="D56" s="10">
        <v>282.26</v>
      </c>
      <c r="E56" s="10">
        <v>282.27999999999997</v>
      </c>
      <c r="F56" s="10">
        <v>282.27999999999997</v>
      </c>
      <c r="G56">
        <v>3219200</v>
      </c>
      <c r="H56" s="10">
        <f>IF(tbl_FDX[[#This Row],[Date]]=$A$5, $F56, EMA_Beta*$H55 + (1-EMA_Beta)*$F56)</f>
        <v>268.64622670137794</v>
      </c>
      <c r="I56" s="46">
        <f ca="1">IF(tbl_FDX[[#This Row],[RS]]= "", "", 100-(100/(1+tbl_FDX[[#This Row],[RS]])))</f>
        <v>81.501340482573752</v>
      </c>
      <c r="J56" s="10">
        <f ca="1">IF(ROW($N56)-4&lt;BB_Periods, "", AVERAGE(INDIRECT(ADDRESS(ROW($F56)-RSI_Periods +1, MATCH("Adj Close", Price_Header,0))): INDIRECT(ADDRESS(ROW($F56),MATCH("Adj Close", Price_Header,0)))))</f>
        <v>273.15428571428572</v>
      </c>
      <c r="K56" s="10">
        <f ca="1">IF(tbl_FDX[[#This Row],[BB_Mean]]="", "", tbl_FDX[[#This Row],[BB_Mean]]+(BB_Width*tbl_FDX[[#This Row],[BB_Stdev]]))</f>
        <v>293.23053224408494</v>
      </c>
      <c r="L56" s="127">
        <f ca="1">IF(tbl_FDX[[#This Row],[BB_Mean]]="", "", tbl_FDX[[#This Row],[BB_Mean]]-(BB_Width*tbl_FDX[[#This Row],[BB_Stdev]]))</f>
        <v>253.0780391844865</v>
      </c>
      <c r="M56" s="46">
        <f>IF(ROW(tbl_FDX[[#This Row],[Adj Close]])=5, 0, $F56-$F55)</f>
        <v>-5.1200000000000045</v>
      </c>
      <c r="N56" s="46">
        <f>MAX(tbl_FDX[[#This Row],[Move]],0)</f>
        <v>0</v>
      </c>
      <c r="O56" s="46">
        <f>MAX(-tbl_FDX[[#This Row],[Move]],0)</f>
        <v>5.1200000000000045</v>
      </c>
      <c r="P56" s="46">
        <f ca="1">IF(ROW($N56)-5&lt;RSI_Periods, "", AVERAGE(INDIRECT(ADDRESS(ROW($N56)-RSI_Periods +1, MATCH("Upmove", Price_Header,0))): INDIRECT(ADDRESS(ROW($N56),MATCH("Upmove", Price_Header,0)))))</f>
        <v>2.605714285714281</v>
      </c>
      <c r="Q56" s="46">
        <f ca="1">IF(ROW($O56)-5&lt;RSI_Periods, "", AVERAGE(INDIRECT(ADDRESS(ROW($O56)-RSI_Periods +1, MATCH("Downmove", Price_Header,0))): INDIRECT(ADDRESS(ROW($O56),MATCH("Downmove", Price_Header,0)))))</f>
        <v>0.59142857142856953</v>
      </c>
      <c r="R56" s="46">
        <f ca="1">IF(tbl_FDX[[#This Row],[Avg_Upmove]]="", "", tbl_FDX[[#This Row],[Avg_Upmove]]/tbl_FDX[[#This Row],[Avg_Downmove]])</f>
        <v>4.4057971014492816</v>
      </c>
      <c r="S56" s="10">
        <f ca="1">IF(ROW($N56)-4&lt;BB_Periods, "", _xlfn.STDEV.S(INDIRECT(ADDRESS(ROW($F56)-RSI_Periods +1, MATCH("Adj Close", Price_Header,0))): INDIRECT(ADDRESS(ROW($F56),MATCH("Adj Close", Price_Header,0)))))</f>
        <v>10.03812326489961</v>
      </c>
    </row>
    <row r="57" spans="1:19" x14ac:dyDescent="0.35">
      <c r="A57" s="8">
        <v>44126</v>
      </c>
      <c r="B57" s="10">
        <v>283.58</v>
      </c>
      <c r="C57" s="10">
        <v>285.64</v>
      </c>
      <c r="D57" s="10">
        <v>274.02</v>
      </c>
      <c r="E57" s="10">
        <v>275.95</v>
      </c>
      <c r="F57" s="10">
        <v>275.95</v>
      </c>
      <c r="G57">
        <v>2962900</v>
      </c>
      <c r="H57" s="10">
        <f>IF(tbl_FDX[[#This Row],[Date]]=$A$5, $F57, EMA_Beta*$H56 + (1-EMA_Beta)*$F57)</f>
        <v>269.37660403124016</v>
      </c>
      <c r="I57" s="46">
        <f ca="1">IF(tbl_FDX[[#This Row],[RS]]= "", "", 100-(100/(1+tbl_FDX[[#This Row],[RS]])))</f>
        <v>70.762457474484734</v>
      </c>
      <c r="J57" s="10">
        <f ca="1">IF(ROW($N57)-4&lt;BB_Periods, "", AVERAGE(INDIRECT(ADDRESS(ROW($F57)-RSI_Periods +1, MATCH("Adj Close", Price_Header,0))): INDIRECT(ADDRESS(ROW($F57),MATCH("Adj Close", Price_Header,0)))))</f>
        <v>274.63642857142855</v>
      </c>
      <c r="K57" s="10">
        <f ca="1">IF(tbl_FDX[[#This Row],[BB_Mean]]="", "", tbl_FDX[[#This Row],[BB_Mean]]+(BB_Width*tbl_FDX[[#This Row],[BB_Stdev]]))</f>
        <v>291.86463550905603</v>
      </c>
      <c r="L57" s="127">
        <f ca="1">IF(tbl_FDX[[#This Row],[BB_Mean]]="", "", tbl_FDX[[#This Row],[BB_Mean]]-(BB_Width*tbl_FDX[[#This Row],[BB_Stdev]]))</f>
        <v>257.40822163380108</v>
      </c>
      <c r="M57" s="46">
        <f>IF(ROW(tbl_FDX[[#This Row],[Adj Close]])=5, 0, $F57-$F56)</f>
        <v>-6.3299999999999841</v>
      </c>
      <c r="N57" s="46">
        <f>MAX(tbl_FDX[[#This Row],[Move]],0)</f>
        <v>0</v>
      </c>
      <c r="O57" s="46">
        <f>MAX(-tbl_FDX[[#This Row],[Move]],0)</f>
        <v>6.3299999999999841</v>
      </c>
      <c r="P57" s="46">
        <f ca="1">IF(ROW($N57)-5&lt;RSI_Periods, "", AVERAGE(INDIRECT(ADDRESS(ROW($N57)-RSI_Periods +1, MATCH("Upmove", Price_Header,0))): INDIRECT(ADDRESS(ROW($N57),MATCH("Upmove", Price_Header,0)))))</f>
        <v>2.5257142857142827</v>
      </c>
      <c r="Q57" s="46">
        <f ca="1">IF(ROW($O57)-5&lt;RSI_Periods, "", AVERAGE(INDIRECT(ADDRESS(ROW($O57)-RSI_Periods +1, MATCH("Downmove", Price_Header,0))): INDIRECT(ADDRESS(ROW($O57),MATCH("Downmove", Price_Header,0)))))</f>
        <v>1.0435714285714255</v>
      </c>
      <c r="R57" s="46">
        <f ca="1">IF(tbl_FDX[[#This Row],[Avg_Upmove]]="", "", tbl_FDX[[#This Row],[Avg_Upmove]]/tbl_FDX[[#This Row],[Avg_Downmove]])</f>
        <v>2.4202600958247817</v>
      </c>
      <c r="S57" s="10">
        <f ca="1">IF(ROW($N57)-4&lt;BB_Periods, "", _xlfn.STDEV.S(INDIRECT(ADDRESS(ROW($F57)-RSI_Periods +1, MATCH("Adj Close", Price_Header,0))): INDIRECT(ADDRESS(ROW($F57),MATCH("Adj Close", Price_Header,0)))))</f>
        <v>8.6141034688137239</v>
      </c>
    </row>
    <row r="58" spans="1:19" x14ac:dyDescent="0.35">
      <c r="A58" s="8">
        <v>44127</v>
      </c>
      <c r="B58" s="10">
        <v>278.29000000000002</v>
      </c>
      <c r="C58" s="10">
        <v>283.87</v>
      </c>
      <c r="D58" s="10">
        <v>276.86</v>
      </c>
      <c r="E58" s="10">
        <v>283.56</v>
      </c>
      <c r="F58" s="10">
        <v>283.56</v>
      </c>
      <c r="G58">
        <v>2498300</v>
      </c>
      <c r="H58" s="10">
        <f>IF(tbl_FDX[[#This Row],[Date]]=$A$5, $F58, EMA_Beta*$H57 + (1-EMA_Beta)*$F58)</f>
        <v>270.79494362811613</v>
      </c>
      <c r="I58" s="46">
        <f ca="1">IF(tbl_FDX[[#This Row],[RS]]= "", "", 100-(100/(1+tbl_FDX[[#This Row],[RS]])))</f>
        <v>72.727272727272776</v>
      </c>
      <c r="J58" s="10">
        <f ca="1">IF(ROW($N58)-4&lt;BB_Periods, "", AVERAGE(INDIRECT(ADDRESS(ROW($F58)-RSI_Periods +1, MATCH("Adj Close", Price_Header,0))): INDIRECT(ADDRESS(ROW($F58),MATCH("Adj Close", Price_Header,0)))))</f>
        <v>276.37571428571425</v>
      </c>
      <c r="K58" s="10">
        <f ca="1">IF(tbl_FDX[[#This Row],[BB_Mean]]="", "", tbl_FDX[[#This Row],[BB_Mean]]+(BB_Width*tbl_FDX[[#This Row],[BB_Stdev]]))</f>
        <v>291.70733011562743</v>
      </c>
      <c r="L58" s="127">
        <f ca="1">IF(tbl_FDX[[#This Row],[BB_Mean]]="", "", tbl_FDX[[#This Row],[BB_Mean]]-(BB_Width*tbl_FDX[[#This Row],[BB_Stdev]]))</f>
        <v>261.04409845580108</v>
      </c>
      <c r="M58" s="46">
        <f>IF(ROW(tbl_FDX[[#This Row],[Adj Close]])=5, 0, $F58-$F57)</f>
        <v>7.6100000000000136</v>
      </c>
      <c r="N58" s="46">
        <f>MAX(tbl_FDX[[#This Row],[Move]],0)</f>
        <v>7.6100000000000136</v>
      </c>
      <c r="O58" s="46">
        <f>MAX(-tbl_FDX[[#This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2.7828571428571416</v>
      </c>
      <c r="Q58" s="46">
        <f ca="1">IF(ROW($O58)-5&lt;RSI_Periods, "", AVERAGE(INDIRECT(ADDRESS(ROW($O58)-RSI_Periods +1, MATCH("Downmove", Price_Header,0))): INDIRECT(ADDRESS(ROW($O58),MATCH("Downmove", Price_Header,0)))))</f>
        <v>1.0435714285714255</v>
      </c>
      <c r="R58" s="46">
        <f ca="1">IF(tbl_FDX[[#This Row],[Avg_Upmove]]="", "", tbl_FDX[[#This Row],[Avg_Upmove]]/tbl_FDX[[#This Row],[Avg_Downmove]])</f>
        <v>2.6666666666666732</v>
      </c>
      <c r="S58" s="10">
        <f ca="1">IF(ROW($N58)-4&lt;BB_Periods, "", _xlfn.STDEV.S(INDIRECT(ADDRESS(ROW($F58)-RSI_Periods +1, MATCH("Adj Close", Price_Header,0))): INDIRECT(ADDRESS(ROW($F58),MATCH("Adj Close", Price_Header,0)))))</f>
        <v>7.6658079149565852</v>
      </c>
    </row>
    <row r="59" spans="1:19" x14ac:dyDescent="0.35">
      <c r="A59" s="8">
        <v>44130</v>
      </c>
      <c r="B59" s="10">
        <v>279.99</v>
      </c>
      <c r="C59" s="10">
        <v>280.5</v>
      </c>
      <c r="D59" s="10">
        <v>273.39999999999998</v>
      </c>
      <c r="E59" s="10">
        <v>277.62</v>
      </c>
      <c r="F59" s="10">
        <v>277.62</v>
      </c>
      <c r="G59">
        <v>2321400</v>
      </c>
      <c r="H59" s="10">
        <f>IF(tbl_FDX[[#This Row],[Date]]=$A$5, $F59, EMA_Beta*$H58 + (1-EMA_Beta)*$F59)</f>
        <v>271.47744926530453</v>
      </c>
      <c r="I59" s="46">
        <f ca="1">IF(tbl_FDX[[#This Row],[RS]]= "", "", 100-(100/(1+tbl_FDX[[#This Row],[RS]])))</f>
        <v>65.433137089991618</v>
      </c>
      <c r="J59" s="10">
        <f ca="1">IF(ROW($N59)-4&lt;BB_Periods, "", AVERAGE(INDIRECT(ADDRESS(ROW($F59)-RSI_Periods +1, MATCH("Adj Close", Price_Header,0))): INDIRECT(ADDRESS(ROW($F59),MATCH("Adj Close", Price_Header,0)))))</f>
        <v>277.68642857142856</v>
      </c>
      <c r="K59" s="10">
        <f ca="1">IF(tbl_FDX[[#This Row],[BB_Mean]]="", "", tbl_FDX[[#This Row],[BB_Mean]]+(BB_Width*tbl_FDX[[#This Row],[BB_Stdev]]))</f>
        <v>289.43810434624822</v>
      </c>
      <c r="L59" s="127">
        <f ca="1">IF(tbl_FDX[[#This Row],[BB_Mean]]="", "", tbl_FDX[[#This Row],[BB_Mean]]-(BB_Width*tbl_FDX[[#This Row],[BB_Stdev]]))</f>
        <v>265.9347527966089</v>
      </c>
      <c r="M59" s="46">
        <f>IF(ROW(tbl_FDX[[#This Row],[Adj Close]])=5, 0, $F59-$F58)</f>
        <v>-5.9399999999999977</v>
      </c>
      <c r="N59" s="46">
        <f>MAX(tbl_FDX[[#This Row],[Move]],0)</f>
        <v>0</v>
      </c>
      <c r="O59" s="46">
        <f>MAX(-tbl_FDX[[#This Row],[Move]],0)</f>
        <v>5.9399999999999977</v>
      </c>
      <c r="P59" s="46">
        <f ca="1">IF(ROW($N59)-5&lt;RSI_Periods, "", AVERAGE(INDIRECT(ADDRESS(ROW($N59)-RSI_Periods +1, MATCH("Upmove", Price_Header,0))): INDIRECT(ADDRESS(ROW($N59),MATCH("Upmove", Price_Header,0)))))</f>
        <v>2.7785714285714271</v>
      </c>
      <c r="Q59" s="46">
        <f ca="1">IF(ROW($O59)-5&lt;RSI_Periods, "", AVERAGE(INDIRECT(ADDRESS(ROW($O59)-RSI_Periods +1, MATCH("Downmove", Price_Header,0))): INDIRECT(ADDRESS(ROW($O59),MATCH("Downmove", Price_Header,0)))))</f>
        <v>1.4678571428571396</v>
      </c>
      <c r="R59" s="46">
        <f ca="1">IF(tbl_FDX[[#This Row],[Avg_Upmove]]="", "", tbl_FDX[[#This Row],[Avg_Upmove]]/tbl_FDX[[#This Row],[Avg_Downmove]])</f>
        <v>1.8929440389294436</v>
      </c>
      <c r="S59" s="10">
        <f ca="1">IF(ROW($N59)-4&lt;BB_Periods, "", _xlfn.STDEV.S(INDIRECT(ADDRESS(ROW($F59)-RSI_Periods +1, MATCH("Adj Close", Price_Header,0))): INDIRECT(ADDRESS(ROW($F59),MATCH("Adj Close", Price_Header,0)))))</f>
        <v>5.8758378874098343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J60" s="61"/>
      <c r="K60" s="61"/>
      <c r="L60" s="61"/>
      <c r="S60" s="61">
        <f ca="1">SUBTOTAL(103,tbl_FDX[BB_Stdev])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60"/>
  <sheetViews>
    <sheetView topLeftCell="A53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3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3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3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3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3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3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3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3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3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3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3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3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3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3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3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3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3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3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35">
      <c r="A37" s="8">
        <v>44098</v>
      </c>
      <c r="B37">
        <v>18.100000000000001</v>
      </c>
      <c r="C37">
        <v>20.69</v>
      </c>
      <c r="D37">
        <v>16.149999999999999</v>
      </c>
      <c r="E37">
        <v>19.100000000000001</v>
      </c>
      <c r="F37">
        <v>19.100000000000001</v>
      </c>
      <c r="G37">
        <v>51692400</v>
      </c>
      <c r="H37" s="10">
        <f>IF(tbl_NKLA[[#This Row],[Date]]=$A$5, $F37, EMA_Beta*$H36 + (1-EMA_Beta)*$F37)</f>
        <v>32.805119585893635</v>
      </c>
      <c r="I37" s="46">
        <f ca="1">IF(tbl_NKLA[[#This Row],[RS]]= "", "", 100-(100/(1+tbl_NKLA[[#This Row],[RS]])))</f>
        <v>35.301223992813249</v>
      </c>
      <c r="J37" s="10">
        <f ca="1">IF(ROW($N37)-4&lt;BB_Periods, "", AVERAGE(INDIRECT(ADDRESS(ROW($F37)-RSI_Periods +1, MATCH("Adj Close", Price_Header,0))): INDIRECT(ADDRESS(ROW($F37),MATCH("Adj Close", Price_Header,0)))))</f>
        <v>33.137857285714276</v>
      </c>
      <c r="K37" s="10">
        <f ca="1">IF(tbl_NKLA[[#This Row],[BB_Mean]]="", "", tbl_NKLA[[#This Row],[BB_Mean]]+(BB_Width*tbl_NKLA[[#This Row],[BB_Stdev]]))</f>
        <v>48.822666037574265</v>
      </c>
      <c r="L37" s="10">
        <f ca="1">IF(tbl_NKLA[[#This Row],[BB_Mean]]="", "", tbl_NKLA[[#This Row],[BB_Mean]]-(BB_Width*tbl_NKLA[[#This Row],[BB_Stdev]]))</f>
        <v>17.453048533854286</v>
      </c>
      <c r="M37" s="46">
        <f>IF(ROW(tbl_NKLA[[#This Row],[Adj Close]])=5, 0, $F37-$F36)</f>
        <v>-2.0499999999999972</v>
      </c>
      <c r="N37" s="46">
        <f>MAX(tbl_NKLA[[#This Row],[Move]],0)</f>
        <v>0</v>
      </c>
      <c r="O37" s="46">
        <f>MAX(-tbl_NKLA[[#This Row],[Move]],0)</f>
        <v>2.0499999999999972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2.6771427857142851</v>
      </c>
      <c r="R37" s="46">
        <f ca="1">IF(tbl_NKLA[[#This Row],[Avg_Upmove]]="", "", tbl_NKLA[[#This Row],[Avg_Upmove]]/tbl_NKLA[[#This Row],[Avg_Downmove]])</f>
        <v>0.54562429417354041</v>
      </c>
      <c r="S37" s="10">
        <f ca="1">IF(ROW($N37)-4&lt;BB_Periods, "", _xlfn.STDEV.S(INDIRECT(ADDRESS(ROW($F37)-RSI_Periods +1, MATCH("Adj Close", Price_Header,0))): INDIRECT(ADDRESS(ROW($F37),MATCH("Adj Close", Price_Header,0)))))</f>
        <v>7.8424043759299957</v>
      </c>
    </row>
    <row r="38" spans="1:19" x14ac:dyDescent="0.35">
      <c r="A38" s="8">
        <v>44099</v>
      </c>
      <c r="B38">
        <v>19.52</v>
      </c>
      <c r="C38">
        <v>20.98</v>
      </c>
      <c r="D38">
        <v>18.82</v>
      </c>
      <c r="E38">
        <v>19.46</v>
      </c>
      <c r="F38">
        <v>19.46</v>
      </c>
      <c r="G38">
        <v>24713800</v>
      </c>
      <c r="H38" s="10">
        <f>IF(tbl_NKLA[[#This Row],[Date]]=$A$5, $F38, EMA_Beta*$H37 + (1-EMA_Beta)*$F38)</f>
        <v>31.470607627304275</v>
      </c>
      <c r="I38" s="46">
        <f ca="1">IF(tbl_NKLA[[#This Row],[RS]]= "", "", 100-(100/(1+tbl_NKLA[[#This Row],[RS]])))</f>
        <v>36.059608045365451</v>
      </c>
      <c r="J38" s="10">
        <f ca="1">IF(ROW($N38)-4&lt;BB_Periods, "", AVERAGE(INDIRECT(ADDRESS(ROW($F38)-RSI_Periods +1, MATCH("Adj Close", Price_Header,0))): INDIRECT(ADDRESS(ROW($F38),MATCH("Adj Close", Price_Header,0)))))</f>
        <v>31.988571642857135</v>
      </c>
      <c r="K38" s="10">
        <f ca="1">IF(tbl_NKLA[[#This Row],[BB_Mean]]="", "", tbl_NKLA[[#This Row],[BB_Mean]]+(BB_Width*tbl_NKLA[[#This Row],[BB_Stdev]]))</f>
        <v>49.196050612342475</v>
      </c>
      <c r="L38" s="10">
        <f ca="1">IF(tbl_NKLA[[#This Row],[BB_Mean]]="", "", tbl_NKLA[[#This Row],[BB_Mean]]-(BB_Width*tbl_NKLA[[#This Row],[BB_Stdev]]))</f>
        <v>14.781092673371791</v>
      </c>
      <c r="M38" s="46">
        <f>IF(ROW(tbl_NKLA[[#This Row],[Adj Close]])=5, 0, $F38-$F37)</f>
        <v>0.35999999999999943</v>
      </c>
      <c r="N38" s="46">
        <f>MAX(tbl_NKLA[[#This Row],[Move]],0)</f>
        <v>0.35999999999999943</v>
      </c>
      <c r="O38" s="46">
        <f>MAX(-tbl_NKLA[[#This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1.4864284285714284</v>
      </c>
      <c r="Q38" s="46">
        <f ca="1">IF(ROW($O38)-5&lt;RSI_Periods, "", AVERAGE(INDIRECT(ADDRESS(ROW($O38)-RSI_Periods +1, MATCH("Downmove", Price_Header,0))): INDIRECT(ADDRESS(ROW($O38),MATCH("Downmove", Price_Header,0)))))</f>
        <v>2.6357140714285712</v>
      </c>
      <c r="R38" s="46">
        <f ca="1">IF(tbl_NKLA[[#This Row],[Avg_Upmove]]="", "", tbl_NKLA[[#This Row],[Avg_Upmove]]/tbl_NKLA[[#This Row],[Avg_Downmove]])</f>
        <v>0.56395663121598627</v>
      </c>
      <c r="S38" s="10">
        <f ca="1">IF(ROW($N38)-4&lt;BB_Periods, "", _xlfn.STDEV.S(INDIRECT(ADDRESS(ROW($F38)-RSI_Periods +1, MATCH("Adj Close", Price_Header,0))): INDIRECT(ADDRESS(ROW($F38),MATCH("Adj Close", Price_Header,0)))))</f>
        <v>8.6037394847426718</v>
      </c>
    </row>
    <row r="39" spans="1:19" x14ac:dyDescent="0.35">
      <c r="A39" s="8">
        <v>44102</v>
      </c>
      <c r="B39">
        <v>19.66</v>
      </c>
      <c r="C39">
        <v>20.149999999999999</v>
      </c>
      <c r="D39">
        <v>17.88</v>
      </c>
      <c r="E39">
        <v>19.3</v>
      </c>
      <c r="F39">
        <v>19.3</v>
      </c>
      <c r="G39">
        <v>23996800</v>
      </c>
      <c r="H39" s="10">
        <f>IF(tbl_NKLA[[#This Row],[Date]]=$A$5, $F39, EMA_Beta*$H38 + (1-EMA_Beta)*$F39)</f>
        <v>30.253546864573849</v>
      </c>
      <c r="I39" s="46">
        <f ca="1">IF(tbl_NKLA[[#This Row],[RS]]= "", "", 100-(100/(1+tbl_NKLA[[#This Row],[RS]])))</f>
        <v>14.549224642520699</v>
      </c>
      <c r="J39" s="10">
        <f ca="1">IF(ROW($N39)-4&lt;BB_Periods, "", AVERAGE(INDIRECT(ADDRESS(ROW($F39)-RSI_Periods +1, MATCH("Adj Close", Price_Header,0))): INDIRECT(ADDRESS(ROW($F39),MATCH("Adj Close", Price_Header,0)))))</f>
        <v>29.792143142857139</v>
      </c>
      <c r="K39" s="10">
        <f ca="1">IF(tbl_NKLA[[#This Row],[BB_Mean]]="", "", tbl_NKLA[[#This Row],[BB_Mean]]+(BB_Width*tbl_NKLA[[#This Row],[BB_Stdev]]))</f>
        <v>44.774808496341777</v>
      </c>
      <c r="L39" s="10">
        <f ca="1">IF(tbl_NKLA[[#This Row],[BB_Mean]]="", "", tbl_NKLA[[#This Row],[BB_Mean]]-(BB_Width*tbl_NKLA[[#This Row],[BB_Stdev]]))</f>
        <v>14.809477789372503</v>
      </c>
      <c r="M39" s="46">
        <f>IF(ROW(tbl_NKLA[[#This Row],[Adj Close]])=5, 0, $F39-$F38)</f>
        <v>-0.16000000000000014</v>
      </c>
      <c r="N39" s="46">
        <f>MAX(tbl_NKLA[[#This Row],[Move]],0)</f>
        <v>0</v>
      </c>
      <c r="O39" s="46">
        <f>MAX(-tbl_NKLA[[#This Row],[Move]],0)</f>
        <v>0.16000000000000014</v>
      </c>
      <c r="P39" s="46">
        <f ca="1">IF(ROW($N39)-5&lt;RSI_Periods, "", AVERAGE(INDIRECT(ADDRESS(ROW($N39)-RSI_Periods +1, MATCH("Upmove", Price_Header,0))): INDIRECT(ADDRESS(ROW($N39),MATCH("Upmove", Price_Header,0)))))</f>
        <v>0.45071414285714262</v>
      </c>
      <c r="Q39" s="46">
        <f ca="1">IF(ROW($O39)-5&lt;RSI_Periods, "", AVERAGE(INDIRECT(ADDRESS(ROW($O39)-RSI_Periods +1, MATCH("Downmove", Price_Header,0))): INDIRECT(ADDRESS(ROW($O39),MATCH("Downmove", Price_Header,0)))))</f>
        <v>2.6471426428571427</v>
      </c>
      <c r="R39" s="46">
        <f ca="1">IF(tbl_NKLA[[#This Row],[Avg_Upmove]]="", "", tbl_NKLA[[#This Row],[Avg_Upmove]]/tbl_NKLA[[#This Row],[Avg_Downmove]])</f>
        <v>0.17026439586597908</v>
      </c>
      <c r="S39" s="10">
        <f ca="1">IF(ROW($N39)-4&lt;BB_Periods, "", _xlfn.STDEV.S(INDIRECT(ADDRESS(ROW($F39)-RSI_Periods +1, MATCH("Adj Close", Price_Header,0))): INDIRECT(ADDRESS(ROW($F39),MATCH("Adj Close", Price_Header,0)))))</f>
        <v>7.4913326767423181</v>
      </c>
    </row>
    <row r="40" spans="1:19" x14ac:dyDescent="0.35">
      <c r="A40" s="8">
        <v>44103</v>
      </c>
      <c r="B40">
        <v>18.690000000000001</v>
      </c>
      <c r="C40">
        <v>18.79</v>
      </c>
      <c r="D40">
        <v>17.510000000000002</v>
      </c>
      <c r="E40">
        <v>17.88</v>
      </c>
      <c r="F40">
        <v>17.88</v>
      </c>
      <c r="G40">
        <v>30987200</v>
      </c>
      <c r="H40" s="10">
        <f>IF(tbl_NKLA[[#This Row],[Date]]=$A$5, $F40, EMA_Beta*$H39 + (1-EMA_Beta)*$F40)</f>
        <v>29.016192178116466</v>
      </c>
      <c r="I40" s="46">
        <f ca="1">IF(tbl_NKLA[[#This Row],[RS]]= "", "", 100-(100/(1+tbl_NKLA[[#This Row],[RS]])))</f>
        <v>17.003500000471561</v>
      </c>
      <c r="J40" s="10">
        <f ca="1">IF(ROW($N40)-4&lt;BB_Periods, "", AVERAGE(INDIRECT(ADDRESS(ROW($F40)-RSI_Periods +1, MATCH("Adj Close", Price_Header,0))): INDIRECT(ADDRESS(ROW($F40),MATCH("Adj Close", Price_Header,0)))))</f>
        <v>28.0428575</v>
      </c>
      <c r="K40" s="10">
        <f ca="1">IF(tbl_NKLA[[#This Row],[BB_Mean]]="", "", tbl_NKLA[[#This Row],[BB_Mean]]+(BB_Width*tbl_NKLA[[#This Row],[BB_Stdev]]))</f>
        <v>42.405389323149834</v>
      </c>
      <c r="L40" s="10">
        <f ca="1">IF(tbl_NKLA[[#This Row],[BB_Mean]]="", "", tbl_NKLA[[#This Row],[BB_Mean]]-(BB_Width*tbl_NKLA[[#This Row],[BB_Stdev]]))</f>
        <v>13.680325676850167</v>
      </c>
      <c r="M40" s="46">
        <f>IF(ROW(tbl_NKLA[[#This Row],[Adj Close]])=5, 0, $F40-$F39)</f>
        <v>-1.4200000000000017</v>
      </c>
      <c r="N40" s="46">
        <f>MAX(tbl_NKLA[[#This Row],[Move]],0)</f>
        <v>0</v>
      </c>
      <c r="O40" s="46">
        <f>MAX(-tbl_NKLA[[#This Row],[Move]],0)</f>
        <v>1.4200000000000017</v>
      </c>
      <c r="P40" s="46">
        <f ca="1">IF(ROW($N40)-5&lt;RSI_Periods, "", AVERAGE(INDIRECT(ADDRESS(ROW($N40)-RSI_Periods +1, MATCH("Upmove", Price_Header,0))): INDIRECT(ADDRESS(ROW($N40),MATCH("Upmove", Price_Header,0)))))</f>
        <v>0.45071414285714262</v>
      </c>
      <c r="Q40" s="46">
        <f ca="1">IF(ROW($O40)-5&lt;RSI_Periods, "", AVERAGE(INDIRECT(ADDRESS(ROW($O40)-RSI_Periods +1, MATCH("Downmove", Price_Header,0))): INDIRECT(ADDRESS(ROW($O40),MATCH("Downmove", Price_Header,0)))))</f>
        <v>2.1999997857142857</v>
      </c>
      <c r="R40" s="46">
        <f ca="1">IF(tbl_NKLA[[#This Row],[Avg_Upmove]]="", "", tbl_NKLA[[#This Row],[Avg_Upmove]]/tbl_NKLA[[#This Row],[Avg_Downmove]])</f>
        <v>0.20487008488994324</v>
      </c>
      <c r="S40" s="10">
        <f ca="1">IF(ROW($N40)-4&lt;BB_Periods, "", _xlfn.STDEV.S(INDIRECT(ADDRESS(ROW($F40)-RSI_Periods +1, MATCH("Adj Close", Price_Header,0))): INDIRECT(ADDRESS(ROW($F40),MATCH("Adj Close", Price_Header,0)))))</f>
        <v>7.1812659115749167</v>
      </c>
    </row>
    <row r="41" spans="1:19" x14ac:dyDescent="0.35">
      <c r="A41" s="8">
        <v>44104</v>
      </c>
      <c r="B41">
        <v>18.260000000000002</v>
      </c>
      <c r="C41">
        <v>21.67</v>
      </c>
      <c r="D41">
        <v>17.93</v>
      </c>
      <c r="E41">
        <v>20.48</v>
      </c>
      <c r="F41">
        <v>20.48</v>
      </c>
      <c r="G41">
        <v>92463300</v>
      </c>
      <c r="H41" s="10">
        <f>IF(tbl_NKLA[[#This Row],[Date]]=$A$5, $F41, EMA_Beta*$H40 + (1-EMA_Beta)*$F41)</f>
        <v>28.162572960304818</v>
      </c>
      <c r="I41" s="46">
        <f ca="1">IF(tbl_NKLA[[#This Row],[RS]]= "", "", 100-(100/(1+tbl_NKLA[[#This Row],[RS]])))</f>
        <v>25.522770039847614</v>
      </c>
      <c r="J41" s="10">
        <f ca="1">IF(ROW($N41)-4&lt;BB_Periods, "", AVERAGE(INDIRECT(ADDRESS(ROW($F41)-RSI_Periods +1, MATCH("Adj Close", Price_Header,0))): INDIRECT(ADDRESS(ROW($F41),MATCH("Adj Close", Price_Header,0)))))</f>
        <v>26.822143214285713</v>
      </c>
      <c r="K41" s="10">
        <f ca="1">IF(tbl_NKLA[[#This Row],[BB_Mean]]="", "", tbl_NKLA[[#This Row],[BB_Mean]]+(BB_Width*tbl_NKLA[[#This Row],[BB_Stdev]]))</f>
        <v>40.589282500536733</v>
      </c>
      <c r="L41" s="10">
        <f ca="1">IF(tbl_NKLA[[#This Row],[BB_Mean]]="", "", tbl_NKLA[[#This Row],[BB_Mean]]-(BB_Width*tbl_NKLA[[#This Row],[BB_Stdev]]))</f>
        <v>13.055003928034695</v>
      </c>
      <c r="M41" s="46">
        <f>IF(ROW(tbl_NKLA[[#This Row],[Adj Close]])=5, 0, $F41-$F40)</f>
        <v>2.6000000000000014</v>
      </c>
      <c r="N41" s="46">
        <f>MAX(tbl_NKLA[[#This Row],[Move]],0)</f>
        <v>2.6000000000000014</v>
      </c>
      <c r="O41" s="46">
        <f>MAX(-tbl_NKLA[[#This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0.63642842857142845</v>
      </c>
      <c r="Q41" s="46">
        <f ca="1">IF(ROW($O41)-5&lt;RSI_Periods, "", AVERAGE(INDIRECT(ADDRESS(ROW($O41)-RSI_Periods +1, MATCH("Downmove", Price_Header,0))): INDIRECT(ADDRESS(ROW($O41),MATCH("Downmove", Price_Header,0)))))</f>
        <v>1.8571427142857142</v>
      </c>
      <c r="R41" s="46">
        <f ca="1">IF(tbl_NKLA[[#This Row],[Avg_Upmove]]="", "", tbl_NKLA[[#This Row],[Avg_Upmove]]/tbl_NKLA[[#This Row],[Avg_Downmove]])</f>
        <v>0.34269225713017359</v>
      </c>
      <c r="S41" s="10">
        <f ca="1">IF(ROW($N41)-4&lt;BB_Periods, "", _xlfn.STDEV.S(INDIRECT(ADDRESS(ROW($F41)-RSI_Periods +1, MATCH("Adj Close", Price_Header,0))): INDIRECT(ADDRESS(ROW($F41),MATCH("Adj Close", Price_Header,0)))))</f>
        <v>6.8835696431255089</v>
      </c>
    </row>
    <row r="42" spans="1:19" x14ac:dyDescent="0.35">
      <c r="A42" s="8">
        <v>44105</v>
      </c>
      <c r="B42">
        <v>21.97</v>
      </c>
      <c r="C42">
        <v>27</v>
      </c>
      <c r="D42">
        <v>21.78</v>
      </c>
      <c r="E42">
        <v>24.11</v>
      </c>
      <c r="F42">
        <v>24.11</v>
      </c>
      <c r="G42">
        <v>138537700</v>
      </c>
      <c r="H42" s="10">
        <f>IF(tbl_NKLA[[#This Row],[Date]]=$A$5, $F42, EMA_Beta*$H41 + (1-EMA_Beta)*$F42)</f>
        <v>27.757315664274337</v>
      </c>
      <c r="I42" s="46">
        <f ca="1">IF(tbl_NKLA[[#This Row],[RS]]= "", "", 100-(100/(1+tbl_NKLA[[#This Row],[RS]])))</f>
        <v>37.885193766029644</v>
      </c>
      <c r="J42" s="10">
        <f ca="1">IF(ROW($N42)-4&lt;BB_Periods, "", AVERAGE(INDIRECT(ADDRESS(ROW($F42)-RSI_Periods +1, MATCH("Adj Close", Price_Header,0))): INDIRECT(ADDRESS(ROW($F42),MATCH("Adj Close", Price_Header,0)))))</f>
        <v>26.249286000000001</v>
      </c>
      <c r="K42" s="10">
        <f ca="1">IF(tbl_NKLA[[#This Row],[BB_Mean]]="", "", tbl_NKLA[[#This Row],[BB_Mean]]+(BB_Width*tbl_NKLA[[#This Row],[BB_Stdev]]))</f>
        <v>39.729458956238808</v>
      </c>
      <c r="L42" s="10">
        <f ca="1">IF(tbl_NKLA[[#This Row],[BB_Mean]]="", "", tbl_NKLA[[#This Row],[BB_Mean]]-(BB_Width*tbl_NKLA[[#This Row],[BB_Stdev]]))</f>
        <v>12.769113043761195</v>
      </c>
      <c r="M42" s="46">
        <f>IF(ROW(tbl_NKLA[[#This Row],[Adj Close]])=5, 0, $F42-$F41)</f>
        <v>3.629999999999999</v>
      </c>
      <c r="N42" s="46">
        <f>MAX(tbl_NKLA[[#This Row],[Move]],0)</f>
        <v>3.629999999999999</v>
      </c>
      <c r="O42" s="46">
        <f>MAX(-tbl_NKLA[[#This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0.89571414285714268</v>
      </c>
      <c r="Q42" s="46">
        <f ca="1">IF(ROW($O42)-5&lt;RSI_Periods, "", AVERAGE(INDIRECT(ADDRESS(ROW($O42)-RSI_Periods +1, MATCH("Downmove", Price_Header,0))): INDIRECT(ADDRESS(ROW($O42),MATCH("Downmove", Price_Header,0)))))</f>
        <v>1.4685713571428569</v>
      </c>
      <c r="R42" s="46">
        <f ca="1">IF(tbl_NKLA[[#This Row],[Avg_Upmove]]="", "", tbl_NKLA[[#This Row],[Avg_Upmove]]/tbl_NKLA[[#This Row],[Avg_Downmove]])</f>
        <v>0.6099221113775346</v>
      </c>
      <c r="S42" s="10">
        <f ca="1">IF(ROW($N42)-4&lt;BB_Periods, "", _xlfn.STDEV.S(INDIRECT(ADDRESS(ROW($F42)-RSI_Periods +1, MATCH("Adj Close", Price_Header,0))): INDIRECT(ADDRESS(ROW($F42),MATCH("Adj Close", Price_Header,0)))))</f>
        <v>6.7400864781194034</v>
      </c>
    </row>
    <row r="43" spans="1:19" x14ac:dyDescent="0.35">
      <c r="A43" s="8">
        <v>44106</v>
      </c>
      <c r="B43">
        <v>22.3</v>
      </c>
      <c r="C43">
        <v>26.3</v>
      </c>
      <c r="D43">
        <v>22.09</v>
      </c>
      <c r="E43">
        <v>24.25</v>
      </c>
      <c r="F43">
        <v>24.25</v>
      </c>
      <c r="G43">
        <v>64632300</v>
      </c>
      <c r="H43" s="10">
        <f>IF(tbl_NKLA[[#This Row],[Date]]=$A$5, $F43, EMA_Beta*$H42 + (1-EMA_Beta)*$F43)</f>
        <v>27.406584097846906</v>
      </c>
      <c r="I43" s="46">
        <f ca="1">IF(tbl_NKLA[[#This Row],[RS]]= "", "", 100-(100/(1+tbl_NKLA[[#This Row],[RS]])))</f>
        <v>30.493573072370495</v>
      </c>
      <c r="J43" s="10">
        <f ca="1">IF(ROW($N43)-4&lt;BB_Periods, "", AVERAGE(INDIRECT(ADDRESS(ROW($F43)-RSI_Periods +1, MATCH("Adj Close", Price_Header,0))): INDIRECT(ADDRESS(ROW($F43),MATCH("Adj Close", Price_Header,0)))))</f>
        <v>25.425000214285713</v>
      </c>
      <c r="K43" s="10">
        <f ca="1">IF(tbl_NKLA[[#This Row],[BB_Mean]]="", "", tbl_NKLA[[#This Row],[BB_Mean]]+(BB_Width*tbl_NKLA[[#This Row],[BB_Stdev]]))</f>
        <v>37.754247462254341</v>
      </c>
      <c r="L43" s="10">
        <f ca="1">IF(tbl_NKLA[[#This Row],[BB_Mean]]="", "", tbl_NKLA[[#This Row],[BB_Mean]]-(BB_Width*tbl_NKLA[[#This Row],[BB_Stdev]]))</f>
        <v>13.095752966317088</v>
      </c>
      <c r="M43" s="46">
        <f>IF(ROW(tbl_NKLA[[#This Row],[Adj Close]])=5, 0, $F43-$F42)</f>
        <v>0.14000000000000057</v>
      </c>
      <c r="N43" s="46">
        <f>MAX(tbl_NKLA[[#This Row],[Move]],0)</f>
        <v>0.14000000000000057</v>
      </c>
      <c r="O43" s="46">
        <f>MAX(-tbl_NKLA[[#This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0.64428557142857146</v>
      </c>
      <c r="Q43" s="46">
        <f ca="1">IF(ROW($O43)-5&lt;RSI_Periods, "", AVERAGE(INDIRECT(ADDRESS(ROW($O43)-RSI_Periods +1, MATCH("Downmove", Price_Header,0))): INDIRECT(ADDRESS(ROW($O43),MATCH("Downmove", Price_Header,0)))))</f>
        <v>1.4685713571428569</v>
      </c>
      <c r="R43" s="46">
        <f ca="1">IF(tbl_NKLA[[#This Row],[Avg_Upmove]]="", "", tbl_NKLA[[#This Row],[Avg_Upmove]]/tbl_NKLA[[#This Row],[Avg_Downmove]])</f>
        <v>0.43871587736944939</v>
      </c>
      <c r="S43" s="10">
        <f ca="1">IF(ROW($N43)-4&lt;BB_Periods, "", _xlfn.STDEV.S(INDIRECT(ADDRESS(ROW($F43)-RSI_Periods +1, MATCH("Adj Close", Price_Header,0))): INDIRECT(ADDRESS(ROW($F43),MATCH("Adj Close", Price_Header,0)))))</f>
        <v>6.1646236239843129</v>
      </c>
    </row>
    <row r="44" spans="1:19" x14ac:dyDescent="0.35">
      <c r="A44" s="8">
        <v>44109</v>
      </c>
      <c r="B44">
        <v>24.52</v>
      </c>
      <c r="C44">
        <v>25.5</v>
      </c>
      <c r="D44">
        <v>22.77</v>
      </c>
      <c r="E44">
        <v>23.78</v>
      </c>
      <c r="F44">
        <v>23.78</v>
      </c>
      <c r="G44">
        <v>37859300</v>
      </c>
      <c r="H44" s="10">
        <f>IF(tbl_NKLA[[#This Row],[Date]]=$A$5, $F44, EMA_Beta*$H43 + (1-EMA_Beta)*$F44)</f>
        <v>27.043925688062217</v>
      </c>
      <c r="I44" s="46">
        <f ca="1">IF(tbl_NKLA[[#This Row],[RS]]= "", "", 100-(100/(1+tbl_NKLA[[#This Row],[RS]])))</f>
        <v>33.296414418339936</v>
      </c>
      <c r="J44" s="10">
        <f ca="1">IF(ROW($N44)-4&lt;BB_Periods, "", AVERAGE(INDIRECT(ADDRESS(ROW($F44)-RSI_Periods +1, MATCH("Adj Close", Price_Header,0))): INDIRECT(ADDRESS(ROW($F44),MATCH("Adj Close", Price_Header,0)))))</f>
        <v>24.778571499999998</v>
      </c>
      <c r="K44" s="10">
        <f ca="1">IF(tbl_NKLA[[#This Row],[BB_Mean]]="", "", tbl_NKLA[[#This Row],[BB_Mean]]+(BB_Width*tbl_NKLA[[#This Row],[BB_Stdev]]))</f>
        <v>36.361787349886278</v>
      </c>
      <c r="L44" s="10">
        <f ca="1">IF(tbl_NKLA[[#This Row],[BB_Mean]]="", "", tbl_NKLA[[#This Row],[BB_Mean]]-(BB_Width*tbl_NKLA[[#This Row],[BB_Stdev]]))</f>
        <v>13.195355650113719</v>
      </c>
      <c r="M44" s="46">
        <f>IF(ROW(tbl_NKLA[[#This Row],[Adj Close]])=5, 0, $F44-$F43)</f>
        <v>-0.46999999999999886</v>
      </c>
      <c r="N44" s="46">
        <f>MAX(tbl_NKLA[[#This Row],[Move]],0)</f>
        <v>0</v>
      </c>
      <c r="O44" s="46">
        <f>MAX(-tbl_NKLA[[#This Row],[Move]],0)</f>
        <v>0.46999999999999886</v>
      </c>
      <c r="P44" s="46">
        <f ca="1">IF(ROW($N44)-5&lt;RSI_Periods, "", AVERAGE(INDIRECT(ADDRESS(ROW($N44)-RSI_Periods +1, MATCH("Upmove", Price_Header,0))): INDIRECT(ADDRESS(ROW($N44),MATCH("Upmove", Price_Header,0)))))</f>
        <v>0.64428557142857146</v>
      </c>
      <c r="Q44" s="46">
        <f ca="1">IF(ROW($O44)-5&lt;RSI_Periods, "", AVERAGE(INDIRECT(ADDRESS(ROW($O44)-RSI_Periods +1, MATCH("Downmove", Price_Header,0))): INDIRECT(ADDRESS(ROW($O44),MATCH("Downmove", Price_Header,0)))))</f>
        <v>1.2907142857142857</v>
      </c>
      <c r="R44" s="46">
        <f ca="1">IF(tbl_NKLA[[#This Row],[Avg_Upmove]]="", "", tbl_NKLA[[#This Row],[Avg_Upmove]]/tbl_NKLA[[#This Row],[Avg_Downmove]])</f>
        <v>0.49916978417266189</v>
      </c>
      <c r="S44" s="10">
        <f ca="1">IF(ROW($N44)-4&lt;BB_Periods, "", _xlfn.STDEV.S(INDIRECT(ADDRESS(ROW($F44)-RSI_Periods +1, MATCH("Adj Close", Price_Header,0))): INDIRECT(ADDRESS(ROW($F44),MATCH("Adj Close", Price_Header,0)))))</f>
        <v>5.7916079249431398</v>
      </c>
    </row>
    <row r="45" spans="1:19" x14ac:dyDescent="0.35">
      <c r="A45" s="8">
        <v>44110</v>
      </c>
      <c r="B45">
        <v>24.3</v>
      </c>
      <c r="C45">
        <v>24.57</v>
      </c>
      <c r="D45">
        <v>23.08</v>
      </c>
      <c r="E45">
        <v>23.57</v>
      </c>
      <c r="F45">
        <v>23.57</v>
      </c>
      <c r="G45">
        <v>2267900</v>
      </c>
      <c r="H45" s="10">
        <f>IF(tbl_NKLA[[#This Row],[Date]]=$A$5, $F45, EMA_Beta*$H44 + (1-EMA_Beta)*$F45)</f>
        <v>26.696533119255996</v>
      </c>
      <c r="I45" s="46">
        <f ca="1">IF(tbl_NKLA[[#This Row],[RS]]= "", "", 100-(100/(1+tbl_NKLA[[#This Row],[RS]])))</f>
        <v>31.918065850351368</v>
      </c>
      <c r="J45" s="10">
        <f ca="1">IF(ROW($N45)-4&lt;BB_Periods, "", AVERAGE(INDIRECT(ADDRESS(ROW($F45)-RSI_Periods +1, MATCH("Adj Close", Price_Header,0))): INDIRECT(ADDRESS(ROW($F45),MATCH("Adj Close", Price_Header,0)))))</f>
        <v>24.085000142857144</v>
      </c>
      <c r="K45" s="10">
        <f ca="1">IF(tbl_NKLA[[#This Row],[BB_Mean]]="", "", tbl_NKLA[[#This Row],[BB_Mean]]+(BB_Width*tbl_NKLA[[#This Row],[BB_Stdev]]))</f>
        <v>34.587852341262106</v>
      </c>
      <c r="L45" s="10">
        <f ca="1">IF(tbl_NKLA[[#This Row],[BB_Mean]]="", "", tbl_NKLA[[#This Row],[BB_Mean]]-(BB_Width*tbl_NKLA[[#This Row],[BB_Stdev]]))</f>
        <v>13.582147944452183</v>
      </c>
      <c r="M45" s="46">
        <f>IF(ROW(tbl_NKLA[[#This Row],[Adj Close]])=5, 0, $F45-$F44)</f>
        <v>-0.21000000000000085</v>
      </c>
      <c r="N45" s="46">
        <f>MAX(tbl_NKLA[[#This Row],[Move]],0)</f>
        <v>0</v>
      </c>
      <c r="O45" s="46">
        <f>MAX(-tbl_NKLA[[#This Row],[Move]],0)</f>
        <v>0.21000000000000085</v>
      </c>
      <c r="P45" s="46">
        <f ca="1">IF(ROW($N45)-5&lt;RSI_Periods, "", AVERAGE(INDIRECT(ADDRESS(ROW($N45)-RSI_Periods +1, MATCH("Upmove", Price_Header,0))): INDIRECT(ADDRESS(ROW($N45),MATCH("Upmove", Price_Header,0)))))</f>
        <v>0.61214292857142893</v>
      </c>
      <c r="Q45" s="46">
        <f ca="1">IF(ROW($O45)-5&lt;RSI_Periods, "", AVERAGE(INDIRECT(ADDRESS(ROW($O45)-RSI_Periods +1, MATCH("Downmove", Price_Header,0))): INDIRECT(ADDRESS(ROW($O45),MATCH("Downmove", Price_Header,0)))))</f>
        <v>1.3057142857142858</v>
      </c>
      <c r="R45" s="46">
        <f ca="1">IF(tbl_NKLA[[#This Row],[Avg_Upmove]]="", "", tbl_NKLA[[#This Row],[Avg_Upmove]]/tbl_NKLA[[#This Row],[Avg_Downmove]])</f>
        <v>0.46881843544857793</v>
      </c>
      <c r="S45" s="10">
        <f ca="1">IF(ROW($N45)-4&lt;BB_Periods, "", _xlfn.STDEV.S(INDIRECT(ADDRESS(ROW($F45)-RSI_Periods +1, MATCH("Adj Close", Price_Header,0))): INDIRECT(ADDRESS(ROW($F45),MATCH("Adj Close", Price_Header,0)))))</f>
        <v>5.2514260992024804</v>
      </c>
    </row>
    <row r="46" spans="1:19" x14ac:dyDescent="0.35">
      <c r="A46" s="8">
        <v>44111</v>
      </c>
      <c r="B46">
        <v>23.71</v>
      </c>
      <c r="C46">
        <v>25.72</v>
      </c>
      <c r="D46">
        <v>23.7</v>
      </c>
      <c r="E46">
        <v>25.72</v>
      </c>
      <c r="F46">
        <v>25.72</v>
      </c>
      <c r="G46">
        <v>22669300</v>
      </c>
      <c r="H46" s="10">
        <f>IF(tbl_NKLA[[#This Row],[Date]]=$A$5, $F46, EMA_Beta*$H45 + (1-EMA_Beta)*$F46)</f>
        <v>26.598879807330395</v>
      </c>
      <c r="I46" s="46">
        <f ca="1">IF(tbl_NKLA[[#This Row],[RS]]= "", "", 100-(100/(1+tbl_NKLA[[#This Row],[RS]])))</f>
        <v>35.746919911910013</v>
      </c>
      <c r="J46" s="10">
        <f ca="1">IF(ROW($N46)-4&lt;BB_Periods, "", AVERAGE(INDIRECT(ADDRESS(ROW($F46)-RSI_Periods +1, MATCH("Adj Close", Price_Header,0))): INDIRECT(ADDRESS(ROW($F46),MATCH("Adj Close", Price_Header,0)))))</f>
        <v>23.50571428571428</v>
      </c>
      <c r="K46" s="10">
        <f ca="1">IF(tbl_NKLA[[#This Row],[BB_Mean]]="", "", tbl_NKLA[[#This Row],[BB_Mean]]+(BB_Width*tbl_NKLA[[#This Row],[BB_Stdev]]))</f>
        <v>32.476047318844977</v>
      </c>
      <c r="L46" s="10">
        <f ca="1">IF(tbl_NKLA[[#This Row],[BB_Mean]]="", "", tbl_NKLA[[#This Row],[BB_Mean]]-(BB_Width*tbl_NKLA[[#This Row],[BB_Stdev]]))</f>
        <v>14.535381252583585</v>
      </c>
      <c r="M46" s="46">
        <f>IF(ROW(tbl_NKLA[[#This Row],[Adj Close]])=5, 0, $F46-$F45)</f>
        <v>2.1499999999999986</v>
      </c>
      <c r="N46" s="46">
        <f>MAX(tbl_NKLA[[#This Row],[Move]],0)</f>
        <v>2.1499999999999986</v>
      </c>
      <c r="O46" s="46">
        <f>MAX(-tbl_NKLA[[#This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0.72642842857142853</v>
      </c>
      <c r="Q46" s="46">
        <f ca="1">IF(ROW($O46)-5&lt;RSI_Periods, "", AVERAGE(INDIRECT(ADDRESS(ROW($O46)-RSI_Periods +1, MATCH("Downmove", Price_Header,0))): INDIRECT(ADDRESS(ROW($O46),MATCH("Downmove", Price_Header,0)))))</f>
        <v>1.3057142857142858</v>
      </c>
      <c r="R46" s="46">
        <f ca="1">IF(tbl_NKLA[[#This Row],[Avg_Upmove]]="", "", tbl_NKLA[[#This Row],[Avg_Upmove]]/tbl_NKLA[[#This Row],[Avg_Downmove]])</f>
        <v>0.55634562363238504</v>
      </c>
      <c r="S46" s="10">
        <f ca="1">IF(ROW($N46)-4&lt;BB_Periods, "", _xlfn.STDEV.S(INDIRECT(ADDRESS(ROW($F46)-RSI_Periods +1, MATCH("Adj Close", Price_Header,0))): INDIRECT(ADDRESS(ROW($F46),MATCH("Adj Close", Price_Header,0)))))</f>
        <v>4.4851665165653474</v>
      </c>
    </row>
    <row r="47" spans="1:19" x14ac:dyDescent="0.35">
      <c r="A47" s="8">
        <v>44112</v>
      </c>
      <c r="B47">
        <v>26.19</v>
      </c>
      <c r="C47">
        <v>27.3</v>
      </c>
      <c r="D47">
        <v>24.22</v>
      </c>
      <c r="E47">
        <v>25</v>
      </c>
      <c r="F47">
        <v>25</v>
      </c>
      <c r="G47">
        <v>24624400</v>
      </c>
      <c r="H47" s="10">
        <f>IF(tbl_NKLA[[#This Row],[Date]]=$A$5, $F47, EMA_Beta*$H46 + (1-EMA_Beta)*$F47)</f>
        <v>26.438991826597356</v>
      </c>
      <c r="I47" s="46">
        <f ca="1">IF(tbl_NKLA[[#This Row],[RS]]= "", "", 100-(100/(1+tbl_NKLA[[#This Row],[RS]])))</f>
        <v>34.050676848316556</v>
      </c>
      <c r="J47" s="10">
        <f ca="1">IF(ROW($N47)-4&lt;BB_Periods, "", AVERAGE(INDIRECT(ADDRESS(ROW($F47)-RSI_Periods +1, MATCH("Adj Close", Price_Header,0))): INDIRECT(ADDRESS(ROW($F47),MATCH("Adj Close", Price_Header,0)))))</f>
        <v>22.849285714285713</v>
      </c>
      <c r="K47" s="10">
        <f ca="1">IF(tbl_NKLA[[#This Row],[BB_Mean]]="", "", tbl_NKLA[[#This Row],[BB_Mean]]+(BB_Width*tbl_NKLA[[#This Row],[BB_Stdev]]))</f>
        <v>29.495596266467579</v>
      </c>
      <c r="L47" s="10">
        <f ca="1">IF(tbl_NKLA[[#This Row],[BB_Mean]]="", "", tbl_NKLA[[#This Row],[BB_Mean]]-(BB_Width*tbl_NKLA[[#This Row],[BB_Stdev]]))</f>
        <v>16.202975162103847</v>
      </c>
      <c r="M47" s="46">
        <f>IF(ROW(tbl_NKLA[[#This Row],[Adj Close]])=5, 0, $F47-$F46)</f>
        <v>-0.71999999999999886</v>
      </c>
      <c r="N47" s="46">
        <f>MAX(tbl_NKLA[[#This Row],[Move]],0)</f>
        <v>0</v>
      </c>
      <c r="O47" s="46">
        <f>MAX(-tbl_NKLA[[#This Row],[Move]],0)</f>
        <v>0.71999999999999886</v>
      </c>
      <c r="P47" s="46">
        <f ca="1">IF(ROW($N47)-5&lt;RSI_Periods, "", AVERAGE(INDIRECT(ADDRESS(ROW($N47)-RSI_Periods +1, MATCH("Upmove", Price_Header,0))): INDIRECT(ADDRESS(ROW($N47),MATCH("Upmove", Price_Header,0)))))</f>
        <v>0.70071428571428584</v>
      </c>
      <c r="Q47" s="46">
        <f ca="1">IF(ROW($O47)-5&lt;RSI_Periods, "", AVERAGE(INDIRECT(ADDRESS(ROW($O47)-RSI_Periods +1, MATCH("Downmove", Price_Header,0))): INDIRECT(ADDRESS(ROW($O47),MATCH("Downmove", Price_Header,0)))))</f>
        <v>1.3571428571428572</v>
      </c>
      <c r="R47" s="46">
        <f ca="1">IF(tbl_NKLA[[#This Row],[Avg_Upmove]]="", "", tbl_NKLA[[#This Row],[Avg_Upmove]]/tbl_NKLA[[#This Row],[Avg_Downmove]])</f>
        <v>0.51631578947368428</v>
      </c>
      <c r="S47" s="10">
        <f ca="1">IF(ROW($N47)-4&lt;BB_Periods, "", _xlfn.STDEV.S(INDIRECT(ADDRESS(ROW($F47)-RSI_Periods +1, MATCH("Adj Close", Price_Header,0))): INDIRECT(ADDRESS(ROW($F47),MATCH("Adj Close", Price_Header,0)))))</f>
        <v>3.3231552760909322</v>
      </c>
    </row>
    <row r="48" spans="1:19" x14ac:dyDescent="0.35">
      <c r="A48" s="8">
        <v>44113</v>
      </c>
      <c r="B48">
        <v>25.01</v>
      </c>
      <c r="C48">
        <v>25.22</v>
      </c>
      <c r="D48">
        <v>24.01</v>
      </c>
      <c r="E48">
        <v>24.66</v>
      </c>
      <c r="F48">
        <v>24.66</v>
      </c>
      <c r="G48">
        <v>14617400</v>
      </c>
      <c r="H48" s="10">
        <f>IF(tbl_NKLA[[#This Row],[Date]]=$A$5, $F48, EMA_Beta*$H47 + (1-EMA_Beta)*$F48)</f>
        <v>26.261092643937623</v>
      </c>
      <c r="I48" s="46">
        <f ca="1">IF(tbl_NKLA[[#This Row],[RS]]= "", "", 100-(100/(1+tbl_NKLA[[#This Row],[RS]])))</f>
        <v>43.522626441881101</v>
      </c>
      <c r="J48" s="10">
        <f ca="1">IF(ROW($N48)-4&lt;BB_Periods, "", AVERAGE(INDIRECT(ADDRESS(ROW($F48)-RSI_Periods +1, MATCH("Adj Close", Price_Header,0))): INDIRECT(ADDRESS(ROW($F48),MATCH("Adj Close", Price_Header,0)))))</f>
        <v>22.640714285714289</v>
      </c>
      <c r="K48" s="10">
        <f ca="1">IF(tbl_NKLA[[#This Row],[BB_Mean]]="", "", tbl_NKLA[[#This Row],[BB_Mean]]+(BB_Width*tbl_NKLA[[#This Row],[BB_Stdev]]))</f>
        <v>28.813949140426065</v>
      </c>
      <c r="L48" s="10">
        <f ca="1">IF(tbl_NKLA[[#This Row],[BB_Mean]]="", "", tbl_NKLA[[#This Row],[BB_Mean]]-(BB_Width*tbl_NKLA[[#This Row],[BB_Stdev]]))</f>
        <v>16.467479431002513</v>
      </c>
      <c r="M48" s="46">
        <f>IF(ROW(tbl_NKLA[[#This Row],[Adj Close]])=5, 0, $F48-$F47)</f>
        <v>-0.33999999999999986</v>
      </c>
      <c r="N48" s="46">
        <f>MAX(tbl_NKLA[[#This Row],[Move]],0)</f>
        <v>0</v>
      </c>
      <c r="O48" s="46">
        <f>MAX(-tbl_NKLA[[#This Row],[Move]],0)</f>
        <v>0.33999999999999986</v>
      </c>
      <c r="P48" s="46">
        <f ca="1">IF(ROW($N48)-5&lt;RSI_Periods, "", AVERAGE(INDIRECT(ADDRESS(ROW($N48)-RSI_Periods +1, MATCH("Upmove", Price_Header,0))): INDIRECT(ADDRESS(ROW($N48),MATCH("Upmove", Price_Header,0)))))</f>
        <v>0.70071428571428584</v>
      </c>
      <c r="Q48" s="46">
        <f ca="1">IF(ROW($O48)-5&lt;RSI_Periods, "", AVERAGE(INDIRECT(ADDRESS(ROW($O48)-RSI_Periods +1, MATCH("Downmove", Price_Header,0))): INDIRECT(ADDRESS(ROW($O48),MATCH("Downmove", Price_Header,0)))))</f>
        <v>0.90928571428571436</v>
      </c>
      <c r="R48" s="46">
        <f ca="1">IF(tbl_NKLA[[#This Row],[Avg_Upmove]]="", "", tbl_NKLA[[#This Row],[Avg_Upmove]]/tbl_NKLA[[#This Row],[Avg_Downmove]])</f>
        <v>0.77062058130400635</v>
      </c>
      <c r="S48" s="10">
        <f ca="1">IF(ROW($N48)-4&lt;BB_Periods, "", _xlfn.STDEV.S(INDIRECT(ADDRESS(ROW($F48)-RSI_Periods +1, MATCH("Adj Close", Price_Header,0))): INDIRECT(ADDRESS(ROW($F48),MATCH("Adj Close", Price_Header,0)))))</f>
        <v>3.086617427355888</v>
      </c>
    </row>
    <row r="49" spans="1:19" x14ac:dyDescent="0.35">
      <c r="A49" s="8">
        <v>44116</v>
      </c>
      <c r="B49">
        <v>24.73</v>
      </c>
      <c r="C49">
        <v>24.79</v>
      </c>
      <c r="D49">
        <v>23.7</v>
      </c>
      <c r="E49">
        <v>24.15</v>
      </c>
      <c r="F49">
        <v>24.15</v>
      </c>
      <c r="G49">
        <v>11730600</v>
      </c>
      <c r="H49" s="10">
        <f>IF(tbl_NKLA[[#This Row],[Date]]=$A$5, $F49, EMA_Beta*$H48 + (1-EMA_Beta)*$F49)</f>
        <v>26.04998337954386</v>
      </c>
      <c r="I49" s="46">
        <f ca="1">IF(tbl_NKLA[[#This Row],[RS]]= "", "", 100-(100/(1+tbl_NKLA[[#This Row],[RS]])))</f>
        <v>40.144665461121157</v>
      </c>
      <c r="J49" s="10">
        <f ca="1">IF(ROW($N49)-4&lt;BB_Periods, "", AVERAGE(INDIRECT(ADDRESS(ROW($F49)-RSI_Periods +1, MATCH("Adj Close", Price_Header,0))): INDIRECT(ADDRESS(ROW($F49),MATCH("Adj Close", Price_Header,0)))))</f>
        <v>22.329285714285714</v>
      </c>
      <c r="K49" s="10">
        <f ca="1">IF(tbl_NKLA[[#This Row],[BB_Mean]]="", "", tbl_NKLA[[#This Row],[BB_Mean]]+(BB_Width*tbl_NKLA[[#This Row],[BB_Stdev]]))</f>
        <v>27.601135276080683</v>
      </c>
      <c r="L49" s="10">
        <f ca="1">IF(tbl_NKLA[[#This Row],[BB_Mean]]="", "", tbl_NKLA[[#This Row],[BB_Mean]]-(BB_Width*tbl_NKLA[[#This Row],[BB_Stdev]]))</f>
        <v>17.057436152490745</v>
      </c>
      <c r="M49" s="46">
        <f>IF(ROW(tbl_NKLA[[#This Row],[Adj Close]])=5, 0, $F49-$F48)</f>
        <v>-0.51000000000000156</v>
      </c>
      <c r="N49" s="46">
        <f>MAX(tbl_NKLA[[#This Row],[Move]],0)</f>
        <v>0</v>
      </c>
      <c r="O49" s="46">
        <f>MAX(-tbl_NKLA[[#This Row],[Move]],0)</f>
        <v>0.51000000000000156</v>
      </c>
      <c r="P49" s="46">
        <f ca="1">IF(ROW($N49)-5&lt;RSI_Periods, "", AVERAGE(INDIRECT(ADDRESS(ROW($N49)-RSI_Periods +1, MATCH("Upmove", Price_Header,0))): INDIRECT(ADDRESS(ROW($N49),MATCH("Upmove", Price_Header,0)))))</f>
        <v>0.63428571428571423</v>
      </c>
      <c r="Q49" s="46">
        <f ca="1">IF(ROW($O49)-5&lt;RSI_Periods, "", AVERAGE(INDIRECT(ADDRESS(ROW($O49)-RSI_Periods +1, MATCH("Downmove", Price_Header,0))): INDIRECT(ADDRESS(ROW($O49),MATCH("Downmove", Price_Header,0)))))</f>
        <v>0.94571428571428584</v>
      </c>
      <c r="R49" s="46">
        <f ca="1">IF(tbl_NKLA[[#This Row],[Avg_Upmove]]="", "", tbl_NKLA[[#This Row],[Avg_Upmove]]/tbl_NKLA[[#This Row],[Avg_Downmove]])</f>
        <v>0.67069486404833822</v>
      </c>
      <c r="S49" s="10">
        <f ca="1">IF(ROW($N49)-4&lt;BB_Periods, "", _xlfn.STDEV.S(INDIRECT(ADDRESS(ROW($F49)-RSI_Periods +1, MATCH("Adj Close", Price_Header,0))): INDIRECT(ADDRESS(ROW($F49),MATCH("Adj Close", Price_Header,0)))))</f>
        <v>2.6359247808974837</v>
      </c>
    </row>
    <row r="50" spans="1:19" x14ac:dyDescent="0.35">
      <c r="A50" s="8">
        <v>44117</v>
      </c>
      <c r="B50">
        <v>23.72</v>
      </c>
      <c r="C50">
        <v>25.18</v>
      </c>
      <c r="D50">
        <v>23.7</v>
      </c>
      <c r="E50">
        <v>24.23</v>
      </c>
      <c r="F50">
        <v>24.23</v>
      </c>
      <c r="G50">
        <v>13004600</v>
      </c>
      <c r="H50" s="10">
        <f>IF(tbl_NKLA[[#This Row],[Date]]=$A$5, $F50, EMA_Beta*$H49 + (1-EMA_Beta)*$F50)</f>
        <v>25.867985041589474</v>
      </c>
      <c r="I50" s="46">
        <f ca="1">IF(tbl_NKLA[[#This Row],[RS]]= "", "", 100-(100/(1+tbl_NKLA[[#This Row],[RS]])))</f>
        <v>60.377358490566046</v>
      </c>
      <c r="J50" s="10">
        <f ca="1">IF(ROW($N50)-4&lt;BB_Periods, "", AVERAGE(INDIRECT(ADDRESS(ROW($F50)-RSI_Periods +1, MATCH("Adj Close", Price_Header,0))): INDIRECT(ADDRESS(ROW($F50),MATCH("Adj Close", Price_Header,0)))))</f>
        <v>22.549285714285713</v>
      </c>
      <c r="K50" s="10">
        <f ca="1">IF(tbl_NKLA[[#This Row],[BB_Mean]]="", "", tbl_NKLA[[#This Row],[BB_Mean]]+(BB_Width*tbl_NKLA[[#This Row],[BB_Stdev]]))</f>
        <v>27.866013824900172</v>
      </c>
      <c r="L50" s="10">
        <f ca="1">IF(tbl_NKLA[[#This Row],[BB_Mean]]="", "", tbl_NKLA[[#This Row],[BB_Mean]]-(BB_Width*tbl_NKLA[[#This Row],[BB_Stdev]]))</f>
        <v>17.232557603671253</v>
      </c>
      <c r="M50" s="46">
        <f>IF(ROW(tbl_NKLA[[#This Row],[Adj Close]])=5, 0, $F50-$F49)</f>
        <v>8.0000000000001847E-2</v>
      </c>
      <c r="N50" s="46">
        <f>MAX(tbl_NKLA[[#This Row],[Move]],0)</f>
        <v>8.0000000000001847E-2</v>
      </c>
      <c r="O50" s="46">
        <f>MAX(-tbl_NKLA[[#This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0.64</v>
      </c>
      <c r="Q50" s="46">
        <f ca="1">IF(ROW($O50)-5&lt;RSI_Periods, "", AVERAGE(INDIRECT(ADDRESS(ROW($O50)-RSI_Periods +1, MATCH("Downmove", Price_Header,0))): INDIRECT(ADDRESS(ROW($O50),MATCH("Downmove", Price_Header,0)))))</f>
        <v>0.41999999999999993</v>
      </c>
      <c r="R50" s="46">
        <f ca="1">IF(tbl_NKLA[[#This Row],[Avg_Upmove]]="", "", tbl_NKLA[[#This Row],[Avg_Upmove]]/tbl_NKLA[[#This Row],[Avg_Downmove]])</f>
        <v>1.5238095238095242</v>
      </c>
      <c r="S50" s="10">
        <f ca="1">IF(ROW($N50)-4&lt;BB_Periods, "", _xlfn.STDEV.S(INDIRECT(ADDRESS(ROW($F50)-RSI_Periods +1, MATCH("Adj Close", Price_Header,0))): INDIRECT(ADDRESS(ROW($F50),MATCH("Adj Close", Price_Header,0)))))</f>
        <v>2.6583640553072296</v>
      </c>
    </row>
    <row r="51" spans="1:19" x14ac:dyDescent="0.35">
      <c r="A51" s="8">
        <v>44118</v>
      </c>
      <c r="B51">
        <v>24.37</v>
      </c>
      <c r="C51">
        <v>24.69</v>
      </c>
      <c r="D51">
        <v>23.74</v>
      </c>
      <c r="E51">
        <v>24.11</v>
      </c>
      <c r="F51">
        <v>24.11</v>
      </c>
      <c r="G51">
        <v>8592400</v>
      </c>
      <c r="H51" s="10">
        <f>IF(tbl_NKLA[[#This Row],[Date]]=$A$5, $F51, EMA_Beta*$H50 + (1-EMA_Beta)*$F51)</f>
        <v>25.69218653743053</v>
      </c>
      <c r="I51" s="46">
        <f ca="1">IF(tbl_NKLA[[#This Row],[RS]]= "", "", 100-(100/(1+tbl_NKLA[[#This Row],[RS]])))</f>
        <v>69.403563129357067</v>
      </c>
      <c r="J51" s="10">
        <f ca="1">IF(ROW($N51)-4&lt;BB_Periods, "", AVERAGE(INDIRECT(ADDRESS(ROW($F51)-RSI_Periods +1, MATCH("Adj Close", Price_Header,0))): INDIRECT(ADDRESS(ROW($F51),MATCH("Adj Close", Price_Header,0)))))</f>
        <v>22.907142857142855</v>
      </c>
      <c r="K51" s="10">
        <f ca="1">IF(tbl_NKLA[[#This Row],[BB_Mean]]="", "", tbl_NKLA[[#This Row],[BB_Mean]]+(BB_Width*tbl_NKLA[[#This Row],[BB_Stdev]]))</f>
        <v>27.887568718275791</v>
      </c>
      <c r="L51" s="10">
        <f ca="1">IF(tbl_NKLA[[#This Row],[BB_Mean]]="", "", tbl_NKLA[[#This Row],[BB_Mean]]-(BB_Width*tbl_NKLA[[#This Row],[BB_Stdev]]))</f>
        <v>17.926716996009919</v>
      </c>
      <c r="M51" s="46">
        <f>IF(ROW(tbl_NKLA[[#This Row],[Adj Close]])=5, 0, $F51-$F50)</f>
        <v>-0.12000000000000099</v>
      </c>
      <c r="N51" s="46">
        <f>MAX(tbl_NKLA[[#This Row],[Move]],0)</f>
        <v>0</v>
      </c>
      <c r="O51" s="46">
        <f>MAX(-tbl_NKLA[[#This Row],[Move]],0)</f>
        <v>0.12000000000000099</v>
      </c>
      <c r="P51" s="46">
        <f ca="1">IF(ROW($N51)-5&lt;RSI_Periods, "", AVERAGE(INDIRECT(ADDRESS(ROW($N51)-RSI_Periods +1, MATCH("Upmove", Price_Header,0))): INDIRECT(ADDRESS(ROW($N51),MATCH("Upmove", Price_Header,0)))))</f>
        <v>0.64</v>
      </c>
      <c r="Q51" s="46">
        <f ca="1">IF(ROW($O51)-5&lt;RSI_Periods, "", AVERAGE(INDIRECT(ADDRESS(ROW($O51)-RSI_Periods +1, MATCH("Downmove", Price_Header,0))): INDIRECT(ADDRESS(ROW($O51),MATCH("Downmove", Price_Header,0)))))</f>
        <v>0.28214285714285736</v>
      </c>
      <c r="R51" s="46">
        <f ca="1">IF(tbl_NKLA[[#This Row],[Avg_Upmove]]="", "", tbl_NKLA[[#This Row],[Avg_Upmove]]/tbl_NKLA[[#This Row],[Avg_Downmove]])</f>
        <v>2.2683544303797452</v>
      </c>
      <c r="S51" s="10">
        <f ca="1">IF(ROW($N51)-4&lt;BB_Periods, "", _xlfn.STDEV.S(INDIRECT(ADDRESS(ROW($F51)-RSI_Periods +1, MATCH("Adj Close", Price_Header,0))): INDIRECT(ADDRESS(ROW($F51),MATCH("Adj Close", Price_Header,0)))))</f>
        <v>2.490212930566468</v>
      </c>
    </row>
    <row r="52" spans="1:19" x14ac:dyDescent="0.35">
      <c r="A52" s="8">
        <v>44119</v>
      </c>
      <c r="B52">
        <v>23.41</v>
      </c>
      <c r="C52">
        <v>23.5</v>
      </c>
      <c r="D52">
        <v>22.72</v>
      </c>
      <c r="E52">
        <v>23.3</v>
      </c>
      <c r="F52">
        <v>23.3</v>
      </c>
      <c r="G52">
        <v>8774500</v>
      </c>
      <c r="H52" s="10">
        <f>IF(tbl_NKLA[[#This Row],[Date]]=$A$5, $F52, EMA_Beta*$H51 + (1-EMA_Beta)*$F52)</f>
        <v>25.452967883687474</v>
      </c>
      <c r="I52" s="46">
        <f ca="1">IF(tbl_NKLA[[#This Row],[RS]]= "", "", 100-(100/(1+tbl_NKLA[[#This Row],[RS]])))</f>
        <v>64.371257485029929</v>
      </c>
      <c r="J52" s="10">
        <f ca="1">IF(ROW($N52)-4&lt;BB_Periods, "", AVERAGE(INDIRECT(ADDRESS(ROW($F52)-RSI_Periods +1, MATCH("Adj Close", Price_Header,0))): INDIRECT(ADDRESS(ROW($F52),MATCH("Adj Close", Price_Header,0)))))</f>
        <v>23.181428571428572</v>
      </c>
      <c r="K52" s="10">
        <f ca="1">IF(tbl_NKLA[[#This Row],[BB_Mean]]="", "", tbl_NKLA[[#This Row],[BB_Mean]]+(BB_Width*tbl_NKLA[[#This Row],[BB_Stdev]]))</f>
        <v>27.749995807817527</v>
      </c>
      <c r="L52" s="10">
        <f ca="1">IF(tbl_NKLA[[#This Row],[BB_Mean]]="", "", tbl_NKLA[[#This Row],[BB_Mean]]-(BB_Width*tbl_NKLA[[#This Row],[BB_Stdev]]))</f>
        <v>18.612861335039618</v>
      </c>
      <c r="M52" s="46">
        <f>IF(ROW(tbl_NKLA[[#This Row],[Adj Close]])=5, 0, $F52-$F51)</f>
        <v>-0.80999999999999872</v>
      </c>
      <c r="N52" s="46">
        <f>MAX(tbl_NKLA[[#This Row],[Move]],0)</f>
        <v>0</v>
      </c>
      <c r="O52" s="46">
        <f>MAX(-tbl_NKLA[[#This Row],[Move]],0)</f>
        <v>0.80999999999999872</v>
      </c>
      <c r="P52" s="46">
        <f ca="1">IF(ROW($N52)-5&lt;RSI_Periods, "", AVERAGE(INDIRECT(ADDRESS(ROW($N52)-RSI_Periods +1, MATCH("Upmove", Price_Header,0))): INDIRECT(ADDRESS(ROW($N52),MATCH("Upmove", Price_Header,0)))))</f>
        <v>0.61428571428571443</v>
      </c>
      <c r="Q52" s="46">
        <f ca="1">IF(ROW($O52)-5&lt;RSI_Periods, "", AVERAGE(INDIRECT(ADDRESS(ROW($O52)-RSI_Periods +1, MATCH("Downmove", Price_Header,0))): INDIRECT(ADDRESS(ROW($O52),MATCH("Downmove", Price_Header,0)))))</f>
        <v>0.34000000000000014</v>
      </c>
      <c r="R52" s="46">
        <f ca="1">IF(tbl_NKLA[[#This Row],[Avg_Upmove]]="", "", tbl_NKLA[[#This Row],[Avg_Upmove]]/tbl_NKLA[[#This Row],[Avg_Downmove]])</f>
        <v>1.8067226890756301</v>
      </c>
      <c r="S52" s="10">
        <f ca="1">IF(ROW($N52)-4&lt;BB_Periods, "", _xlfn.STDEV.S(INDIRECT(ADDRESS(ROW($F52)-RSI_Periods +1, MATCH("Adj Close", Price_Header,0))): INDIRECT(ADDRESS(ROW($F52),MATCH("Adj Close", Price_Header,0)))))</f>
        <v>2.2842836181944763</v>
      </c>
    </row>
    <row r="53" spans="1:19" x14ac:dyDescent="0.35">
      <c r="A53" s="8">
        <v>44120</v>
      </c>
      <c r="B53">
        <v>22.97</v>
      </c>
      <c r="C53">
        <v>23.18</v>
      </c>
      <c r="D53">
        <v>19.5</v>
      </c>
      <c r="E53">
        <v>19.55</v>
      </c>
      <c r="F53">
        <v>19.55</v>
      </c>
      <c r="G53">
        <v>38065500</v>
      </c>
      <c r="H53" s="10">
        <f>IF(tbl_NKLA[[#This Row],[Date]]=$A$5, $F53, EMA_Beta*$H52 + (1-EMA_Beta)*$F53)</f>
        <v>24.862671095318724</v>
      </c>
      <c r="I53" s="46">
        <f ca="1">IF(tbl_NKLA[[#This Row],[RS]]= "", "", 100-(100/(1+tbl_NKLA[[#This Row],[RS]])))</f>
        <v>50.737463126843657</v>
      </c>
      <c r="J53" s="10">
        <f ca="1">IF(ROW($N53)-4&lt;BB_Periods, "", AVERAGE(INDIRECT(ADDRESS(ROW($F53)-RSI_Periods +1, MATCH("Adj Close", Price_Header,0))): INDIRECT(ADDRESS(ROW($F53),MATCH("Adj Close", Price_Header,0)))))</f>
        <v>23.199285714285715</v>
      </c>
      <c r="K53" s="10">
        <f ca="1">IF(tbl_NKLA[[#This Row],[BB_Mean]]="", "", tbl_NKLA[[#This Row],[BB_Mean]]+(BB_Width*tbl_NKLA[[#This Row],[BB_Stdev]]))</f>
        <v>27.70400777886649</v>
      </c>
      <c r="L53" s="10">
        <f ca="1">IF(tbl_NKLA[[#This Row],[BB_Mean]]="", "", tbl_NKLA[[#This Row],[BB_Mean]]-(BB_Width*tbl_NKLA[[#This Row],[BB_Stdev]]))</f>
        <v>18.694563649704939</v>
      </c>
      <c r="M53" s="46">
        <f>IF(ROW(tbl_NKLA[[#This Row],[Adj Close]])=5, 0, $F53-$F52)</f>
        <v>-3.75</v>
      </c>
      <c r="N53" s="46">
        <f>MAX(tbl_NKLA[[#This Row],[Move]],0)</f>
        <v>0</v>
      </c>
      <c r="O53" s="46">
        <f>MAX(-tbl_NKLA[[#This Row],[Move]],0)</f>
        <v>3.75</v>
      </c>
      <c r="P53" s="46">
        <f ca="1">IF(ROW($N53)-5&lt;RSI_Periods, "", AVERAGE(INDIRECT(ADDRESS(ROW($N53)-RSI_Periods +1, MATCH("Upmove", Price_Header,0))): INDIRECT(ADDRESS(ROW($N53),MATCH("Upmove", Price_Header,0)))))</f>
        <v>0.61428571428571443</v>
      </c>
      <c r="Q53" s="46">
        <f ca="1">IF(ROW($O53)-5&lt;RSI_Periods, "", AVERAGE(INDIRECT(ADDRESS(ROW($O53)-RSI_Periods +1, MATCH("Downmove", Price_Header,0))): INDIRECT(ADDRESS(ROW($O53),MATCH("Downmove", Price_Header,0)))))</f>
        <v>0.59642857142857153</v>
      </c>
      <c r="R53" s="46">
        <f ca="1">IF(tbl_NKLA[[#This Row],[Avg_Upmove]]="", "", tbl_NKLA[[#This Row],[Avg_Upmove]]/tbl_NKLA[[#This Row],[Avg_Downmove]])</f>
        <v>1.0299401197604792</v>
      </c>
      <c r="S53" s="10">
        <f ca="1">IF(ROW($N53)-4&lt;BB_Periods, "", _xlfn.STDEV.S(INDIRECT(ADDRESS(ROW($F53)-RSI_Periods +1, MATCH("Adj Close", Price_Header,0))): INDIRECT(ADDRESS(ROW($F53),MATCH("Adj Close", Price_Header,0)))))</f>
        <v>2.2523610322903878</v>
      </c>
    </row>
    <row r="54" spans="1:19" x14ac:dyDescent="0.35">
      <c r="A54" s="8">
        <v>44123</v>
      </c>
      <c r="B54">
        <v>20.14</v>
      </c>
      <c r="C54">
        <v>21.79</v>
      </c>
      <c r="D54">
        <v>20.079999999999998</v>
      </c>
      <c r="E54">
        <v>20.46</v>
      </c>
      <c r="F54">
        <v>20.46</v>
      </c>
      <c r="G54">
        <v>25112100</v>
      </c>
      <c r="H54" s="10">
        <f>IF(tbl_NKLA[[#This Row],[Date]]=$A$5, $F54, EMA_Beta*$H53 + (1-EMA_Beta)*$F54)</f>
        <v>24.42240398578685</v>
      </c>
      <c r="I54" s="46">
        <f ca="1">IF(tbl_NKLA[[#This Row],[RS]]= "", "", 100-(100/(1+tbl_NKLA[[#This Row],[RS]])))</f>
        <v>57.846715328467155</v>
      </c>
      <c r="J54" s="10">
        <f ca="1">IF(ROW($N54)-4&lt;BB_Periods, "", AVERAGE(INDIRECT(ADDRESS(ROW($F54)-RSI_Periods +1, MATCH("Adj Close", Price_Header,0))): INDIRECT(ADDRESS(ROW($F54),MATCH("Adj Close", Price_Header,0)))))</f>
        <v>23.383571428571429</v>
      </c>
      <c r="K54" s="10">
        <f ca="1">IF(tbl_NKLA[[#This Row],[BB_Mean]]="", "", tbl_NKLA[[#This Row],[BB_Mean]]+(BB_Width*tbl_NKLA[[#This Row],[BB_Stdev]]))</f>
        <v>27.091530495168637</v>
      </c>
      <c r="L54" s="10">
        <f ca="1">IF(tbl_NKLA[[#This Row],[BB_Mean]]="", "", tbl_NKLA[[#This Row],[BB_Mean]]-(BB_Width*tbl_NKLA[[#This Row],[BB_Stdev]]))</f>
        <v>19.67561236197422</v>
      </c>
      <c r="M54" s="46">
        <f>IF(ROW(tbl_NKLA[[#This Row],[Adj Close]])=5, 0, $F54-$F53)</f>
        <v>0.91000000000000014</v>
      </c>
      <c r="N54" s="46">
        <f>MAX(tbl_NKLA[[#This Row],[Move]],0)</f>
        <v>0.91000000000000014</v>
      </c>
      <c r="O54" s="46">
        <f>MAX(-tbl_NKLA[[#This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0.67928571428571438</v>
      </c>
      <c r="Q54" s="46">
        <f ca="1">IF(ROW($O54)-5&lt;RSI_Periods, "", AVERAGE(INDIRECT(ADDRESS(ROW($O54)-RSI_Periods +1, MATCH("Downmove", Price_Header,0))): INDIRECT(ADDRESS(ROW($O54),MATCH("Downmove", Price_Header,0)))))</f>
        <v>0.495</v>
      </c>
      <c r="R54" s="46">
        <f ca="1">IF(tbl_NKLA[[#This Row],[Avg_Upmove]]="", "", tbl_NKLA[[#This Row],[Avg_Upmove]]/tbl_NKLA[[#This Row],[Avg_Downmove]])</f>
        <v>1.3722943722943726</v>
      </c>
      <c r="S54" s="10">
        <f ca="1">IF(ROW($N54)-4&lt;BB_Periods, "", _xlfn.STDEV.S(INDIRECT(ADDRESS(ROW($F54)-RSI_Periods +1, MATCH("Adj Close", Price_Header,0))): INDIRECT(ADDRESS(ROW($F54),MATCH("Adj Close", Price_Header,0)))))</f>
        <v>1.8539795332986035</v>
      </c>
    </row>
    <row r="55" spans="1:19" x14ac:dyDescent="0.35">
      <c r="A55" s="8">
        <v>44124</v>
      </c>
      <c r="B55">
        <v>20.6</v>
      </c>
      <c r="C55">
        <v>21</v>
      </c>
      <c r="D55">
        <v>19.88</v>
      </c>
      <c r="E55">
        <v>20.72</v>
      </c>
      <c r="F55">
        <v>20.72</v>
      </c>
      <c r="G55">
        <v>10122400</v>
      </c>
      <c r="H55" s="10">
        <f>IF(tbl_NKLA[[#This Row],[Date]]=$A$5, $F55, EMA_Beta*$H54 + (1-EMA_Beta)*$F55)</f>
        <v>24.052163587208167</v>
      </c>
      <c r="I55" s="46">
        <f ca="1">IF(tbl_NKLA[[#This Row],[RS]]= "", "", 100-(100/(1+tbl_NKLA[[#This Row],[RS]])))</f>
        <v>50.851063829787229</v>
      </c>
      <c r="J55" s="10">
        <f ca="1">IF(ROW($N55)-4&lt;BB_Periods, "", AVERAGE(INDIRECT(ADDRESS(ROW($F55)-RSI_Periods +1, MATCH("Adj Close", Price_Header,0))): INDIRECT(ADDRESS(ROW($F55),MATCH("Adj Close", Price_Header,0)))))</f>
        <v>23.400714285714287</v>
      </c>
      <c r="K55" s="10">
        <f ca="1">IF(tbl_NKLA[[#This Row],[BB_Mean]]="", "", tbl_NKLA[[#This Row],[BB_Mean]]+(BB_Width*tbl_NKLA[[#This Row],[BB_Stdev]]))</f>
        <v>27.052642874498904</v>
      </c>
      <c r="L55" s="10">
        <f ca="1">IF(tbl_NKLA[[#This Row],[BB_Mean]]="", "", tbl_NKLA[[#This Row],[BB_Mean]]-(BB_Width*tbl_NKLA[[#This Row],[BB_Stdev]]))</f>
        <v>19.748785696929669</v>
      </c>
      <c r="M55" s="46">
        <f>IF(ROW(tbl_NKLA[[#This Row],[Adj Close]])=5, 0, $F55-$F54)</f>
        <v>0.25999999999999801</v>
      </c>
      <c r="N55" s="46">
        <f>MAX(tbl_NKLA[[#This Row],[Move]],0)</f>
        <v>0.25999999999999801</v>
      </c>
      <c r="O55" s="46">
        <f>MAX(-tbl_NKLA[[#This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0.51214285714285701</v>
      </c>
      <c r="Q55" s="46">
        <f ca="1">IF(ROW($O55)-5&lt;RSI_Periods, "", AVERAGE(INDIRECT(ADDRESS(ROW($O55)-RSI_Periods +1, MATCH("Downmove", Price_Header,0))): INDIRECT(ADDRESS(ROW($O55),MATCH("Downmove", Price_Header,0)))))</f>
        <v>0.495</v>
      </c>
      <c r="R55" s="46">
        <f ca="1">IF(tbl_NKLA[[#This Row],[Avg_Upmove]]="", "", tbl_NKLA[[#This Row],[Avg_Upmove]]/tbl_NKLA[[#This Row],[Avg_Downmove]])</f>
        <v>1.0346320346320343</v>
      </c>
      <c r="S55" s="10">
        <f ca="1">IF(ROW($N55)-4&lt;BB_Periods, "", _xlfn.STDEV.S(INDIRECT(ADDRESS(ROW($F55)-RSI_Periods +1, MATCH("Adj Close", Price_Header,0))): INDIRECT(ADDRESS(ROW($F55),MATCH("Adj Close", Price_Header,0)))))</f>
        <v>1.8259642943923091</v>
      </c>
    </row>
    <row r="56" spans="1:19" x14ac:dyDescent="0.35">
      <c r="A56" s="8">
        <v>44125</v>
      </c>
      <c r="B56">
        <v>22.44</v>
      </c>
      <c r="C56">
        <v>23.35</v>
      </c>
      <c r="D56">
        <v>21.1</v>
      </c>
      <c r="E56">
        <v>22.24</v>
      </c>
      <c r="F56">
        <v>22.24</v>
      </c>
      <c r="G56">
        <v>31003700</v>
      </c>
      <c r="H56" s="10">
        <f>IF(tbl_NKLA[[#This Row],[Date]]=$A$5, $F56, EMA_Beta*$H55 + (1-EMA_Beta)*$F56)</f>
        <v>23.870947228487349</v>
      </c>
      <c r="I56" s="46">
        <f ca="1">IF(tbl_NKLA[[#This Row],[RS]]= "", "", 100-(100/(1+tbl_NKLA[[#This Row],[RS]])))</f>
        <v>42.201834862385311</v>
      </c>
      <c r="J56" s="10">
        <f ca="1">IF(ROW($N56)-4&lt;BB_Periods, "", AVERAGE(INDIRECT(ADDRESS(ROW($F56)-RSI_Periods +1, MATCH("Adj Close", Price_Header,0))): INDIRECT(ADDRESS(ROW($F56),MATCH("Adj Close", Price_Header,0)))))</f>
        <v>23.267142857142858</v>
      </c>
      <c r="K56" s="10">
        <f ca="1">IF(tbl_NKLA[[#This Row],[BB_Mean]]="", "", tbl_NKLA[[#This Row],[BB_Mean]]+(BB_Width*tbl_NKLA[[#This Row],[BB_Stdev]]))</f>
        <v>26.944026391805401</v>
      </c>
      <c r="L56" s="10">
        <f ca="1">IF(tbl_NKLA[[#This Row],[BB_Mean]]="", "", tbl_NKLA[[#This Row],[BB_Mean]]-(BB_Width*tbl_NKLA[[#This Row],[BB_Stdev]]))</f>
        <v>19.590259322480314</v>
      </c>
      <c r="M56" s="46">
        <f>IF(ROW(tbl_NKLA[[#This Row],[Adj Close]])=5, 0, $F56-$F55)</f>
        <v>1.5199999999999996</v>
      </c>
      <c r="N56" s="46">
        <f>MAX(tbl_NKLA[[#This Row],[Move]],0)</f>
        <v>1.5199999999999996</v>
      </c>
      <c r="O56" s="46">
        <f>MAX(-tbl_NKLA[[#This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0.36142857142857132</v>
      </c>
      <c r="Q56" s="46">
        <f ca="1">IF(ROW($O56)-5&lt;RSI_Periods, "", AVERAGE(INDIRECT(ADDRESS(ROW($O56)-RSI_Periods +1, MATCH("Downmove", Price_Header,0))): INDIRECT(ADDRESS(ROW($O56),MATCH("Downmove", Price_Header,0)))))</f>
        <v>0.495</v>
      </c>
      <c r="R56" s="46">
        <f ca="1">IF(tbl_NKLA[[#This Row],[Avg_Upmove]]="", "", tbl_NKLA[[#This Row],[Avg_Upmove]]/tbl_NKLA[[#This Row],[Avg_Downmove]])</f>
        <v>0.7301587301587299</v>
      </c>
      <c r="S56" s="10">
        <f ca="1">IF(ROW($N56)-4&lt;BB_Periods, "", _xlfn.STDEV.S(INDIRECT(ADDRESS(ROW($F56)-RSI_Periods +1, MATCH("Adj Close", Price_Header,0))): INDIRECT(ADDRESS(ROW($F56),MATCH("Adj Close", Price_Header,0)))))</f>
        <v>1.8384417673312723</v>
      </c>
    </row>
    <row r="57" spans="1:19" x14ac:dyDescent="0.35">
      <c r="A57" s="8">
        <v>44126</v>
      </c>
      <c r="B57">
        <v>22.36</v>
      </c>
      <c r="C57">
        <v>22.86</v>
      </c>
      <c r="D57">
        <v>21.7</v>
      </c>
      <c r="E57">
        <v>22.72</v>
      </c>
      <c r="F57">
        <v>22.72</v>
      </c>
      <c r="G57">
        <v>10576400</v>
      </c>
      <c r="H57" s="10">
        <f>IF(tbl_NKLA[[#This Row],[Date]]=$A$5, $F57, EMA_Beta*$H56 + (1-EMA_Beta)*$F57)</f>
        <v>23.755852505638615</v>
      </c>
      <c r="I57" s="46">
        <f ca="1">IF(tbl_NKLA[[#This Row],[RS]]= "", "", 100-(100/(1+tbl_NKLA[[#This Row],[RS]])))</f>
        <v>43.795620437956195</v>
      </c>
      <c r="J57" s="10">
        <f ca="1">IF(ROW($N57)-4&lt;BB_Periods, "", AVERAGE(INDIRECT(ADDRESS(ROW($F57)-RSI_Periods +1, MATCH("Adj Close", Price_Header,0))): INDIRECT(ADDRESS(ROW($F57),MATCH("Adj Close", Price_Header,0)))))</f>
        <v>23.157857142857146</v>
      </c>
      <c r="K57" s="10">
        <f ca="1">IF(tbl_NKLA[[#This Row],[BB_Mean]]="", "", tbl_NKLA[[#This Row],[BB_Mean]]+(BB_Width*tbl_NKLA[[#This Row],[BB_Stdev]]))</f>
        <v>26.799684060312629</v>
      </c>
      <c r="L57" s="10">
        <f ca="1">IF(tbl_NKLA[[#This Row],[BB_Mean]]="", "", tbl_NKLA[[#This Row],[BB_Mean]]-(BB_Width*tbl_NKLA[[#This Row],[BB_Stdev]]))</f>
        <v>19.516030225401664</v>
      </c>
      <c r="M57" s="46">
        <f>IF(ROW(tbl_NKLA[[#This Row],[Adj Close]])=5, 0, $F57-$F56)</f>
        <v>0.48000000000000043</v>
      </c>
      <c r="N57" s="46">
        <f>MAX(tbl_NKLA[[#This Row],[Move]],0)</f>
        <v>0.48000000000000043</v>
      </c>
      <c r="O57" s="46">
        <f>MAX(-tbl_NKLA[[#This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0.38571428571428562</v>
      </c>
      <c r="Q57" s="46">
        <f ca="1">IF(ROW($O57)-5&lt;RSI_Periods, "", AVERAGE(INDIRECT(ADDRESS(ROW($O57)-RSI_Periods +1, MATCH("Downmove", Price_Header,0))): INDIRECT(ADDRESS(ROW($O57),MATCH("Downmove", Price_Header,0)))))</f>
        <v>0.495</v>
      </c>
      <c r="R57" s="46">
        <f ca="1">IF(tbl_NKLA[[#This Row],[Avg_Upmove]]="", "", tbl_NKLA[[#This Row],[Avg_Upmove]]/tbl_NKLA[[#This Row],[Avg_Downmove]])</f>
        <v>0.77922077922077904</v>
      </c>
      <c r="S57" s="10">
        <f ca="1">IF(ROW($N57)-4&lt;BB_Periods, "", _xlfn.STDEV.S(INDIRECT(ADDRESS(ROW($F57)-RSI_Periods +1, MATCH("Adj Close", Price_Header,0))): INDIRECT(ADDRESS(ROW($F57),MATCH("Adj Close", Price_Header,0)))))</f>
        <v>1.8209134587277407</v>
      </c>
    </row>
    <row r="58" spans="1:19" x14ac:dyDescent="0.35">
      <c r="A58" s="8">
        <v>44127</v>
      </c>
      <c r="B58">
        <v>23</v>
      </c>
      <c r="C58">
        <v>23.05</v>
      </c>
      <c r="D58">
        <v>21.95</v>
      </c>
      <c r="E58">
        <v>22.54</v>
      </c>
      <c r="F58">
        <v>22.54</v>
      </c>
      <c r="G58">
        <v>6934800</v>
      </c>
      <c r="H58" s="10">
        <f>IF(tbl_NKLA[[#This Row],[Date]]=$A$5, $F58, EMA_Beta*$H57 + (1-EMA_Beta)*$F58)</f>
        <v>23.634267255074754</v>
      </c>
      <c r="I58" s="46">
        <f ca="1">IF(tbl_NKLA[[#This Row],[RS]]= "", "", 100-(100/(1+tbl_NKLA[[#This Row],[RS]])))</f>
        <v>44.85049833887043</v>
      </c>
      <c r="J58" s="10">
        <f ca="1">IF(ROW($N58)-4&lt;BB_Periods, "", AVERAGE(INDIRECT(ADDRESS(ROW($F58)-RSI_Periods +1, MATCH("Adj Close", Price_Header,0))): INDIRECT(ADDRESS(ROW($F58),MATCH("Adj Close", Price_Header,0)))))</f>
        <v>23.069285714285719</v>
      </c>
      <c r="K58" s="10">
        <f ca="1">IF(tbl_NKLA[[#This Row],[BB_Mean]]="", "", tbl_NKLA[[#This Row],[BB_Mean]]+(BB_Width*tbl_NKLA[[#This Row],[BB_Stdev]]))</f>
        <v>26.706245258365737</v>
      </c>
      <c r="L58" s="10">
        <f ca="1">IF(tbl_NKLA[[#This Row],[BB_Mean]]="", "", tbl_NKLA[[#This Row],[BB_Mean]]-(BB_Width*tbl_NKLA[[#This Row],[BB_Stdev]]))</f>
        <v>19.432326170205702</v>
      </c>
      <c r="M58" s="46">
        <f>IF(ROW(tbl_NKLA[[#This Row],[Adj Close]])=5, 0, $F58-$F57)</f>
        <v>-0.17999999999999972</v>
      </c>
      <c r="N58" s="46">
        <f>MAX(tbl_NKLA[[#This Row],[Move]],0)</f>
        <v>0</v>
      </c>
      <c r="O58" s="46">
        <f>MAX(-tbl_NKLA[[#This Row],[Move]],0)</f>
        <v>0.17999999999999972</v>
      </c>
      <c r="P58" s="46">
        <f ca="1">IF(ROW($N58)-5&lt;RSI_Periods, "", AVERAGE(INDIRECT(ADDRESS(ROW($N58)-RSI_Periods +1, MATCH("Upmove", Price_Header,0))): INDIRECT(ADDRESS(ROW($N58),MATCH("Upmove", Price_Header,0)))))</f>
        <v>0.38571428571428562</v>
      </c>
      <c r="Q58" s="46">
        <f ca="1">IF(ROW($O58)-5&lt;RSI_Periods, "", AVERAGE(INDIRECT(ADDRESS(ROW($O58)-RSI_Periods +1, MATCH("Downmove", Price_Header,0))): INDIRECT(ADDRESS(ROW($O58),MATCH("Downmove", Price_Header,0)))))</f>
        <v>0.47428571428571431</v>
      </c>
      <c r="R58" s="46">
        <f ca="1">IF(tbl_NKLA[[#This Row],[Avg_Upmove]]="", "", tbl_NKLA[[#This Row],[Avg_Upmove]]/tbl_NKLA[[#This Row],[Avg_Downmove]])</f>
        <v>0.81325301204819256</v>
      </c>
      <c r="S58" s="10">
        <f ca="1">IF(ROW($N58)-4&lt;BB_Periods, "", _xlfn.STDEV.S(INDIRECT(ADDRESS(ROW($F58)-RSI_Periods +1, MATCH("Adj Close", Price_Header,0))): INDIRECT(ADDRESS(ROW($F58),MATCH("Adj Close", Price_Header,0)))))</f>
        <v>1.8184797720400085</v>
      </c>
    </row>
    <row r="59" spans="1:19" x14ac:dyDescent="0.35">
      <c r="A59" s="8">
        <v>44130</v>
      </c>
      <c r="B59">
        <v>22.15</v>
      </c>
      <c r="C59">
        <v>22.57</v>
      </c>
      <c r="D59">
        <v>20.71</v>
      </c>
      <c r="E59">
        <v>20.91</v>
      </c>
      <c r="F59">
        <v>20.91</v>
      </c>
      <c r="G59">
        <v>8149800</v>
      </c>
      <c r="H59" s="10">
        <f>IF(tbl_NKLA[[#This Row],[Date]]=$A$5, $F59, EMA_Beta*$H58 + (1-EMA_Beta)*$F59)</f>
        <v>23.361840529567282</v>
      </c>
      <c r="I59" s="46">
        <f ca="1">IF(tbl_NKLA[[#This Row],[RS]]= "", "", 100-(100/(1+tbl_NKLA[[#This Row],[RS]])))</f>
        <v>40.118870728083202</v>
      </c>
      <c r="J59" s="10">
        <f ca="1">IF(ROW($N59)-4&lt;BB_Periods, "", AVERAGE(INDIRECT(ADDRESS(ROW($F59)-RSI_Periods +1, MATCH("Adj Close", Price_Header,0))): INDIRECT(ADDRESS(ROW($F59),MATCH("Adj Close", Price_Header,0)))))</f>
        <v>22.879285714285718</v>
      </c>
      <c r="K59" s="10">
        <f ca="1">IF(tbl_NKLA[[#This Row],[BB_Mean]]="", "", tbl_NKLA[[#This Row],[BB_Mean]]+(BB_Width*tbl_NKLA[[#This Row],[BB_Stdev]]))</f>
        <v>26.677896507199879</v>
      </c>
      <c r="L59" s="10">
        <f ca="1">IF(tbl_NKLA[[#This Row],[BB_Mean]]="", "", tbl_NKLA[[#This Row],[BB_Mean]]-(BB_Width*tbl_NKLA[[#This Row],[BB_Stdev]]))</f>
        <v>19.080674921371557</v>
      </c>
      <c r="M59" s="46">
        <f>IF(ROW(tbl_NKLA[[#This Row],[Adj Close]])=5, 0, $F59-$F58)</f>
        <v>-1.629999999999999</v>
      </c>
      <c r="N59" s="46">
        <f>MAX(tbl_NKLA[[#This Row],[Move]],0)</f>
        <v>0</v>
      </c>
      <c r="O59" s="46">
        <f>MAX(-tbl_NKLA[[#This Row],[Move]],0)</f>
        <v>1.629999999999999</v>
      </c>
      <c r="P59" s="46">
        <f ca="1">IF(ROW($N59)-5&lt;RSI_Periods, "", AVERAGE(INDIRECT(ADDRESS(ROW($N59)-RSI_Periods +1, MATCH("Upmove", Price_Header,0))): INDIRECT(ADDRESS(ROW($N59),MATCH("Upmove", Price_Header,0)))))</f>
        <v>0.38571428571428562</v>
      </c>
      <c r="Q59" s="46">
        <f ca="1">IF(ROW($O59)-5&lt;RSI_Periods, "", AVERAGE(INDIRECT(ADDRESS(ROW($O59)-RSI_Periods +1, MATCH("Downmove", Price_Header,0))): INDIRECT(ADDRESS(ROW($O59),MATCH("Downmove", Price_Header,0)))))</f>
        <v>0.57571428571428562</v>
      </c>
      <c r="R59" s="46">
        <f ca="1">IF(tbl_NKLA[[#This Row],[Avg_Upmove]]="", "", tbl_NKLA[[#This Row],[Avg_Upmove]]/tbl_NKLA[[#This Row],[Avg_Downmove]])</f>
        <v>0.66997518610421836</v>
      </c>
      <c r="S59" s="10">
        <f ca="1">IF(ROW($N59)-4&lt;BB_Periods, "", _xlfn.STDEV.S(INDIRECT(ADDRESS(ROW($F59)-RSI_Periods +1, MATCH("Adj Close", Price_Header,0))): INDIRECT(ADDRESS(ROW($F59),MATCH("Adj Close", Price_Header,0)))))</f>
        <v>1.8993053964570807</v>
      </c>
    </row>
    <row r="60" spans="1:19" x14ac:dyDescent="0.35">
      <c r="A60" t="s">
        <v>162</v>
      </c>
      <c r="H60" s="61"/>
      <c r="J60" s="61"/>
      <c r="K60" s="61"/>
      <c r="L60" s="61"/>
      <c r="S60" s="61">
        <f ca="1">SUBTOTAL(103,tbl_NKLA[BB_Stdev])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60"/>
  <sheetViews>
    <sheetView topLeftCell="B53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254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3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3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3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3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3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3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3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3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3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3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3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3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3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3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3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3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3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3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35">
      <c r="A37" s="8">
        <v>44098</v>
      </c>
      <c r="B37" s="10">
        <v>6.57</v>
      </c>
      <c r="C37" s="10">
        <v>6.65</v>
      </c>
      <c r="D37" s="10">
        <v>6.22</v>
      </c>
      <c r="E37" s="10">
        <v>6.41</v>
      </c>
      <c r="F37" s="10">
        <v>6.41</v>
      </c>
      <c r="G37">
        <v>61530700</v>
      </c>
      <c r="H37" s="10">
        <f>IF(tbl_SPXS[[#This Row],[Date]]=$A$5, $F37, EMA_Beta*$H36 + (1-EMA_Beta)*$F37)</f>
        <v>5.9261326888632224</v>
      </c>
      <c r="I37" s="46">
        <f ca="1">IF(tbl_SPXS[[#This Row],[RS]]= "", "", 100-(100/(1+tbl_SPXS[[#This Row],[RS]])))</f>
        <v>66.894197952218434</v>
      </c>
      <c r="J37" s="10">
        <f ca="1">IF(ROW($N37)-4&lt;BB_Periods, "", AVERAGE(INDIRECT(ADDRESS(ROW($F37)-RSI_Periods +1, MATCH("Adj Close", Price_Header,0))): INDIRECT(ADDRESS(ROW($F37),MATCH("Adj Close", Price_Header,0)))))</f>
        <v>5.95</v>
      </c>
      <c r="K37" s="10">
        <f ca="1">IF(tbl_SPXS[[#This Row],[BB_Mean]]="", "", tbl_SPXS[[#This Row],[BB_Mean]]+(BB_Width*tbl_SPXS[[#This Row],[BB_Stdev]]))</f>
        <v>6.5281136433395988</v>
      </c>
      <c r="L37" s="10">
        <f ca="1">IF(tbl_SPXS[[#This Row],[BB_Mean]]="", "", tbl_SPXS[[#This Row],[BB_Mean]]-(BB_Width*tbl_SPXS[[#This Row],[BB_Stdev]]))</f>
        <v>5.3718863566604016</v>
      </c>
      <c r="M37" s="46">
        <f>IF(ROW(tbl_SPXS[[#This Row],[Adj Close]])=5, 0, $F37-$F36)</f>
        <v>-7.0000000000000284E-2</v>
      </c>
      <c r="N37" s="46">
        <f>MAX(tbl_SPXS[[#This Row],[Move]],0)</f>
        <v>0</v>
      </c>
      <c r="O37" s="46">
        <f>MAX(-tbl_SPXS[[#This Row],[Move]],0)</f>
        <v>7.0000000000000284E-2</v>
      </c>
      <c r="P37" s="46">
        <f ca="1">IF(ROW($N37)-5&lt;RSI_Periods, "", AVERAGE(INDIRECT(ADDRESS(ROW($N37)-RSI_Periods +1, MATCH("Upmove", Price_Header,0))): INDIRECT(ADDRESS(ROW($N37),MATCH("Upmove", Price_Header,0)))))</f>
        <v>0.13999999999999999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IF(tbl_SPXS[[#This Row],[Avg_Upmove]]="", "", tbl_SPXS[[#This Row],[Avg_Upmove]]/tbl_SPXS[[#This Row],[Avg_Downmove]])</f>
        <v>2.0206185567010313</v>
      </c>
      <c r="S37" s="10">
        <f ca="1">IF(ROW($N37)-4&lt;BB_Periods, "", _xlfn.STDEV.S(INDIRECT(ADDRESS(ROW($F37)-RSI_Periods +1, MATCH("Adj Close", Price_Header,0))): INDIRECT(ADDRESS(ROW($F37),MATCH("Adj Close", Price_Header,0)))))</f>
        <v>0.28905682166979935</v>
      </c>
    </row>
    <row r="38" spans="1:19" x14ac:dyDescent="0.35">
      <c r="A38" s="8">
        <v>44099</v>
      </c>
      <c r="B38" s="10">
        <v>6.48</v>
      </c>
      <c r="C38" s="10">
        <v>6.53</v>
      </c>
      <c r="D38" s="10">
        <v>6.06</v>
      </c>
      <c r="E38" s="10">
        <v>6.1</v>
      </c>
      <c r="F38" s="10">
        <v>6.1</v>
      </c>
      <c r="G38">
        <v>41909900</v>
      </c>
      <c r="H38" s="10">
        <f>IF(tbl_SPXS[[#This Row],[Date]]=$A$5, $F38, EMA_Beta*$H37 + (1-EMA_Beta)*$F38)</f>
        <v>5.9435194199768997</v>
      </c>
      <c r="I38" s="46">
        <f ca="1">IF(tbl_SPXS[[#This Row],[RS]]= "", "", 100-(100/(1+tbl_SPXS[[#This Row],[RS]])))</f>
        <v>58.70967741935484</v>
      </c>
      <c r="J38" s="10">
        <f ca="1">IF(ROW($N38)-4&lt;BB_Periods, "", AVERAGE(INDIRECT(ADDRESS(ROW($F38)-RSI_Periods +1, MATCH("Adj Close", Price_Header,0))): INDIRECT(ADDRESS(ROW($F38),MATCH("Adj Close", Price_Header,0)))))</f>
        <v>5.9885714285714275</v>
      </c>
      <c r="K38" s="10">
        <f ca="1">IF(tbl_SPXS[[#This Row],[BB_Mean]]="", "", tbl_SPXS[[#This Row],[BB_Mean]]+(BB_Width*tbl_SPXS[[#This Row],[BB_Stdev]]))</f>
        <v>6.5251622133689962</v>
      </c>
      <c r="L38" s="10">
        <f ca="1">IF(tbl_SPXS[[#This Row],[BB_Mean]]="", "", tbl_SPXS[[#This Row],[BB_Mean]]-(BB_Width*tbl_SPXS[[#This Row],[BB_Stdev]]))</f>
        <v>5.4519806437738589</v>
      </c>
      <c r="M38" s="46">
        <f>IF(ROW(tbl_SPXS[[#This Row],[Adj Close]])=5, 0, $F38-$F37)</f>
        <v>-0.3100000000000005</v>
      </c>
      <c r="N38" s="46">
        <f>MAX(tbl_SPXS[[#This Row],[Move]],0)</f>
        <v>0</v>
      </c>
      <c r="O38" s="46">
        <f>MAX(-tbl_SPXS[[#This Row],[Move]],0)</f>
        <v>0.3100000000000005</v>
      </c>
      <c r="P38" s="46">
        <f ca="1">IF(ROW($N38)-5&lt;RSI_Periods, "", AVERAGE(INDIRECT(ADDRESS(ROW($N38)-RSI_Periods +1, MATCH("Upmove", Price_Header,0))): INDIRECT(ADDRESS(ROW($N38),MATCH("Upmove", Price_Header,0)))))</f>
        <v>0.13000000000000003</v>
      </c>
      <c r="Q38" s="46">
        <f ca="1">IF(ROW($O38)-5&lt;RSI_Periods, "", AVERAGE(INDIRECT(ADDRESS(ROW($O38)-RSI_Periods +1, MATCH("Downmove", Price_Header,0))): INDIRECT(ADDRESS(ROW($O38),MATCH("Downmove", Price_Header,0)))))</f>
        <v>9.1428571428571442E-2</v>
      </c>
      <c r="R38" s="46">
        <f ca="1">IF(tbl_SPXS[[#This Row],[Avg_Upmove]]="", "", tbl_SPXS[[#This Row],[Avg_Upmove]]/tbl_SPXS[[#This Row],[Avg_Downmove]])</f>
        <v>1.4218750000000002</v>
      </c>
      <c r="S38" s="10">
        <f ca="1">IF(ROW($N38)-4&lt;BB_Periods, "", _xlfn.STDEV.S(INDIRECT(ADDRESS(ROW($F38)-RSI_Periods +1, MATCH("Adj Close", Price_Header,0))): INDIRECT(ADDRESS(ROW($F38),MATCH("Adj Close", Price_Header,0)))))</f>
        <v>0.26829539239878425</v>
      </c>
    </row>
    <row r="39" spans="1:19" x14ac:dyDescent="0.35">
      <c r="A39" s="8">
        <v>44102</v>
      </c>
      <c r="B39" s="10">
        <v>5.85</v>
      </c>
      <c r="C39" s="10">
        <v>5.92</v>
      </c>
      <c r="D39" s="10">
        <v>5.76</v>
      </c>
      <c r="E39" s="10">
        <v>5.81</v>
      </c>
      <c r="F39" s="10">
        <v>5.81</v>
      </c>
      <c r="G39">
        <v>28157700</v>
      </c>
      <c r="H39" s="10">
        <f>IF(tbl_SPXS[[#This Row],[Date]]=$A$5, $F39, EMA_Beta*$H38 + (1-EMA_Beta)*$F39)</f>
        <v>5.9301674779792091</v>
      </c>
      <c r="I39" s="46">
        <f ca="1">IF(tbl_SPXS[[#This Row],[RS]]= "", "", 100-(100/(1+tbl_SPXS[[#This Row],[RS]])))</f>
        <v>46.416382252559728</v>
      </c>
      <c r="J39" s="10">
        <f ca="1">IF(ROW($N39)-4&lt;BB_Periods, "", AVERAGE(INDIRECT(ADDRESS(ROW($F39)-RSI_Periods +1, MATCH("Adj Close", Price_Header,0))): INDIRECT(ADDRESS(ROW($F39),MATCH("Adj Close", Price_Header,0)))))</f>
        <v>5.9735714285714279</v>
      </c>
      <c r="K39" s="10">
        <f ca="1">IF(tbl_SPXS[[#This Row],[BB_Mean]]="", "", tbl_SPXS[[#This Row],[BB_Mean]]+(BB_Width*tbl_SPXS[[#This Row],[BB_Stdev]]))</f>
        <v>6.5180603006965905</v>
      </c>
      <c r="L39" s="10">
        <f ca="1">IF(tbl_SPXS[[#This Row],[BB_Mean]]="", "", tbl_SPXS[[#This Row],[BB_Mean]]-(BB_Width*tbl_SPXS[[#This Row],[BB_Stdev]]))</f>
        <v>5.4290825564462653</v>
      </c>
      <c r="M39" s="46">
        <f>IF(ROW(tbl_SPXS[[#This Row],[Adj Close]])=5, 0, $F39-$F38)</f>
        <v>-0.29000000000000004</v>
      </c>
      <c r="N39" s="46">
        <f>MAX(tbl_SPXS[[#This Row],[Move]],0)</f>
        <v>0</v>
      </c>
      <c r="O39" s="46">
        <f>MAX(-tbl_SPXS[[#This Row],[Move]],0)</f>
        <v>0.29000000000000004</v>
      </c>
      <c r="P39" s="46">
        <f ca="1">IF(ROW($N39)-5&lt;RSI_Periods, "", AVERAGE(INDIRECT(ADDRESS(ROW($N39)-RSI_Periods +1, MATCH("Upmove", Price_Header,0))): INDIRECT(ADDRESS(ROW($N39),MATCH("Upmove", Price_Header,0)))))</f>
        <v>9.714285714285717E-2</v>
      </c>
      <c r="Q39" s="46">
        <f ca="1">IF(ROW($O39)-5&lt;RSI_Periods, "", AVERAGE(INDIRECT(ADDRESS(ROW($O39)-RSI_Periods +1, MATCH("Downmove", Price_Header,0))): INDIRECT(ADDRESS(ROW($O39),MATCH("Downmove", Price_Header,0)))))</f>
        <v>0.11214285714285717</v>
      </c>
      <c r="R39" s="46">
        <f ca="1">IF(tbl_SPXS[[#This Row],[Avg_Upmove]]="", "", tbl_SPXS[[#This Row],[Avg_Upmove]]/tbl_SPXS[[#This Row],[Avg_Downmove]])</f>
        <v>0.86624203821656054</v>
      </c>
      <c r="S39" s="10">
        <f ca="1">IF(ROW($N39)-4&lt;BB_Periods, "", _xlfn.STDEV.S(INDIRECT(ADDRESS(ROW($F39)-RSI_Periods +1, MATCH("Adj Close", Price_Header,0))): INDIRECT(ADDRESS(ROW($F39),MATCH("Adj Close", Price_Header,0)))))</f>
        <v>0.27224443606258142</v>
      </c>
    </row>
    <row r="40" spans="1:19" x14ac:dyDescent="0.35">
      <c r="A40" s="8">
        <v>44103</v>
      </c>
      <c r="B40" s="10">
        <v>5.81</v>
      </c>
      <c r="C40" s="10">
        <v>5.94</v>
      </c>
      <c r="D40" s="10">
        <v>5.78</v>
      </c>
      <c r="E40" s="10">
        <v>5.91</v>
      </c>
      <c r="F40" s="10">
        <v>5.91</v>
      </c>
      <c r="G40">
        <v>31636100</v>
      </c>
      <c r="H40" s="10">
        <f>IF(tbl_SPXS[[#This Row],[Date]]=$A$5, $F40, EMA_Beta*$H39 + (1-EMA_Beta)*$F40)</f>
        <v>5.9281507301812884</v>
      </c>
      <c r="I40" s="46">
        <f ca="1">IF(tbl_SPXS[[#This Row],[RS]]= "", "", 100-(100/(1+tbl_SPXS[[#This Row],[RS]])))</f>
        <v>54.681647940074903</v>
      </c>
      <c r="J40" s="10">
        <f ca="1">IF(ROW($N40)-4&lt;BB_Periods, "", AVERAGE(INDIRECT(ADDRESS(ROW($F40)-RSI_Periods +1, MATCH("Adj Close", Price_Header,0))): INDIRECT(ADDRESS(ROW($F40),MATCH("Adj Close", Price_Header,0)))))</f>
        <v>5.9914285714285702</v>
      </c>
      <c r="K40" s="10">
        <f ca="1">IF(tbl_SPXS[[#This Row],[BB_Mean]]="", "", tbl_SPXS[[#This Row],[BB_Mean]]+(BB_Width*tbl_SPXS[[#This Row],[BB_Stdev]]))</f>
        <v>6.507261409161412</v>
      </c>
      <c r="L40" s="10">
        <f ca="1">IF(tbl_SPXS[[#This Row],[BB_Mean]]="", "", tbl_SPXS[[#This Row],[BB_Mean]]-(BB_Width*tbl_SPXS[[#This Row],[BB_Stdev]]))</f>
        <v>5.4755957336957284</v>
      </c>
      <c r="M40" s="46">
        <f>IF(ROW(tbl_SPXS[[#This Row],[Adj Close]])=5, 0, $F40-$F39)</f>
        <v>0.10000000000000053</v>
      </c>
      <c r="N40" s="46">
        <f>MAX(tbl_SPXS[[#This Row],[Move]],0)</f>
        <v>0.10000000000000053</v>
      </c>
      <c r="O40" s="46">
        <f>MAX(-tbl_SPXS[[#This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0.10428571428571434</v>
      </c>
      <c r="Q40" s="46">
        <f ca="1">IF(ROW($O40)-5&lt;RSI_Periods, "", AVERAGE(INDIRECT(ADDRESS(ROW($O40)-RSI_Periods +1, MATCH("Downmove", Price_Header,0))): INDIRECT(ADDRESS(ROW($O40),MATCH("Downmove", Price_Header,0)))))</f>
        <v>8.6428571428571493E-2</v>
      </c>
      <c r="R40" s="46">
        <f ca="1">IF(tbl_SPXS[[#This Row],[Avg_Upmove]]="", "", tbl_SPXS[[#This Row],[Avg_Upmove]]/tbl_SPXS[[#This Row],[Avg_Downmove]])</f>
        <v>1.2066115702479336</v>
      </c>
      <c r="S40" s="10">
        <f ca="1">IF(ROW($N40)-4&lt;BB_Periods, "", _xlfn.STDEV.S(INDIRECT(ADDRESS(ROW($F40)-RSI_Periods +1, MATCH("Adj Close", Price_Header,0))): INDIRECT(ADDRESS(ROW($F40),MATCH("Adj Close", Price_Header,0)))))</f>
        <v>0.25791641886642108</v>
      </c>
    </row>
    <row r="41" spans="1:19" x14ac:dyDescent="0.35">
      <c r="A41" s="8">
        <v>44104</v>
      </c>
      <c r="B41" s="10">
        <v>5.87</v>
      </c>
      <c r="C41" s="10">
        <v>5.88</v>
      </c>
      <c r="D41" s="10">
        <v>5.59</v>
      </c>
      <c r="E41" s="10">
        <v>5.76</v>
      </c>
      <c r="F41" s="10">
        <v>5.76</v>
      </c>
      <c r="G41">
        <v>44462200</v>
      </c>
      <c r="H41" s="10">
        <f>IF(tbl_SPXS[[#This Row],[Date]]=$A$5, $F41, EMA_Beta*$H40 + (1-EMA_Beta)*$F41)</f>
        <v>5.9113356571631597</v>
      </c>
      <c r="I41" s="46">
        <f ca="1">IF(tbl_SPXS[[#This Row],[RS]]= "", "", 100-(100/(1+tbl_SPXS[[#This Row],[RS]])))</f>
        <v>46.031746031746032</v>
      </c>
      <c r="J41" s="10">
        <f ca="1">IF(ROW($N41)-4&lt;BB_Periods, "", AVERAGE(INDIRECT(ADDRESS(ROW($F41)-RSI_Periods +1, MATCH("Adj Close", Price_Header,0))): INDIRECT(ADDRESS(ROW($F41),MATCH("Adj Close", Price_Header,0)))))</f>
        <v>5.9771428571428569</v>
      </c>
      <c r="K41" s="10">
        <f ca="1">IF(tbl_SPXS[[#This Row],[BB_Mean]]="", "", tbl_SPXS[[#This Row],[BB_Mean]]+(BB_Width*tbl_SPXS[[#This Row],[BB_Stdev]]))</f>
        <v>6.5075957012112244</v>
      </c>
      <c r="L41" s="10">
        <f ca="1">IF(tbl_SPXS[[#This Row],[BB_Mean]]="", "", tbl_SPXS[[#This Row],[BB_Mean]]-(BB_Width*tbl_SPXS[[#This Row],[BB_Stdev]]))</f>
        <v>5.4466900130744893</v>
      </c>
      <c r="M41" s="46">
        <f>IF(ROW(tbl_SPXS[[#This Row],[Adj Close]])=5, 0, $F41-$F40)</f>
        <v>-0.15000000000000036</v>
      </c>
      <c r="N41" s="46">
        <f>MAX(tbl_SPXS[[#This Row],[Move]],0)</f>
        <v>0</v>
      </c>
      <c r="O41" s="46">
        <f>MAX(-tbl_SPXS[[#This Row],[Move]],0)</f>
        <v>0.15000000000000036</v>
      </c>
      <c r="P41" s="46">
        <f ca="1">IF(ROW($N41)-5&lt;RSI_Periods, "", AVERAGE(INDIRECT(ADDRESS(ROW($N41)-RSI_Periods +1, MATCH("Upmove", Price_Header,0))): INDIRECT(ADDRESS(ROW($N41),MATCH("Upmove", Price_Header,0)))))</f>
        <v>8.2857142857142935E-2</v>
      </c>
      <c r="Q41" s="46">
        <f ca="1">IF(ROW($O41)-5&lt;RSI_Periods, "", AVERAGE(INDIRECT(ADDRESS(ROW($O41)-RSI_Periods +1, MATCH("Downmove", Price_Header,0))): INDIRECT(ADDRESS(ROW($O41),MATCH("Downmove", Price_Header,0)))))</f>
        <v>9.7142857142857225E-2</v>
      </c>
      <c r="R41" s="46">
        <f ca="1">IF(tbl_SPXS[[#This Row],[Avg_Upmove]]="", "", tbl_SPXS[[#This Row],[Avg_Upmove]]/tbl_SPXS[[#This Row],[Avg_Downmove]])</f>
        <v>0.85294117647058831</v>
      </c>
      <c r="S41" s="10">
        <f ca="1">IF(ROW($N41)-4&lt;BB_Periods, "", _xlfn.STDEV.S(INDIRECT(ADDRESS(ROW($F41)-RSI_Periods +1, MATCH("Adj Close", Price_Header,0))): INDIRECT(ADDRESS(ROW($F41),MATCH("Adj Close", Price_Header,0)))))</f>
        <v>0.26522642203418384</v>
      </c>
    </row>
    <row r="42" spans="1:19" x14ac:dyDescent="0.35">
      <c r="A42" s="8">
        <v>44105</v>
      </c>
      <c r="B42" s="10">
        <v>5.62</v>
      </c>
      <c r="C42" s="10">
        <v>5.76</v>
      </c>
      <c r="D42" s="10">
        <v>5.57</v>
      </c>
      <c r="E42" s="10">
        <v>5.66</v>
      </c>
      <c r="F42" s="10">
        <v>5.66</v>
      </c>
      <c r="G42">
        <v>40085100</v>
      </c>
      <c r="H42" s="10">
        <f>IF(tbl_SPXS[[#This Row],[Date]]=$A$5, $F42, EMA_Beta*$H41 + (1-EMA_Beta)*$F42)</f>
        <v>5.8862020914468438</v>
      </c>
      <c r="I42" s="46">
        <f ca="1">IF(tbl_SPXS[[#This Row],[RS]]= "", "", 100-(100/(1+tbl_SPXS[[#This Row],[RS]])))</f>
        <v>44.44444444444445</v>
      </c>
      <c r="J42" s="10">
        <f ca="1">IF(ROW($N42)-4&lt;BB_Periods, "", AVERAGE(INDIRECT(ADDRESS(ROW($F42)-RSI_Periods +1, MATCH("Adj Close", Price_Header,0))): INDIRECT(ADDRESS(ROW($F42),MATCH("Adj Close", Price_Header,0)))))</f>
        <v>5.9564285714285718</v>
      </c>
      <c r="K42" s="10">
        <f ca="1">IF(tbl_SPXS[[#This Row],[BB_Mean]]="", "", tbl_SPXS[[#This Row],[BB_Mean]]+(BB_Width*tbl_SPXS[[#This Row],[BB_Stdev]]))</f>
        <v>6.5134319352000549</v>
      </c>
      <c r="L42" s="10">
        <f ca="1">IF(tbl_SPXS[[#This Row],[BB_Mean]]="", "", tbl_SPXS[[#This Row],[BB_Mean]]-(BB_Width*tbl_SPXS[[#This Row],[BB_Stdev]]))</f>
        <v>5.3994252076570888</v>
      </c>
      <c r="M42" s="46">
        <f>IF(ROW(tbl_SPXS[[#This Row],[Adj Close]])=5, 0, $F42-$F41)</f>
        <v>-9.9999999999999645E-2</v>
      </c>
      <c r="N42" s="46">
        <f>MAX(tbl_SPXS[[#This Row],[Move]],0)</f>
        <v>0</v>
      </c>
      <c r="O42" s="46">
        <f>MAX(-tbl_SPXS[[#This Row],[Move]],0)</f>
        <v>9.9999999999999645E-2</v>
      </c>
      <c r="P42" s="46">
        <f ca="1">IF(ROW($N42)-5&lt;RSI_Periods, "", AVERAGE(INDIRECT(ADDRESS(ROW($N42)-RSI_Periods +1, MATCH("Upmove", Price_Header,0))): INDIRECT(ADDRESS(ROW($N42),MATCH("Upmove", Price_Header,0)))))</f>
        <v>8.2857142857142935E-2</v>
      </c>
      <c r="Q42" s="46">
        <f ca="1">IF(ROW($O42)-5&lt;RSI_Periods, "", AVERAGE(INDIRECT(ADDRESS(ROW($O42)-RSI_Periods +1, MATCH("Downmove", Price_Header,0))): INDIRECT(ADDRESS(ROW($O42),MATCH("Downmove", Price_Header,0)))))</f>
        <v>0.10357142857142865</v>
      </c>
      <c r="R42" s="46">
        <f ca="1">IF(tbl_SPXS[[#This Row],[Avg_Upmove]]="", "", tbl_SPXS[[#This Row],[Avg_Upmove]]/tbl_SPXS[[#This Row],[Avg_Downmove]])</f>
        <v>0.80000000000000016</v>
      </c>
      <c r="S42" s="10">
        <f ca="1">IF(ROW($N42)-4&lt;BB_Periods, "", _xlfn.STDEV.S(INDIRECT(ADDRESS(ROW($F42)-RSI_Periods +1, MATCH("Adj Close", Price_Header,0))): INDIRECT(ADDRESS(ROW($F42),MATCH("Adj Close", Price_Header,0)))))</f>
        <v>0.27850168188574165</v>
      </c>
    </row>
    <row r="43" spans="1:19" x14ac:dyDescent="0.35">
      <c r="A43" s="8">
        <v>44106</v>
      </c>
      <c r="B43" s="10">
        <v>5.92</v>
      </c>
      <c r="C43" s="10">
        <v>5.95</v>
      </c>
      <c r="D43" s="10">
        <v>5.71</v>
      </c>
      <c r="E43" s="10">
        <v>5.81</v>
      </c>
      <c r="F43" s="10">
        <v>5.81</v>
      </c>
      <c r="G43">
        <v>49876800</v>
      </c>
      <c r="H43" s="10">
        <f>IF(tbl_SPXS[[#This Row],[Date]]=$A$5, $F43, EMA_Beta*$H42 + (1-EMA_Beta)*$F43)</f>
        <v>5.8785818823021589</v>
      </c>
      <c r="I43" s="46">
        <f ca="1">IF(tbl_SPXS[[#This Row],[RS]]= "", "", 100-(100/(1+tbl_SPXS[[#This Row],[RS]])))</f>
        <v>51.778656126482211</v>
      </c>
      <c r="J43" s="10">
        <f ca="1">IF(ROW($N43)-4&lt;BB_Periods, "", AVERAGE(INDIRECT(ADDRESS(ROW($F43)-RSI_Periods +1, MATCH("Adj Close", Price_Header,0))): INDIRECT(ADDRESS(ROW($F43),MATCH("Adj Close", Price_Header,0)))))</f>
        <v>5.9628571428571444</v>
      </c>
      <c r="K43" s="10">
        <f ca="1">IF(tbl_SPXS[[#This Row],[BB_Mean]]="", "", tbl_SPXS[[#This Row],[BB_Mean]]+(BB_Width*tbl_SPXS[[#This Row],[BB_Stdev]]))</f>
        <v>6.5100979741851148</v>
      </c>
      <c r="L43" s="10">
        <f ca="1">IF(tbl_SPXS[[#This Row],[BB_Mean]]="", "", tbl_SPXS[[#This Row],[BB_Mean]]-(BB_Width*tbl_SPXS[[#This Row],[BB_Stdev]]))</f>
        <v>5.415616311529174</v>
      </c>
      <c r="M43" s="46">
        <f>IF(ROW(tbl_SPXS[[#This Row],[Adj Close]])=5, 0, $F43-$F42)</f>
        <v>0.14999999999999947</v>
      </c>
      <c r="N43" s="46">
        <f>MAX(tbl_SPXS[[#This Row],[Move]],0)</f>
        <v>0.14999999999999947</v>
      </c>
      <c r="O43" s="46">
        <f>MAX(-tbl_SPXS[[#This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9.3571428571428611E-2</v>
      </c>
      <c r="Q43" s="46">
        <f ca="1">IF(ROW($O43)-5&lt;RSI_Periods, "", AVERAGE(INDIRECT(ADDRESS(ROW($O43)-RSI_Periods +1, MATCH("Downmove", Price_Header,0))): INDIRECT(ADDRESS(ROW($O43),MATCH("Downmove", Price_Header,0)))))</f>
        <v>8.7142857142857189E-2</v>
      </c>
      <c r="R43" s="46">
        <f ca="1">IF(tbl_SPXS[[#This Row],[Avg_Upmove]]="", "", tbl_SPXS[[#This Row],[Avg_Upmove]]/tbl_SPXS[[#This Row],[Avg_Downmove]])</f>
        <v>1.0737704918032787</v>
      </c>
      <c r="S43" s="10">
        <f ca="1">IF(ROW($N43)-4&lt;BB_Periods, "", _xlfn.STDEV.S(INDIRECT(ADDRESS(ROW($F43)-RSI_Periods +1, MATCH("Adj Close", Price_Header,0))): INDIRECT(ADDRESS(ROW($F43),MATCH("Adj Close", Price_Header,0)))))</f>
        <v>0.27362041566398498</v>
      </c>
    </row>
    <row r="44" spans="1:19" x14ac:dyDescent="0.35">
      <c r="A44" s="8">
        <v>44109</v>
      </c>
      <c r="B44" s="10">
        <v>5.7</v>
      </c>
      <c r="C44" s="10">
        <v>5.7</v>
      </c>
      <c r="D44" s="10">
        <v>5.5</v>
      </c>
      <c r="E44" s="10">
        <v>5.51</v>
      </c>
      <c r="F44" s="10">
        <v>5.51</v>
      </c>
      <c r="G44">
        <v>22828700</v>
      </c>
      <c r="H44" s="10">
        <f>IF(tbl_SPXS[[#This Row],[Date]]=$A$5, $F44, EMA_Beta*$H43 + (1-EMA_Beta)*$F44)</f>
        <v>5.841723694071943</v>
      </c>
      <c r="I44" s="46">
        <f ca="1">IF(tbl_SPXS[[#This Row],[RS]]= "", "", 100-(100/(1+tbl_SPXS[[#This Row],[RS]])))</f>
        <v>47.985347985347985</v>
      </c>
      <c r="J44" s="10">
        <f ca="1">IF(ROW($N44)-4&lt;BB_Periods, "", AVERAGE(INDIRECT(ADDRESS(ROW($F44)-RSI_Periods +1, MATCH("Adj Close", Price_Header,0))): INDIRECT(ADDRESS(ROW($F44),MATCH("Adj Close", Price_Header,0)))))</f>
        <v>5.955000000000001</v>
      </c>
      <c r="K44" s="10">
        <f ca="1">IF(tbl_SPXS[[#This Row],[BB_Mean]]="", "", tbl_SPXS[[#This Row],[BB_Mean]]+(BB_Width*tbl_SPXS[[#This Row],[BB_Stdev]]))</f>
        <v>6.5260853364764877</v>
      </c>
      <c r="L44" s="10">
        <f ca="1">IF(tbl_SPXS[[#This Row],[BB_Mean]]="", "", tbl_SPXS[[#This Row],[BB_Mean]]-(BB_Width*tbl_SPXS[[#This Row],[BB_Stdev]]))</f>
        <v>5.3839146635235142</v>
      </c>
      <c r="M44" s="46">
        <f>IF(ROW(tbl_SPXS[[#This Row],[Adj Close]])=5, 0, $F44-$F43)</f>
        <v>-0.29999999999999982</v>
      </c>
      <c r="N44" s="46">
        <f>MAX(tbl_SPXS[[#This Row],[Move]],0)</f>
        <v>0</v>
      </c>
      <c r="O44" s="46">
        <f>MAX(-tbl_SPXS[[#This Row],[Move]],0)</f>
        <v>0.29999999999999982</v>
      </c>
      <c r="P44" s="46">
        <f ca="1">IF(ROW($N44)-5&lt;RSI_Periods, "", AVERAGE(INDIRECT(ADDRESS(ROW($N44)-RSI_Periods +1, MATCH("Upmove", Price_Header,0))): INDIRECT(ADDRESS(ROW($N44),MATCH("Upmove", Price_Header,0)))))</f>
        <v>9.3571428571428611E-2</v>
      </c>
      <c r="Q44" s="46">
        <f ca="1">IF(ROW($O44)-5&lt;RSI_Periods, "", AVERAGE(INDIRECT(ADDRESS(ROW($O44)-RSI_Periods +1, MATCH("Downmove", Price_Header,0))): INDIRECT(ADDRESS(ROW($O44),MATCH("Downmove", Price_Header,0)))))</f>
        <v>0.10142857142857149</v>
      </c>
      <c r="R44" s="46">
        <f ca="1">IF(tbl_SPXS[[#This Row],[Avg_Upmove]]="", "", tbl_SPXS[[#This Row],[Avg_Upmove]]/tbl_SPXS[[#This Row],[Avg_Downmove]])</f>
        <v>0.9225352112676054</v>
      </c>
      <c r="S44" s="10">
        <f ca="1">IF(ROW($N44)-4&lt;BB_Periods, "", _xlfn.STDEV.S(INDIRECT(ADDRESS(ROW($F44)-RSI_Periods +1, MATCH("Adj Close", Price_Header,0))): INDIRECT(ADDRESS(ROW($F44),MATCH("Adj Close", Price_Header,0)))))</f>
        <v>0.2855426682382432</v>
      </c>
    </row>
    <row r="45" spans="1:19" x14ac:dyDescent="0.35">
      <c r="A45" s="8">
        <v>44110</v>
      </c>
      <c r="B45" s="10">
        <v>5.5</v>
      </c>
      <c r="C45" s="10">
        <v>5.77</v>
      </c>
      <c r="D45" s="10">
        <v>5.39</v>
      </c>
      <c r="E45" s="10">
        <v>5.75</v>
      </c>
      <c r="F45" s="10">
        <v>5.75</v>
      </c>
      <c r="G45">
        <v>36321000</v>
      </c>
      <c r="H45" s="10">
        <f>IF(tbl_SPXS[[#This Row],[Date]]=$A$5, $F45, EMA_Beta*$H44 + (1-EMA_Beta)*$F45)</f>
        <v>5.8325513246647489</v>
      </c>
      <c r="I45" s="46">
        <f ca="1">IF(tbl_SPXS[[#This Row],[RS]]= "", "", 100-(100/(1+tbl_SPXS[[#This Row],[RS]])))</f>
        <v>50.865051903114193</v>
      </c>
      <c r="J45" s="10">
        <f ca="1">IF(ROW($N45)-4&lt;BB_Periods, "", AVERAGE(INDIRECT(ADDRESS(ROW($F45)-RSI_Periods +1, MATCH("Adj Close", Price_Header,0))): INDIRECT(ADDRESS(ROW($F45),MATCH("Adj Close", Price_Header,0)))))</f>
        <v>5.95857142857143</v>
      </c>
      <c r="K45" s="10">
        <f ca="1">IF(tbl_SPXS[[#This Row],[BB_Mean]]="", "", tbl_SPXS[[#This Row],[BB_Mean]]+(BB_Width*tbl_SPXS[[#This Row],[BB_Stdev]]))</f>
        <v>6.5233781153294688</v>
      </c>
      <c r="L45" s="10">
        <f ca="1">IF(tbl_SPXS[[#This Row],[BB_Mean]]="", "", tbl_SPXS[[#This Row],[BB_Mean]]-(BB_Width*tbl_SPXS[[#This Row],[BB_Stdev]]))</f>
        <v>5.3937647418133912</v>
      </c>
      <c r="M45" s="46">
        <f>IF(ROW(tbl_SPXS[[#This Row],[Adj Close]])=5, 0, $F45-$F44)</f>
        <v>0.24000000000000021</v>
      </c>
      <c r="N45" s="46">
        <f>MAX(tbl_SPXS[[#This Row],[Move]],0)</f>
        <v>0.24000000000000021</v>
      </c>
      <c r="O45" s="46">
        <f>MAX(-tbl_SPXS[[#This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0.10500000000000005</v>
      </c>
      <c r="Q45" s="46">
        <f ca="1">IF(ROW($O45)-5&lt;RSI_Periods, "", AVERAGE(INDIRECT(ADDRESS(ROW($O45)-RSI_Periods +1, MATCH("Downmove", Price_Header,0))): INDIRECT(ADDRESS(ROW($O45),MATCH("Downmove", Price_Header,0)))))</f>
        <v>0.10142857142857149</v>
      </c>
      <c r="R45" s="46">
        <f ca="1">IF(tbl_SPXS[[#This Row],[Avg_Upmove]]="", "", tbl_SPXS[[#This Row],[Avg_Upmove]]/tbl_SPXS[[#This Row],[Avg_Downmove]])</f>
        <v>1.0352112676056338</v>
      </c>
      <c r="S45" s="10">
        <f ca="1">IF(ROW($N45)-4&lt;BB_Periods, "", _xlfn.STDEV.S(INDIRECT(ADDRESS(ROW($F45)-RSI_Periods +1, MATCH("Adj Close", Price_Header,0))): INDIRECT(ADDRESS(ROW($F45),MATCH("Adj Close", Price_Header,0)))))</f>
        <v>0.28240334337901957</v>
      </c>
    </row>
    <row r="46" spans="1:19" x14ac:dyDescent="0.35">
      <c r="A46" s="8">
        <v>44111</v>
      </c>
      <c r="B46" s="10">
        <v>5.58</v>
      </c>
      <c r="C46" s="10">
        <v>5.59</v>
      </c>
      <c r="D46" s="10">
        <v>5.4</v>
      </c>
      <c r="E46" s="10">
        <v>5.44</v>
      </c>
      <c r="F46" s="10">
        <v>5.44</v>
      </c>
      <c r="G46">
        <v>27016400</v>
      </c>
      <c r="H46" s="10">
        <f>IF(tbl_SPXS[[#This Row],[Date]]=$A$5, $F46, EMA_Beta*$H45 + (1-EMA_Beta)*$F46)</f>
        <v>5.793296192198274</v>
      </c>
      <c r="I46" s="46">
        <f ca="1">IF(tbl_SPXS[[#This Row],[RS]]= "", "", 100-(100/(1+tbl_SPXS[[#This Row],[RS]])))</f>
        <v>43.278688524590187</v>
      </c>
      <c r="J46" s="10">
        <f ca="1">IF(ROW($N46)-4&lt;BB_Periods, "", AVERAGE(INDIRECT(ADDRESS(ROW($F46)-RSI_Periods +1, MATCH("Adj Close", Price_Header,0))): INDIRECT(ADDRESS(ROW($F46),MATCH("Adj Close", Price_Header,0)))))</f>
        <v>5.9292857142857143</v>
      </c>
      <c r="K46" s="10">
        <f ca="1">IF(tbl_SPXS[[#This Row],[BB_Mean]]="", "", tbl_SPXS[[#This Row],[BB_Mean]]+(BB_Width*tbl_SPXS[[#This Row],[BB_Stdev]]))</f>
        <v>6.5573212000893202</v>
      </c>
      <c r="L46" s="10">
        <f ca="1">IF(tbl_SPXS[[#This Row],[BB_Mean]]="", "", tbl_SPXS[[#This Row],[BB_Mean]]-(BB_Width*tbl_SPXS[[#This Row],[BB_Stdev]]))</f>
        <v>5.3012502284821084</v>
      </c>
      <c r="M46" s="46">
        <f>IF(ROW(tbl_SPXS[[#This Row],[Adj Close]])=5, 0, $F46-$F45)</f>
        <v>-0.30999999999999961</v>
      </c>
      <c r="N46" s="46">
        <f>MAX(tbl_SPXS[[#This Row],[Move]],0)</f>
        <v>0</v>
      </c>
      <c r="O46" s="46">
        <f>MAX(-tbl_SPXS[[#This Row],[Move]],0)</f>
        <v>0.30999999999999961</v>
      </c>
      <c r="P46" s="46">
        <f ca="1">IF(ROW($N46)-5&lt;RSI_Periods, "", AVERAGE(INDIRECT(ADDRESS(ROW($N46)-RSI_Periods +1, MATCH("Upmove", Price_Header,0))): INDIRECT(ADDRESS(ROW($N46),MATCH("Upmove", Price_Header,0)))))</f>
        <v>9.4285714285714375E-2</v>
      </c>
      <c r="Q46" s="46">
        <f ca="1">IF(ROW($O46)-5&lt;RSI_Periods, "", AVERAGE(INDIRECT(ADDRESS(ROW($O46)-RSI_Periods +1, MATCH("Downmove", Price_Header,0))): INDIRECT(ADDRESS(ROW($O46),MATCH("Downmove", Price_Header,0)))))</f>
        <v>0.1235714285714286</v>
      </c>
      <c r="R46" s="46">
        <f ca="1">IF(tbl_SPXS[[#This Row],[Avg_Upmove]]="", "", tbl_SPXS[[#This Row],[Avg_Upmove]]/tbl_SPXS[[#This Row],[Avg_Downmove]])</f>
        <v>0.76300578034682143</v>
      </c>
      <c r="S46" s="10">
        <f ca="1">IF(ROW($N46)-4&lt;BB_Periods, "", _xlfn.STDEV.S(INDIRECT(ADDRESS(ROW($F46)-RSI_Periods +1, MATCH("Adj Close", Price_Header,0))): INDIRECT(ADDRESS(ROW($F46),MATCH("Adj Close", Price_Header,0)))))</f>
        <v>0.31401774290180307</v>
      </c>
    </row>
    <row r="47" spans="1:19" x14ac:dyDescent="0.35">
      <c r="A47" s="8">
        <v>44112</v>
      </c>
      <c r="B47" s="10">
        <v>5.33</v>
      </c>
      <c r="C47" s="10">
        <v>5.39</v>
      </c>
      <c r="D47" s="10">
        <v>5.29</v>
      </c>
      <c r="E47" s="10">
        <v>5.29</v>
      </c>
      <c r="F47" s="10">
        <v>5.29</v>
      </c>
      <c r="G47">
        <v>18157700</v>
      </c>
      <c r="H47" s="10">
        <f>IF(tbl_SPXS[[#This Row],[Date]]=$A$5, $F47, EMA_Beta*$H46 + (1-EMA_Beta)*$F47)</f>
        <v>5.7429665729784469</v>
      </c>
      <c r="I47" s="46">
        <f ca="1">IF(tbl_SPXS[[#This Row],[RS]]= "", "", 100-(100/(1+tbl_SPXS[[#This Row],[RS]])))</f>
        <v>37.33333333333335</v>
      </c>
      <c r="J47" s="10">
        <f ca="1">IF(ROW($N47)-4&lt;BB_Periods, "", AVERAGE(INDIRECT(ADDRESS(ROW($F47)-RSI_Periods +1, MATCH("Adj Close", Price_Header,0))): INDIRECT(ADDRESS(ROW($F47),MATCH("Adj Close", Price_Header,0)))))</f>
        <v>5.8750000000000009</v>
      </c>
      <c r="K47" s="10">
        <f ca="1">IF(tbl_SPXS[[#This Row],[BB_Mean]]="", "", tbl_SPXS[[#This Row],[BB_Mean]]+(BB_Width*tbl_SPXS[[#This Row],[BB_Stdev]]))</f>
        <v>6.5842249290598867</v>
      </c>
      <c r="L47" s="10">
        <f ca="1">IF(tbl_SPXS[[#This Row],[BB_Mean]]="", "", tbl_SPXS[[#This Row],[BB_Mean]]-(BB_Width*tbl_SPXS[[#This Row],[BB_Stdev]]))</f>
        <v>5.1657750709401151</v>
      </c>
      <c r="M47" s="46">
        <f>IF(ROW(tbl_SPXS[[#This Row],[Adj Close]])=5, 0, $F47-$F46)</f>
        <v>-0.15000000000000036</v>
      </c>
      <c r="N47" s="46">
        <f>MAX(tbl_SPXS[[#This Row],[Move]],0)</f>
        <v>0</v>
      </c>
      <c r="O47" s="46">
        <f>MAX(-tbl_SPXS[[#This Row],[Move]],0)</f>
        <v>0.15000000000000036</v>
      </c>
      <c r="P47" s="46">
        <f ca="1">IF(ROW($N47)-5&lt;RSI_Periods, "", AVERAGE(INDIRECT(ADDRESS(ROW($N47)-RSI_Periods +1, MATCH("Upmove", Price_Header,0))): INDIRECT(ADDRESS(ROW($N47),MATCH("Upmove", Price_Header,0)))))</f>
        <v>8.0000000000000071E-2</v>
      </c>
      <c r="Q47" s="46">
        <f ca="1">IF(ROW($O47)-5&lt;RSI_Periods, "", AVERAGE(INDIRECT(ADDRESS(ROW($O47)-RSI_Periods +1, MATCH("Downmove", Price_Header,0))): INDIRECT(ADDRESS(ROW($O47),MATCH("Downmove", Price_Header,0)))))</f>
        <v>0.13428571428571434</v>
      </c>
      <c r="R47" s="46">
        <f ca="1">IF(tbl_SPXS[[#This Row],[Avg_Upmove]]="", "", tbl_SPXS[[#This Row],[Avg_Upmove]]/tbl_SPXS[[#This Row],[Avg_Downmove]])</f>
        <v>0.59574468085106413</v>
      </c>
      <c r="S47" s="10">
        <f ca="1">IF(ROW($N47)-4&lt;BB_Periods, "", _xlfn.STDEV.S(INDIRECT(ADDRESS(ROW($F47)-RSI_Periods +1, MATCH("Adj Close", Price_Header,0))): INDIRECT(ADDRESS(ROW($F47),MATCH("Adj Close", Price_Header,0)))))</f>
        <v>0.35461246452994288</v>
      </c>
    </row>
    <row r="48" spans="1:19" x14ac:dyDescent="0.35">
      <c r="A48" s="8">
        <v>44113</v>
      </c>
      <c r="B48" s="10">
        <v>5.21</v>
      </c>
      <c r="C48" s="10">
        <v>5.25</v>
      </c>
      <c r="D48" s="10">
        <v>5.13</v>
      </c>
      <c r="E48" s="10">
        <v>5.15</v>
      </c>
      <c r="F48" s="10">
        <v>5.15</v>
      </c>
      <c r="G48">
        <v>18778200</v>
      </c>
      <c r="H48" s="10">
        <f>IF(tbl_SPXS[[#This Row],[Date]]=$A$5, $F48, EMA_Beta*$H47 + (1-EMA_Beta)*$F48)</f>
        <v>5.6836699156806016</v>
      </c>
      <c r="I48" s="46">
        <f ca="1">IF(tbl_SPXS[[#This Row],[RS]]= "", "", 100-(100/(1+tbl_SPXS[[#This Row],[RS]])))</f>
        <v>31.058020477815717</v>
      </c>
      <c r="J48" s="10">
        <f ca="1">IF(ROW($N48)-4&lt;BB_Periods, "", AVERAGE(INDIRECT(ADDRESS(ROW($F48)-RSI_Periods +1, MATCH("Adj Close", Price_Header,0))): INDIRECT(ADDRESS(ROW($F48),MATCH("Adj Close", Price_Header,0)))))</f>
        <v>5.7957142857142854</v>
      </c>
      <c r="K48" s="10">
        <f ca="1">IF(tbl_SPXS[[#This Row],[BB_Mean]]="", "", tbl_SPXS[[#This Row],[BB_Mean]]+(BB_Width*tbl_SPXS[[#This Row],[BB_Stdev]]))</f>
        <v>6.5651582122248247</v>
      </c>
      <c r="L48" s="10">
        <f ca="1">IF(tbl_SPXS[[#This Row],[BB_Mean]]="", "", tbl_SPXS[[#This Row],[BB_Mean]]-(BB_Width*tbl_SPXS[[#This Row],[BB_Stdev]]))</f>
        <v>5.0262703592037461</v>
      </c>
      <c r="M48" s="46">
        <f>IF(ROW(tbl_SPXS[[#This Row],[Adj Close]])=5, 0, $F48-$F47)</f>
        <v>-0.13999999999999968</v>
      </c>
      <c r="N48" s="46">
        <f>MAX(tbl_SPXS[[#This Row],[Move]],0)</f>
        <v>0</v>
      </c>
      <c r="O48" s="46">
        <f>MAX(-tbl_SPXS[[#This Row],[Move]],0)</f>
        <v>0.13999999999999968</v>
      </c>
      <c r="P48" s="46">
        <f ca="1">IF(ROW($N48)-5&lt;RSI_Periods, "", AVERAGE(INDIRECT(ADDRESS(ROW($N48)-RSI_Periods +1, MATCH("Upmove", Price_Header,0))): INDIRECT(ADDRESS(ROW($N48),MATCH("Upmove", Price_Header,0)))))</f>
        <v>6.5000000000000072E-2</v>
      </c>
      <c r="Q48" s="46">
        <f ca="1">IF(ROW($O48)-5&lt;RSI_Periods, "", AVERAGE(INDIRECT(ADDRESS(ROW($O48)-RSI_Periods +1, MATCH("Downmove", Price_Header,0))): INDIRECT(ADDRESS(ROW($O48),MATCH("Downmove", Price_Header,0)))))</f>
        <v>0.14428571428571432</v>
      </c>
      <c r="R48" s="46">
        <f ca="1">IF(tbl_SPXS[[#This Row],[Avg_Upmove]]="", "", tbl_SPXS[[#This Row],[Avg_Upmove]]/tbl_SPXS[[#This Row],[Avg_Downmove]])</f>
        <v>0.4504950495049509</v>
      </c>
      <c r="S48" s="10">
        <f ca="1">IF(ROW($N48)-4&lt;BB_Periods, "", _xlfn.STDEV.S(INDIRECT(ADDRESS(ROW($F48)-RSI_Periods +1, MATCH("Adj Close", Price_Header,0))): INDIRECT(ADDRESS(ROW($F48),MATCH("Adj Close", Price_Header,0)))))</f>
        <v>0.38472196325526953</v>
      </c>
    </row>
    <row r="49" spans="1:19" x14ac:dyDescent="0.35">
      <c r="A49" s="8">
        <v>44116</v>
      </c>
      <c r="B49" s="10">
        <v>5.03</v>
      </c>
      <c r="C49" s="10">
        <v>5.0599999999999996</v>
      </c>
      <c r="D49" s="10">
        <v>4.83</v>
      </c>
      <c r="E49" s="10">
        <v>4.9000000000000004</v>
      </c>
      <c r="F49" s="10">
        <v>4.9000000000000004</v>
      </c>
      <c r="G49">
        <v>31779400</v>
      </c>
      <c r="H49" s="10">
        <f>IF(tbl_SPXS[[#This Row],[Date]]=$A$5, $F49, EMA_Beta*$H48 + (1-EMA_Beta)*$F49)</f>
        <v>5.6053029241125421</v>
      </c>
      <c r="I49" s="46">
        <f ca="1">IF(tbl_SPXS[[#This Row],[RS]]= "", "", 100-(100/(1+tbl_SPXS[[#This Row],[RS]])))</f>
        <v>30.536912751677875</v>
      </c>
      <c r="J49" s="10">
        <f ca="1">IF(ROW($N49)-4&lt;BB_Periods, "", AVERAGE(INDIRECT(ADDRESS(ROW($F49)-RSI_Periods +1, MATCH("Adj Close", Price_Header,0))): INDIRECT(ADDRESS(ROW($F49),MATCH("Adj Close", Price_Header,0)))))</f>
        <v>5.7128571428571444</v>
      </c>
      <c r="K49" s="10">
        <f ca="1">IF(tbl_SPXS[[#This Row],[BB_Mean]]="", "", tbl_SPXS[[#This Row],[BB_Mean]]+(BB_Width*tbl_SPXS[[#This Row],[BB_Stdev]]))</f>
        <v>6.6004616483897367</v>
      </c>
      <c r="L49" s="10">
        <f ca="1">IF(tbl_SPXS[[#This Row],[BB_Mean]]="", "", tbl_SPXS[[#This Row],[BB_Mean]]-(BB_Width*tbl_SPXS[[#This Row],[BB_Stdev]]))</f>
        <v>4.8252526373245521</v>
      </c>
      <c r="M49" s="46">
        <f>IF(ROW(tbl_SPXS[[#This Row],[Adj Close]])=5, 0, $F49-$F48)</f>
        <v>-0.25</v>
      </c>
      <c r="N49" s="46">
        <f>MAX(tbl_SPXS[[#This Row],[Move]],0)</f>
        <v>0</v>
      </c>
      <c r="O49" s="46">
        <f>MAX(-tbl_SPXS[[#This Row],[Move]],0)</f>
        <v>0.25</v>
      </c>
      <c r="P49" s="46">
        <f ca="1">IF(ROW($N49)-5&lt;RSI_Periods, "", AVERAGE(INDIRECT(ADDRESS(ROW($N49)-RSI_Periods +1, MATCH("Upmove", Price_Header,0))): INDIRECT(ADDRESS(ROW($N49),MATCH("Upmove", Price_Header,0)))))</f>
        <v>6.5000000000000072E-2</v>
      </c>
      <c r="Q49" s="46">
        <f ca="1">IF(ROW($O49)-5&lt;RSI_Periods, "", AVERAGE(INDIRECT(ADDRESS(ROW($O49)-RSI_Periods +1, MATCH("Downmove", Price_Header,0))): INDIRECT(ADDRESS(ROW($O49),MATCH("Downmove", Price_Header,0)))))</f>
        <v>0.14785714285714288</v>
      </c>
      <c r="R49" s="46">
        <f ca="1">IF(tbl_SPXS[[#This Row],[Avg_Upmove]]="", "", tbl_SPXS[[#This Row],[Avg_Upmove]]/tbl_SPXS[[#This Row],[Avg_Downmove]])</f>
        <v>0.43961352657004871</v>
      </c>
      <c r="S49" s="10">
        <f ca="1">IF(ROW($N49)-4&lt;BB_Periods, "", _xlfn.STDEV.S(INDIRECT(ADDRESS(ROW($F49)-RSI_Periods +1, MATCH("Adj Close", Price_Header,0))): INDIRECT(ADDRESS(ROW($F49),MATCH("Adj Close", Price_Header,0)))))</f>
        <v>0.4438022527662962</v>
      </c>
    </row>
    <row r="50" spans="1:19" x14ac:dyDescent="0.35">
      <c r="A50" s="8">
        <v>44117</v>
      </c>
      <c r="B50" s="10">
        <v>4.92</v>
      </c>
      <c r="C50" s="10">
        <v>5.05</v>
      </c>
      <c r="D50" s="10">
        <v>4.91</v>
      </c>
      <c r="E50" s="10">
        <v>5.01</v>
      </c>
      <c r="F50" s="10">
        <v>5.01</v>
      </c>
      <c r="G50">
        <v>29948400</v>
      </c>
      <c r="H50" s="10">
        <f>IF(tbl_SPXS[[#This Row],[Date]]=$A$5, $F50, EMA_Beta*$H49 + (1-EMA_Beta)*$F50)</f>
        <v>5.5457726317012881</v>
      </c>
      <c r="I50" s="46">
        <f ca="1">IF(tbl_SPXS[[#This Row],[RS]]= "", "", 100-(100/(1+tbl_SPXS[[#This Row],[RS]])))</f>
        <v>22.471910112359538</v>
      </c>
      <c r="J50" s="10">
        <f ca="1">IF(ROW($N50)-4&lt;BB_Periods, "", AVERAGE(INDIRECT(ADDRESS(ROW($F50)-RSI_Periods +1, MATCH("Adj Close", Price_Header,0))): INDIRECT(ADDRESS(ROW($F50),MATCH("Adj Close", Price_Header,0)))))</f>
        <v>5.607857142857144</v>
      </c>
      <c r="K50" s="10">
        <f ca="1">IF(tbl_SPXS[[#This Row],[BB_Mean]]="", "", tbl_SPXS[[#This Row],[BB_Mean]]+(BB_Width*tbl_SPXS[[#This Row],[BB_Stdev]]))</f>
        <v>6.4512268882669064</v>
      </c>
      <c r="L50" s="10">
        <f ca="1">IF(tbl_SPXS[[#This Row],[BB_Mean]]="", "", tbl_SPXS[[#This Row],[BB_Mean]]-(BB_Width*tbl_SPXS[[#This Row],[BB_Stdev]]))</f>
        <v>4.7644873974473816</v>
      </c>
      <c r="M50" s="46">
        <f>IF(ROW(tbl_SPXS[[#This Row],[Adj Close]])=5, 0, $F50-$F49)</f>
        <v>0.10999999999999943</v>
      </c>
      <c r="N50" s="46">
        <f>MAX(tbl_SPXS[[#This Row],[Move]],0)</f>
        <v>0.10999999999999943</v>
      </c>
      <c r="O50" s="46">
        <f>MAX(-tbl_SPXS[[#This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4.285714285714283E-2</v>
      </c>
      <c r="Q50" s="46">
        <f ca="1">IF(ROW($O50)-5&lt;RSI_Periods, "", AVERAGE(INDIRECT(ADDRESS(ROW($O50)-RSI_Periods +1, MATCH("Downmove", Price_Header,0))): INDIRECT(ADDRESS(ROW($O50),MATCH("Downmove", Price_Header,0)))))</f>
        <v>0.14785714285714288</v>
      </c>
      <c r="R50" s="46">
        <f ca="1">IF(tbl_SPXS[[#This Row],[Avg_Upmove]]="", "", tbl_SPXS[[#This Row],[Avg_Upmove]]/tbl_SPXS[[#This Row],[Avg_Downmove]])</f>
        <v>0.2898550724637679</v>
      </c>
      <c r="S50" s="10">
        <f ca="1">IF(ROW($N50)-4&lt;BB_Periods, "", _xlfn.STDEV.S(INDIRECT(ADDRESS(ROW($F50)-RSI_Periods +1, MATCH("Adj Close", Price_Header,0))): INDIRECT(ADDRESS(ROW($F50),MATCH("Adj Close", Price_Header,0)))))</f>
        <v>0.42168487270488109</v>
      </c>
    </row>
    <row r="51" spans="1:19" x14ac:dyDescent="0.35">
      <c r="A51" s="8">
        <v>44118</v>
      </c>
      <c r="B51" s="10">
        <v>4.97</v>
      </c>
      <c r="C51" s="10">
        <v>5.13</v>
      </c>
      <c r="D51" s="10">
        <v>4.92</v>
      </c>
      <c r="E51" s="10">
        <v>5.09</v>
      </c>
      <c r="F51" s="10">
        <v>5.09</v>
      </c>
      <c r="G51">
        <v>32484200</v>
      </c>
      <c r="H51" s="10">
        <f>IF(tbl_SPXS[[#This Row],[Date]]=$A$5, $F51, EMA_Beta*$H50 + (1-EMA_Beta)*$F51)</f>
        <v>5.5001953685311591</v>
      </c>
      <c r="I51" s="46">
        <f ca="1">IF(tbl_SPXS[[#This Row],[RS]]= "", "", 100-(100/(1+tbl_SPXS[[#This Row],[RS]])))</f>
        <v>25.373134328358205</v>
      </c>
      <c r="J51" s="10">
        <f ca="1">IF(ROW($N51)-4&lt;BB_Periods, "", AVERAGE(INDIRECT(ADDRESS(ROW($F51)-RSI_Periods +1, MATCH("Adj Close", Price_Header,0))): INDIRECT(ADDRESS(ROW($F51),MATCH("Adj Close", Price_Header,0)))))</f>
        <v>5.5135714285714288</v>
      </c>
      <c r="K51" s="10">
        <f ca="1">IF(tbl_SPXS[[#This Row],[BB_Mean]]="", "", tbl_SPXS[[#This Row],[BB_Mean]]+(BB_Width*tbl_SPXS[[#This Row],[BB_Stdev]]))</f>
        <v>6.2602402210854091</v>
      </c>
      <c r="L51" s="10">
        <f ca="1">IF(tbl_SPXS[[#This Row],[BB_Mean]]="", "", tbl_SPXS[[#This Row],[BB_Mean]]-(BB_Width*tbl_SPXS[[#This Row],[BB_Stdev]]))</f>
        <v>4.7669026360574485</v>
      </c>
      <c r="M51" s="46">
        <f>IF(ROW(tbl_SPXS[[#This Row],[Adj Close]])=5, 0, $F51-$F50)</f>
        <v>8.0000000000000071E-2</v>
      </c>
      <c r="N51" s="46">
        <f>MAX(tbl_SPXS[[#This Row],[Move]],0)</f>
        <v>8.0000000000000071E-2</v>
      </c>
      <c r="O51" s="46">
        <f>MAX(-tbl_SPXS[[#This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4.857142857142855E-2</v>
      </c>
      <c r="Q51" s="46">
        <f ca="1">IF(ROW($O51)-5&lt;RSI_Periods, "", AVERAGE(INDIRECT(ADDRESS(ROW($O51)-RSI_Periods +1, MATCH("Downmove", Price_Header,0))): INDIRECT(ADDRESS(ROW($O51),MATCH("Downmove", Price_Header,0)))))</f>
        <v>0.14285714285714285</v>
      </c>
      <c r="R51" s="46">
        <f ca="1">IF(tbl_SPXS[[#This Row],[Avg_Upmove]]="", "", tbl_SPXS[[#This Row],[Avg_Upmove]]/tbl_SPXS[[#This Row],[Avg_Downmove]])</f>
        <v>0.33999999999999986</v>
      </c>
      <c r="S51" s="10">
        <f ca="1">IF(ROW($N51)-4&lt;BB_Periods, "", _xlfn.STDEV.S(INDIRECT(ADDRESS(ROW($F51)-RSI_Periods +1, MATCH("Adj Close", Price_Header,0))): INDIRECT(ADDRESS(ROW($F51),MATCH("Adj Close", Price_Header,0)))))</f>
        <v>0.37333439625699011</v>
      </c>
    </row>
    <row r="52" spans="1:19" x14ac:dyDescent="0.35">
      <c r="A52" s="8">
        <v>44119</v>
      </c>
      <c r="B52" s="10">
        <v>5.29</v>
      </c>
      <c r="C52" s="10">
        <v>5.31</v>
      </c>
      <c r="D52" s="10">
        <v>5.09</v>
      </c>
      <c r="E52" s="10">
        <v>5.12</v>
      </c>
      <c r="F52" s="10">
        <v>5.12</v>
      </c>
      <c r="G52">
        <v>32052100</v>
      </c>
      <c r="H52" s="10">
        <f>IF(tbl_SPXS[[#This Row],[Date]]=$A$5, $F52, EMA_Beta*$H51 + (1-EMA_Beta)*$F52)</f>
        <v>5.4621758316780431</v>
      </c>
      <c r="I52" s="46">
        <f ca="1">IF(tbl_SPXS[[#This Row],[RS]]= "", "", 100-(100/(1+tbl_SPXS[[#This Row],[RS]])))</f>
        <v>29.583333333333343</v>
      </c>
      <c r="J52" s="10">
        <f ca="1">IF(ROW($N52)-4&lt;BB_Periods, "", AVERAGE(INDIRECT(ADDRESS(ROW($F52)-RSI_Periods +1, MATCH("Adj Close", Price_Header,0))): INDIRECT(ADDRESS(ROW($F52),MATCH("Adj Close", Price_Header,0)))))</f>
        <v>5.4435714285714285</v>
      </c>
      <c r="K52" s="10">
        <f ca="1">IF(tbl_SPXS[[#This Row],[BB_Mean]]="", "", tbl_SPXS[[#This Row],[BB_Mean]]+(BB_Width*tbl_SPXS[[#This Row],[BB_Stdev]]))</f>
        <v>6.1351296309324059</v>
      </c>
      <c r="L52" s="10">
        <f ca="1">IF(tbl_SPXS[[#This Row],[BB_Mean]]="", "", tbl_SPXS[[#This Row],[BB_Mean]]-(BB_Width*tbl_SPXS[[#This Row],[BB_Stdev]]))</f>
        <v>4.7520132262104511</v>
      </c>
      <c r="M52" s="46">
        <f>IF(ROW(tbl_SPXS[[#This Row],[Adj Close]])=5, 0, $F52-$F51)</f>
        <v>3.0000000000000249E-2</v>
      </c>
      <c r="N52" s="46">
        <f>MAX(tbl_SPXS[[#This Row],[Move]],0)</f>
        <v>3.0000000000000249E-2</v>
      </c>
      <c r="O52" s="46">
        <f>MAX(-tbl_SPXS[[#This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5.0714285714285712E-2</v>
      </c>
      <c r="Q52" s="46">
        <f ca="1">IF(ROW($O52)-5&lt;RSI_Periods, "", AVERAGE(INDIRECT(ADDRESS(ROW($O52)-RSI_Periods +1, MATCH("Downmove", Price_Header,0))): INDIRECT(ADDRESS(ROW($O52),MATCH("Downmove", Price_Header,0)))))</f>
        <v>0.12071428571428568</v>
      </c>
      <c r="R52" s="46">
        <f ca="1">IF(tbl_SPXS[[#This Row],[Avg_Upmove]]="", "", tbl_SPXS[[#This Row],[Avg_Upmove]]/tbl_SPXS[[#This Row],[Avg_Downmove]])</f>
        <v>0.42011834319526636</v>
      </c>
      <c r="S52" s="10">
        <f ca="1">IF(ROW($N52)-4&lt;BB_Periods, "", _xlfn.STDEV.S(INDIRECT(ADDRESS(ROW($F52)-RSI_Periods +1, MATCH("Adj Close", Price_Header,0))): INDIRECT(ADDRESS(ROW($F52),MATCH("Adj Close", Price_Header,0)))))</f>
        <v>0.34577910118048882</v>
      </c>
    </row>
    <row r="53" spans="1:19" x14ac:dyDescent="0.35">
      <c r="A53" s="8">
        <v>44120</v>
      </c>
      <c r="B53" s="10">
        <v>5.05</v>
      </c>
      <c r="C53" s="10">
        <v>5.13</v>
      </c>
      <c r="D53" s="10">
        <v>4.97</v>
      </c>
      <c r="E53" s="10">
        <v>5.13</v>
      </c>
      <c r="F53" s="10">
        <v>5.13</v>
      </c>
      <c r="G53">
        <v>23461300</v>
      </c>
      <c r="H53" s="10">
        <f>IF(tbl_SPXS[[#This Row],[Date]]=$A$5, $F53, EMA_Beta*$H52 + (1-EMA_Beta)*$F53)</f>
        <v>5.4289582485102388</v>
      </c>
      <c r="I53" s="46">
        <f ca="1">IF(tbl_SPXS[[#This Row],[RS]]= "", "", 100-(100/(1+tbl_SPXS[[#This Row],[RS]])))</f>
        <v>33.962264150943398</v>
      </c>
      <c r="J53" s="10">
        <f ca="1">IF(ROW($N53)-4&lt;BB_Periods, "", AVERAGE(INDIRECT(ADDRESS(ROW($F53)-RSI_Periods +1, MATCH("Adj Close", Price_Header,0))): INDIRECT(ADDRESS(ROW($F53),MATCH("Adj Close", Price_Header,0)))))</f>
        <v>5.3949999999999987</v>
      </c>
      <c r="K53" s="10">
        <f ca="1">IF(tbl_SPXS[[#This Row],[BB_Mean]]="", "", tbl_SPXS[[#This Row],[BB_Mean]]+(BB_Width*tbl_SPXS[[#This Row],[BB_Stdev]]))</f>
        <v>6.071040508572354</v>
      </c>
      <c r="L53" s="10">
        <f ca="1">IF(tbl_SPXS[[#This Row],[BB_Mean]]="", "", tbl_SPXS[[#This Row],[BB_Mean]]-(BB_Width*tbl_SPXS[[#This Row],[BB_Stdev]]))</f>
        <v>4.7189594914276434</v>
      </c>
      <c r="M53" s="46">
        <f>IF(ROW(tbl_SPXS[[#This Row],[Adj Close]])=5, 0, $F53-$F52)</f>
        <v>9.9999999999997868E-3</v>
      </c>
      <c r="N53" s="46">
        <f>MAX(tbl_SPXS[[#This Row],[Move]],0)</f>
        <v>9.9999999999997868E-3</v>
      </c>
      <c r="O53" s="46">
        <f>MAX(-tbl_SPXS[[#This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5.1428571428571414E-2</v>
      </c>
      <c r="Q53" s="46">
        <f ca="1">IF(ROW($O53)-5&lt;RSI_Periods, "", AVERAGE(INDIRECT(ADDRESS(ROW($O53)-RSI_Periods +1, MATCH("Downmove", Price_Header,0))): INDIRECT(ADDRESS(ROW($O53),MATCH("Downmove", Price_Header,0)))))</f>
        <v>9.9999999999999964E-2</v>
      </c>
      <c r="R53" s="46">
        <f ca="1">IF(tbl_SPXS[[#This Row],[Avg_Upmove]]="", "", tbl_SPXS[[#This Row],[Avg_Upmove]]/tbl_SPXS[[#This Row],[Avg_Downmove]])</f>
        <v>0.51428571428571435</v>
      </c>
      <c r="S53" s="10">
        <f ca="1">IF(ROW($N53)-4&lt;BB_Periods, "", _xlfn.STDEV.S(INDIRECT(ADDRESS(ROW($F53)-RSI_Periods +1, MATCH("Adj Close", Price_Header,0))): INDIRECT(ADDRESS(ROW($F53),MATCH("Adj Close", Price_Header,0)))))</f>
        <v>0.33802025428617771</v>
      </c>
    </row>
    <row r="54" spans="1:19" x14ac:dyDescent="0.35">
      <c r="A54" s="8">
        <v>44123</v>
      </c>
      <c r="B54" s="10">
        <v>5.0599999999999996</v>
      </c>
      <c r="C54" s="10">
        <v>5.4</v>
      </c>
      <c r="D54" s="10">
        <v>5.03</v>
      </c>
      <c r="E54" s="10">
        <v>5.36</v>
      </c>
      <c r="F54" s="10">
        <v>5.36</v>
      </c>
      <c r="G54">
        <v>28330900</v>
      </c>
      <c r="H54" s="10">
        <f>IF(tbl_SPXS[[#This Row],[Date]]=$A$5, $F54, EMA_Beta*$H53 + (1-EMA_Beta)*$F54)</f>
        <v>5.4220624236592148</v>
      </c>
      <c r="I54" s="46">
        <f ca="1">IF(tbl_SPXS[[#This Row],[RS]]= "", "", 100-(100/(1+tbl_SPXS[[#This Row],[RS]])))</f>
        <v>37.777777777777779</v>
      </c>
      <c r="J54" s="10">
        <f ca="1">IF(ROW($N54)-4&lt;BB_Periods, "", AVERAGE(INDIRECT(ADDRESS(ROW($F54)-RSI_Periods +1, MATCH("Adj Close", Price_Header,0))): INDIRECT(ADDRESS(ROW($F54),MATCH("Adj Close", Price_Header,0)))))</f>
        <v>5.355714285714285</v>
      </c>
      <c r="K54" s="10">
        <f ca="1">IF(tbl_SPXS[[#This Row],[BB_Mean]]="", "", tbl_SPXS[[#This Row],[BB_Mean]]+(BB_Width*tbl_SPXS[[#This Row],[BB_Stdev]]))</f>
        <v>5.9632927978027626</v>
      </c>
      <c r="L54" s="10">
        <f ca="1">IF(tbl_SPXS[[#This Row],[BB_Mean]]="", "", tbl_SPXS[[#This Row],[BB_Mean]]-(BB_Width*tbl_SPXS[[#This Row],[BB_Stdev]]))</f>
        <v>4.7481357736258074</v>
      </c>
      <c r="M54" s="46">
        <f>IF(ROW(tbl_SPXS[[#This Row],[Adj Close]])=5, 0, $F54-$F53)</f>
        <v>0.23000000000000043</v>
      </c>
      <c r="N54" s="46">
        <f>MAX(tbl_SPXS[[#This Row],[Move]],0)</f>
        <v>0.23000000000000043</v>
      </c>
      <c r="O54" s="46">
        <f>MAX(-tbl_SPXS[[#This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6.0714285714285686E-2</v>
      </c>
      <c r="Q54" s="46">
        <f ca="1">IF(ROW($O54)-5&lt;RSI_Periods, "", AVERAGE(INDIRECT(ADDRESS(ROW($O54)-RSI_Periods +1, MATCH("Downmove", Price_Header,0))): INDIRECT(ADDRESS(ROW($O54),MATCH("Downmove", Price_Header,0)))))</f>
        <v>9.9999999999999964E-2</v>
      </c>
      <c r="R54" s="46">
        <f ca="1">IF(tbl_SPXS[[#This Row],[Avg_Upmove]]="", "", tbl_SPXS[[#This Row],[Avg_Upmove]]/tbl_SPXS[[#This Row],[Avg_Downmove]])</f>
        <v>0.6071428571428571</v>
      </c>
      <c r="S54" s="10">
        <f ca="1">IF(ROW($N54)-4&lt;BB_Periods, "", _xlfn.STDEV.S(INDIRECT(ADDRESS(ROW($F54)-RSI_Periods +1, MATCH("Adj Close", Price_Header,0))): INDIRECT(ADDRESS(ROW($F54),MATCH("Adj Close", Price_Header,0)))))</f>
        <v>0.30378925604423873</v>
      </c>
    </row>
    <row r="55" spans="1:19" x14ac:dyDescent="0.35">
      <c r="A55" s="8">
        <v>44124</v>
      </c>
      <c r="B55" s="10">
        <v>5.3</v>
      </c>
      <c r="C55" s="10">
        <v>5.33</v>
      </c>
      <c r="D55" s="10">
        <v>5.12</v>
      </c>
      <c r="E55" s="10">
        <v>5.3</v>
      </c>
      <c r="F55" s="10">
        <v>5.3</v>
      </c>
      <c r="G55">
        <v>32694600</v>
      </c>
      <c r="H55" s="10">
        <f>IF(tbl_SPXS[[#This Row],[Date]]=$A$5, $F55, EMA_Beta*$H54 + (1-EMA_Beta)*$F55)</f>
        <v>5.4098561812932937</v>
      </c>
      <c r="I55" s="46">
        <f ca="1">IF(tbl_SPXS[[#This Row],[RS]]= "", "", 100-(100/(1+tbl_SPXS[[#This Row],[RS]])))</f>
        <v>39.351851851851848</v>
      </c>
      <c r="J55" s="10">
        <f ca="1">IF(ROW($N55)-4&lt;BB_Periods, "", AVERAGE(INDIRECT(ADDRESS(ROW($F55)-RSI_Periods +1, MATCH("Adj Close", Price_Header,0))): INDIRECT(ADDRESS(ROW($F55),MATCH("Adj Close", Price_Header,0)))))</f>
        <v>5.322857142857143</v>
      </c>
      <c r="K55" s="10">
        <f ca="1">IF(tbl_SPXS[[#This Row],[BB_Mean]]="", "", tbl_SPXS[[#This Row],[BB_Mean]]+(BB_Width*tbl_SPXS[[#This Row],[BB_Stdev]]))</f>
        <v>5.8842525785037427</v>
      </c>
      <c r="L55" s="10">
        <f ca="1">IF(tbl_SPXS[[#This Row],[BB_Mean]]="", "", tbl_SPXS[[#This Row],[BB_Mean]]-(BB_Width*tbl_SPXS[[#This Row],[BB_Stdev]]))</f>
        <v>4.7614617072105432</v>
      </c>
      <c r="M55" s="46">
        <f>IF(ROW(tbl_SPXS[[#This Row],[Adj Close]])=5, 0, $F55-$F54)</f>
        <v>-6.0000000000000497E-2</v>
      </c>
      <c r="N55" s="46">
        <f>MAX(tbl_SPXS[[#This Row],[Move]],0)</f>
        <v>0</v>
      </c>
      <c r="O55" s="46">
        <f>MAX(-tbl_SPXS[[#This Row],[Move]],0)</f>
        <v>6.0000000000000497E-2</v>
      </c>
      <c r="P55" s="46">
        <f ca="1">IF(ROW($N55)-5&lt;RSI_Periods, "", AVERAGE(INDIRECT(ADDRESS(ROW($N55)-RSI_Periods +1, MATCH("Upmove", Price_Header,0))): INDIRECT(ADDRESS(ROW($N55),MATCH("Upmove", Price_Header,0)))))</f>
        <v>6.0714285714285686E-2</v>
      </c>
      <c r="Q55" s="46">
        <f ca="1">IF(ROW($O55)-5&lt;RSI_Periods, "", AVERAGE(INDIRECT(ADDRESS(ROW($O55)-RSI_Periods +1, MATCH("Downmove", Price_Header,0))): INDIRECT(ADDRESS(ROW($O55),MATCH("Downmove", Price_Header,0)))))</f>
        <v>9.3571428571428542E-2</v>
      </c>
      <c r="R55" s="46">
        <f ca="1">IF(tbl_SPXS[[#This Row],[Avg_Upmove]]="", "", tbl_SPXS[[#This Row],[Avg_Upmove]]/tbl_SPXS[[#This Row],[Avg_Downmove]])</f>
        <v>0.64885496183206093</v>
      </c>
      <c r="S55" s="10">
        <f ca="1">IF(ROW($N55)-4&lt;BB_Periods, "", _xlfn.STDEV.S(INDIRECT(ADDRESS(ROW($F55)-RSI_Periods +1, MATCH("Adj Close", Price_Header,0))): INDIRECT(ADDRESS(ROW($F55),MATCH("Adj Close", Price_Header,0)))))</f>
        <v>0.28069771782329966</v>
      </c>
    </row>
    <row r="56" spans="1:19" x14ac:dyDescent="0.35">
      <c r="A56" s="8">
        <v>44125</v>
      </c>
      <c r="B56" s="10">
        <v>5.3</v>
      </c>
      <c r="C56" s="10">
        <v>5.34</v>
      </c>
      <c r="D56" s="10">
        <v>5.18</v>
      </c>
      <c r="E56" s="10">
        <v>5.33</v>
      </c>
      <c r="F56" s="10">
        <v>5.33</v>
      </c>
      <c r="G56">
        <v>32532800</v>
      </c>
      <c r="H56" s="10">
        <f>IF(tbl_SPXS[[#This Row],[Date]]=$A$5, $F56, EMA_Beta*$H55 + (1-EMA_Beta)*$F56)</f>
        <v>5.4018705631639641</v>
      </c>
      <c r="I56" s="46">
        <f ca="1">IF(tbl_SPXS[[#This Row],[RS]]= "", "", 100-(100/(1+tbl_SPXS[[#This Row],[RS]])))</f>
        <v>42.105263157894733</v>
      </c>
      <c r="J56" s="10">
        <f ca="1">IF(ROW($N56)-4&lt;BB_Periods, "", AVERAGE(INDIRECT(ADDRESS(ROW($F56)-RSI_Periods +1, MATCH("Adj Close", Price_Header,0))): INDIRECT(ADDRESS(ROW($F56),MATCH("Adj Close", Price_Header,0)))))</f>
        <v>5.2992857142857144</v>
      </c>
      <c r="K56" s="10">
        <f ca="1">IF(tbl_SPXS[[#This Row],[BB_Mean]]="", "", tbl_SPXS[[#This Row],[BB_Mean]]+(BB_Width*tbl_SPXS[[#This Row],[BB_Stdev]]))</f>
        <v>5.8263655818704922</v>
      </c>
      <c r="L56" s="10">
        <f ca="1">IF(tbl_SPXS[[#This Row],[BB_Mean]]="", "", tbl_SPXS[[#This Row],[BB_Mean]]-(BB_Width*tbl_SPXS[[#This Row],[BB_Stdev]]))</f>
        <v>4.7722058467009365</v>
      </c>
      <c r="M56" s="46">
        <f>IF(ROW(tbl_SPXS[[#This Row],[Adj Close]])=5, 0, $F56-$F55)</f>
        <v>3.0000000000000249E-2</v>
      </c>
      <c r="N56" s="46">
        <f>MAX(tbl_SPXS[[#This Row],[Move]],0)</f>
        <v>3.0000000000000249E-2</v>
      </c>
      <c r="O56" s="46">
        <f>MAX(-tbl_SPXS[[#This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6.2857142857142848E-2</v>
      </c>
      <c r="Q56" s="46">
        <f ca="1">IF(ROW($O56)-5&lt;RSI_Periods, "", AVERAGE(INDIRECT(ADDRESS(ROW($O56)-RSI_Periods +1, MATCH("Downmove", Price_Header,0))): INDIRECT(ADDRESS(ROW($O56),MATCH("Downmove", Price_Header,0)))))</f>
        <v>8.6428571428571424E-2</v>
      </c>
      <c r="R56" s="46">
        <f ca="1">IF(tbl_SPXS[[#This Row],[Avg_Upmove]]="", "", tbl_SPXS[[#This Row],[Avg_Upmove]]/tbl_SPXS[[#This Row],[Avg_Downmove]])</f>
        <v>0.72727272727272718</v>
      </c>
      <c r="S56" s="10">
        <f ca="1">IF(ROW($N56)-4&lt;BB_Periods, "", _xlfn.STDEV.S(INDIRECT(ADDRESS(ROW($F56)-RSI_Periods +1, MATCH("Adj Close", Price_Header,0))): INDIRECT(ADDRESS(ROW($F56),MATCH("Adj Close", Price_Header,0)))))</f>
        <v>0.26353993379238877</v>
      </c>
    </row>
    <row r="57" spans="1:19" x14ac:dyDescent="0.35">
      <c r="A57" s="8">
        <v>44126</v>
      </c>
      <c r="B57" s="10">
        <v>5.31</v>
      </c>
      <c r="C57" s="10">
        <v>5.42</v>
      </c>
      <c r="D57" s="10">
        <v>5.2</v>
      </c>
      <c r="E57" s="10">
        <v>5.24</v>
      </c>
      <c r="F57" s="10">
        <v>5.24</v>
      </c>
      <c r="G57">
        <v>26525200</v>
      </c>
      <c r="H57" s="10">
        <f>IF(tbl_SPXS[[#This Row],[Date]]=$A$5, $F57, EMA_Beta*$H56 + (1-EMA_Beta)*$F57)</f>
        <v>5.3856835068475677</v>
      </c>
      <c r="I57" s="46">
        <f ca="1">IF(tbl_SPXS[[#This Row],[RS]]= "", "", 100-(100/(1+tbl_SPXS[[#This Row],[RS]])))</f>
        <v>35.960591133004939</v>
      </c>
      <c r="J57" s="10">
        <f ca="1">IF(ROW($N57)-4&lt;BB_Periods, "", AVERAGE(INDIRECT(ADDRESS(ROW($F57)-RSI_Periods +1, MATCH("Adj Close", Price_Header,0))): INDIRECT(ADDRESS(ROW($F57),MATCH("Adj Close", Price_Header,0)))))</f>
        <v>5.258571428571428</v>
      </c>
      <c r="K57" s="10">
        <f ca="1">IF(tbl_SPXS[[#This Row],[BB_Mean]]="", "", tbl_SPXS[[#This Row],[BB_Mean]]+(BB_Width*tbl_SPXS[[#This Row],[BB_Stdev]]))</f>
        <v>5.6961773027309288</v>
      </c>
      <c r="L57" s="10">
        <f ca="1">IF(tbl_SPXS[[#This Row],[BB_Mean]]="", "", tbl_SPXS[[#This Row],[BB_Mean]]-(BB_Width*tbl_SPXS[[#This Row],[BB_Stdev]]))</f>
        <v>4.8209655544119272</v>
      </c>
      <c r="M57" s="46">
        <f>IF(ROW(tbl_SPXS[[#This Row],[Adj Close]])=5, 0, $F57-$F56)</f>
        <v>-8.9999999999999858E-2</v>
      </c>
      <c r="N57" s="46">
        <f>MAX(tbl_SPXS[[#This Row],[Move]],0)</f>
        <v>0</v>
      </c>
      <c r="O57" s="46">
        <f>MAX(-tbl_SPXS[[#This Row],[Move]],0)</f>
        <v>8.9999999999999858E-2</v>
      </c>
      <c r="P57" s="46">
        <f ca="1">IF(ROW($N57)-5&lt;RSI_Periods, "", AVERAGE(INDIRECT(ADDRESS(ROW($N57)-RSI_Periods +1, MATCH("Upmove", Price_Header,0))): INDIRECT(ADDRESS(ROW($N57),MATCH("Upmove", Price_Header,0)))))</f>
        <v>5.2142857142857171E-2</v>
      </c>
      <c r="Q57" s="46">
        <f ca="1">IF(ROW($O57)-5&lt;RSI_Periods, "", AVERAGE(INDIRECT(ADDRESS(ROW($O57)-RSI_Periods +1, MATCH("Downmove", Price_Header,0))): INDIRECT(ADDRESS(ROW($O57),MATCH("Downmove", Price_Header,0)))))</f>
        <v>9.2857142857142846E-2</v>
      </c>
      <c r="R57" s="46">
        <f ca="1">IF(tbl_SPXS[[#This Row],[Avg_Upmove]]="", "", tbl_SPXS[[#This Row],[Avg_Upmove]]/tbl_SPXS[[#This Row],[Avg_Downmove]])</f>
        <v>0.56153846153846187</v>
      </c>
      <c r="S57" s="10">
        <f ca="1">IF(ROW($N57)-4&lt;BB_Periods, "", _xlfn.STDEV.S(INDIRECT(ADDRESS(ROW($F57)-RSI_Periods +1, MATCH("Adj Close", Price_Header,0))): INDIRECT(ADDRESS(ROW($F57),MATCH("Adj Close", Price_Header,0)))))</f>
        <v>0.21880293707975051</v>
      </c>
    </row>
    <row r="58" spans="1:19" x14ac:dyDescent="0.35">
      <c r="A58" s="8">
        <v>44127</v>
      </c>
      <c r="B58" s="10">
        <v>5.17</v>
      </c>
      <c r="C58" s="10">
        <v>5.3</v>
      </c>
      <c r="D58" s="10">
        <v>5.17</v>
      </c>
      <c r="E58" s="10">
        <v>5.18</v>
      </c>
      <c r="F58" s="10">
        <v>5.18</v>
      </c>
      <c r="G58">
        <v>22933100</v>
      </c>
      <c r="H58" s="10">
        <f>IF(tbl_SPXS[[#This Row],[Date]]=$A$5, $F58, EMA_Beta*$H57 + (1-EMA_Beta)*$F58)</f>
        <v>5.365115156162811</v>
      </c>
      <c r="I58" s="46">
        <f ca="1">IF(tbl_SPXS[[#This Row],[RS]]= "", "", 100-(100/(1+tbl_SPXS[[#This Row],[RS]])))</f>
        <v>40.782122905027933</v>
      </c>
      <c r="J58" s="10">
        <f ca="1">IF(ROW($N58)-4&lt;BB_Periods, "", AVERAGE(INDIRECT(ADDRESS(ROW($F58)-RSI_Periods +1, MATCH("Adj Close", Price_Header,0))): INDIRECT(ADDRESS(ROW($F58),MATCH("Adj Close", Price_Header,0)))))</f>
        <v>5.2349999999999994</v>
      </c>
      <c r="K58" s="10">
        <f ca="1">IF(tbl_SPXS[[#This Row],[BB_Mean]]="", "", tbl_SPXS[[#This Row],[BB_Mean]]+(BB_Width*tbl_SPXS[[#This Row],[BB_Stdev]]))</f>
        <v>5.6491905915805498</v>
      </c>
      <c r="L58" s="10">
        <f ca="1">IF(tbl_SPXS[[#This Row],[BB_Mean]]="", "", tbl_SPXS[[#This Row],[BB_Mean]]-(BB_Width*tbl_SPXS[[#This Row],[BB_Stdev]]))</f>
        <v>4.820809408419449</v>
      </c>
      <c r="M58" s="46">
        <f>IF(ROW(tbl_SPXS[[#This Row],[Adj Close]])=5, 0, $F58-$F57)</f>
        <v>-6.0000000000000497E-2</v>
      </c>
      <c r="N58" s="46">
        <f>MAX(tbl_SPXS[[#This Row],[Move]],0)</f>
        <v>0</v>
      </c>
      <c r="O58" s="46">
        <f>MAX(-tbl_SPXS[[#This Row],[Move]],0)</f>
        <v>6.0000000000000497E-2</v>
      </c>
      <c r="P58" s="46">
        <f ca="1">IF(ROW($N58)-5&lt;RSI_Periods, "", AVERAGE(INDIRECT(ADDRESS(ROW($N58)-RSI_Periods +1, MATCH("Upmove", Price_Header,0))): INDIRECT(ADDRESS(ROW($N58),MATCH("Upmove", Price_Header,0)))))</f>
        <v>5.2142857142857171E-2</v>
      </c>
      <c r="Q58" s="46">
        <f ca="1">IF(ROW($O58)-5&lt;RSI_Periods, "", AVERAGE(INDIRECT(ADDRESS(ROW($O58)-RSI_Periods +1, MATCH("Downmove", Price_Header,0))): INDIRECT(ADDRESS(ROW($O58),MATCH("Downmove", Price_Header,0)))))</f>
        <v>7.5714285714285748E-2</v>
      </c>
      <c r="R58" s="46">
        <f ca="1">IF(tbl_SPXS[[#This Row],[Avg_Upmove]]="", "", tbl_SPXS[[#This Row],[Avg_Upmove]]/tbl_SPXS[[#This Row],[Avg_Downmove]])</f>
        <v>0.68867924528301894</v>
      </c>
      <c r="S58" s="10">
        <f ca="1">IF(ROW($N58)-4&lt;BB_Periods, "", _xlfn.STDEV.S(INDIRECT(ADDRESS(ROW($F58)-RSI_Periods +1, MATCH("Adj Close", Price_Header,0))): INDIRECT(ADDRESS(ROW($F58),MATCH("Adj Close", Price_Header,0)))))</f>
        <v>0.20709529579027514</v>
      </c>
    </row>
    <row r="59" spans="1:19" x14ac:dyDescent="0.35">
      <c r="A59" s="8">
        <v>44130</v>
      </c>
      <c r="B59" s="10">
        <v>5.34</v>
      </c>
      <c r="C59" s="10">
        <v>5.64</v>
      </c>
      <c r="D59" s="10">
        <v>5.3</v>
      </c>
      <c r="E59" s="10">
        <v>5.46</v>
      </c>
      <c r="F59" s="10">
        <v>5.46</v>
      </c>
      <c r="G59">
        <v>42424000</v>
      </c>
      <c r="H59" s="10">
        <f>IF(tbl_SPXS[[#This Row],[Date]]=$A$5, $F59, EMA_Beta*$H58 + (1-EMA_Beta)*$F59)</f>
        <v>5.3746036405465301</v>
      </c>
      <c r="I59" s="46">
        <f ca="1">IF(tbl_SPXS[[#This Row],[RS]]= "", "", 100-(100/(1+tbl_SPXS[[#This Row],[RS]])))</f>
        <v>42.076502732240442</v>
      </c>
      <c r="J59" s="10">
        <f ca="1">IF(ROW($N59)-4&lt;BB_Periods, "", AVERAGE(INDIRECT(ADDRESS(ROW($F59)-RSI_Periods +1, MATCH("Adj Close", Price_Header,0))): INDIRECT(ADDRESS(ROW($F59),MATCH("Adj Close", Price_Header,0)))))</f>
        <v>5.2142857142857135</v>
      </c>
      <c r="K59" s="10">
        <f ca="1">IF(tbl_SPXS[[#This Row],[BB_Mean]]="", "", tbl_SPXS[[#This Row],[BB_Mean]]+(BB_Width*tbl_SPXS[[#This Row],[BB_Stdev]]))</f>
        <v>5.5362713122163125</v>
      </c>
      <c r="L59" s="10">
        <f ca="1">IF(tbl_SPXS[[#This Row],[BB_Mean]]="", "", tbl_SPXS[[#This Row],[BB_Mean]]-(BB_Width*tbl_SPXS[[#This Row],[BB_Stdev]]))</f>
        <v>4.8923001163551145</v>
      </c>
      <c r="M59" s="46">
        <f>IF(ROW(tbl_SPXS[[#This Row],[Adj Close]])=5, 0, $F59-$F58)</f>
        <v>0.28000000000000025</v>
      </c>
      <c r="N59" s="46">
        <f>MAX(tbl_SPXS[[#This Row],[Move]],0)</f>
        <v>0.28000000000000025</v>
      </c>
      <c r="O59" s="46">
        <f>MAX(-tbl_SPXS[[#This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5.5000000000000035E-2</v>
      </c>
      <c r="Q59" s="46">
        <f ca="1">IF(ROW($O59)-5&lt;RSI_Periods, "", AVERAGE(INDIRECT(ADDRESS(ROW($O59)-RSI_Periods +1, MATCH("Downmove", Price_Header,0))): INDIRECT(ADDRESS(ROW($O59),MATCH("Downmove", Price_Header,0)))))</f>
        <v>7.5714285714285748E-2</v>
      </c>
      <c r="R59" s="46">
        <f ca="1">IF(tbl_SPXS[[#This Row],[Avg_Upmove]]="", "", tbl_SPXS[[#This Row],[Avg_Upmove]]/tbl_SPXS[[#This Row],[Avg_Downmove]])</f>
        <v>0.72641509433962281</v>
      </c>
      <c r="S59" s="10">
        <f ca="1">IF(ROW($N59)-4&lt;BB_Periods, "", _xlfn.STDEV.S(INDIRECT(ADDRESS(ROW($F59)-RSI_Periods +1, MATCH("Adj Close", Price_Header,0))): INDIRECT(ADDRESS(ROW($F59),MATCH("Adj Close", Price_Header,0)))))</f>
        <v>0.16099279896529944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J60" s="61"/>
      <c r="K60" s="61"/>
      <c r="L60" s="61"/>
      <c r="S60" s="61">
        <f ca="1">SUBTOTAL(103,tbl_SPXS[BB_Stdev])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60"/>
  <sheetViews>
    <sheetView topLeftCell="B53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319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85.050003000000004</v>
      </c>
      <c r="C5" s="10">
        <v>85.160004000000001</v>
      </c>
      <c r="D5" s="10">
        <v>79.319999999999993</v>
      </c>
      <c r="E5" s="10">
        <v>82.239998</v>
      </c>
      <c r="F5" s="10">
        <v>82.239998</v>
      </c>
      <c r="G5">
        <v>70536100</v>
      </c>
      <c r="H5" s="10">
        <f>IF(tbl_AMD[[#This Row],[Date]]=$A$5, $F5, EMA_Beta*$H4 + (1-EMA_Beta)*$F5)</f>
        <v>82.239998</v>
      </c>
      <c r="I5" s="46" t="str">
        <f ca="1">IF(tbl_AMD[[#This Row],[RS]]= "", "", 100-(100/(1+tbl_AMD[[#This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IF(tbl_AMD[[#This Row],[BB_Mean]]="", "", tbl_AMD[[#This Row],[BB_Mean]]+(BB_Width*tbl_AMD[[#This Row],[BB_Stdev]]))</f>
        <v/>
      </c>
      <c r="L5" s="10" t="str">
        <f ca="1">IF(tbl_AMD[[#This Row],[BB_Mean]]="", "", tbl_AMD[[#This Row],[BB_Mean]]-(BB_Width*tbl_AMD[[#This Row],[BB_Stdev]]))</f>
        <v/>
      </c>
      <c r="M5" s="46">
        <f>IF(ROW(tbl_AMD[[#This Row],[Adj Close]])=5, 0, $F5-$F4)</f>
        <v>0</v>
      </c>
      <c r="N5" s="46">
        <f>MAX(tbl_AMD[[#This Row],[Move]],0)</f>
        <v>0</v>
      </c>
      <c r="O5" s="46">
        <f>MAX(-tbl_AMD[[#This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IF(tbl_AMD[[#This Row],[Avg_Upmove]]="", "", tbl_AMD[[#This Row],[Avg_Upmove]]/tbl_AMD[[#This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80.709998999999996</v>
      </c>
      <c r="C6" s="10">
        <v>80.709998999999996</v>
      </c>
      <c r="D6" s="10">
        <v>76.099997999999999</v>
      </c>
      <c r="E6" s="10">
        <v>76.879997000000003</v>
      </c>
      <c r="F6" s="10">
        <v>76.879997000000003</v>
      </c>
      <c r="G6">
        <v>77877700</v>
      </c>
      <c r="H6" s="10">
        <f>IF(tbl_AMD[[#This Row],[Date]]=$A$5, $F6, EMA_Beta*$H5 + (1-EMA_Beta)*$F6)</f>
        <v>81.70399789999999</v>
      </c>
      <c r="I6" s="46" t="str">
        <f ca="1">IF(tbl_AMD[[#This Row],[RS]]= "", "", 100-(100/(1+tbl_AMD[[#This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IF(tbl_AMD[[#This Row],[BB_Mean]]="", "", tbl_AMD[[#This Row],[BB_Mean]]+(BB_Width*tbl_AMD[[#This Row],[BB_Stdev]]))</f>
        <v/>
      </c>
      <c r="L6" s="10" t="str">
        <f ca="1">IF(tbl_AMD[[#This Row],[BB_Mean]]="", "", tbl_AMD[[#This Row],[BB_Mean]]-(BB_Width*tbl_AMD[[#This Row],[BB_Stdev]]))</f>
        <v/>
      </c>
      <c r="M6" s="46">
        <f>IF(ROW(tbl_AMD[[#This Row],[Adj Close]])=5, 0, $F6-$F5)</f>
        <v>-5.3600009999999969</v>
      </c>
      <c r="N6" s="46">
        <f>MAX(tbl_AMD[[#This Row],[Move]],0)</f>
        <v>0</v>
      </c>
      <c r="O6" s="46">
        <f>MAX(-tbl_AMD[[#This Row],[Move]],0)</f>
        <v>5.3600009999999969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IF(tbl_AMD[[#This Row],[Avg_Upmove]]="", "", tbl_AMD[[#This Row],[Avg_Upmove]]/tbl_AMD[[#This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78.430000000000007</v>
      </c>
      <c r="C7" s="10">
        <v>82.879997000000003</v>
      </c>
      <c r="D7" s="10">
        <v>77.550003000000004</v>
      </c>
      <c r="E7" s="10">
        <v>82.610000999999997</v>
      </c>
      <c r="F7" s="10">
        <v>82.610000999999997</v>
      </c>
      <c r="G7">
        <v>88607800</v>
      </c>
      <c r="H7" s="10">
        <f>IF(tbl_AMD[[#This Row],[Date]]=$A$5, $F7, EMA_Beta*$H6 + (1-EMA_Beta)*$F7)</f>
        <v>81.794598210000004</v>
      </c>
      <c r="I7" s="46" t="str">
        <f ca="1">IF(tbl_AMD[[#This Row],[RS]]= "", "", 100-(100/(1+tbl_AMD[[#This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IF(tbl_AMD[[#This Row],[BB_Mean]]="", "", tbl_AMD[[#This Row],[BB_Mean]]+(BB_Width*tbl_AMD[[#This Row],[BB_Stdev]]))</f>
        <v/>
      </c>
      <c r="L7" s="10" t="str">
        <f ca="1">IF(tbl_AMD[[#This Row],[BB_Mean]]="", "", tbl_AMD[[#This Row],[BB_Mean]]-(BB_Width*tbl_AMD[[#This Row],[BB_Stdev]]))</f>
        <v/>
      </c>
      <c r="M7" s="46">
        <f>IF(ROW(tbl_AMD[[#This Row],[Adj Close]])=5, 0, $F7-$F6)</f>
        <v>5.7300039999999939</v>
      </c>
      <c r="N7" s="46">
        <f>MAX(tbl_AMD[[#This Row],[Move]],0)</f>
        <v>5.7300039999999939</v>
      </c>
      <c r="O7" s="46">
        <f>MAX(-tbl_AMD[[#This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IF(tbl_AMD[[#This Row],[Avg_Upmove]]="", "", tbl_AMD[[#This Row],[Avg_Upmove]]/tbl_AMD[[#This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82.879997000000003</v>
      </c>
      <c r="C8" s="10">
        <v>84.019997000000004</v>
      </c>
      <c r="D8" s="10">
        <v>81.540001000000004</v>
      </c>
      <c r="E8" s="10">
        <v>81.839995999999999</v>
      </c>
      <c r="F8" s="10">
        <v>81.839995999999999</v>
      </c>
      <c r="G8">
        <v>57407400</v>
      </c>
      <c r="H8" s="10">
        <f>IF(tbl_AMD[[#This Row],[Date]]=$A$5, $F8, EMA_Beta*$H7 + (1-EMA_Beta)*$F8)</f>
        <v>81.799137989000002</v>
      </c>
      <c r="I8" s="46" t="str">
        <f ca="1">IF(tbl_AMD[[#This Row],[RS]]= "", "", 100-(100/(1+tbl_AMD[[#This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IF(tbl_AMD[[#This Row],[BB_Mean]]="", "", tbl_AMD[[#This Row],[BB_Mean]]+(BB_Width*tbl_AMD[[#This Row],[BB_Stdev]]))</f>
        <v/>
      </c>
      <c r="L8" s="10" t="str">
        <f ca="1">IF(tbl_AMD[[#This Row],[BB_Mean]]="", "", tbl_AMD[[#This Row],[BB_Mean]]-(BB_Width*tbl_AMD[[#This Row],[BB_Stdev]]))</f>
        <v/>
      </c>
      <c r="M8" s="46">
        <f>IF(ROW(tbl_AMD[[#This Row],[Adj Close]])=5, 0, $F8-$F7)</f>
        <v>-0.77000499999999761</v>
      </c>
      <c r="N8" s="46">
        <f>MAX(tbl_AMD[[#This Row],[Move]],0)</f>
        <v>0</v>
      </c>
      <c r="O8" s="46">
        <f>MAX(-tbl_AMD[[#This Row],[Move]],0)</f>
        <v>0.77000499999999761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IF(tbl_AMD[[#This Row],[Avg_Upmove]]="", "", tbl_AMD[[#This Row],[Avg_Upmove]]/tbl_AMD[[#This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81.809997999999993</v>
      </c>
      <c r="C9" s="10">
        <v>83.239998</v>
      </c>
      <c r="D9" s="10">
        <v>80.879997000000003</v>
      </c>
      <c r="E9" s="10">
        <v>81.300003000000004</v>
      </c>
      <c r="F9" s="10">
        <v>81.300003000000004</v>
      </c>
      <c r="G9">
        <v>42389500</v>
      </c>
      <c r="H9" s="10">
        <f>IF(tbl_AMD[[#This Row],[Date]]=$A$5, $F9, EMA_Beta*$H8 + (1-EMA_Beta)*$F9)</f>
        <v>81.749224490100005</v>
      </c>
      <c r="I9" s="46" t="str">
        <f ca="1">IF(tbl_AMD[[#This Row],[RS]]= "", "", 100-(100/(1+tbl_AMD[[#This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IF(tbl_AMD[[#This Row],[BB_Mean]]="", "", tbl_AMD[[#This Row],[BB_Mean]]+(BB_Width*tbl_AMD[[#This Row],[BB_Stdev]]))</f>
        <v/>
      </c>
      <c r="L9" s="10" t="str">
        <f ca="1">IF(tbl_AMD[[#This Row],[BB_Mean]]="", "", tbl_AMD[[#This Row],[BB_Mean]]-(BB_Width*tbl_AMD[[#This Row],[BB_Stdev]]))</f>
        <v/>
      </c>
      <c r="M9" s="46">
        <f>IF(ROW(tbl_AMD[[#This Row],[Adj Close]])=5, 0, $F9-$F8)</f>
        <v>-0.5399929999999955</v>
      </c>
      <c r="N9" s="46">
        <f>MAX(tbl_AMD[[#This Row],[Move]],0)</f>
        <v>0</v>
      </c>
      <c r="O9" s="46">
        <f>MAX(-tbl_AMD[[#This Row],[Move]],0)</f>
        <v>0.5399929999999955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IF(tbl_AMD[[#This Row],[Avg_Upmove]]="", "", tbl_AMD[[#This Row],[Avg_Upmove]]/tbl_AMD[[#This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82.089995999999999</v>
      </c>
      <c r="C10" s="10">
        <v>83.059997999999993</v>
      </c>
      <c r="D10" s="10">
        <v>81.550003000000004</v>
      </c>
      <c r="E10" s="10">
        <v>82.419998000000007</v>
      </c>
      <c r="F10" s="10">
        <v>82.419998000000007</v>
      </c>
      <c r="G10">
        <v>31450200</v>
      </c>
      <c r="H10" s="10">
        <f>IF(tbl_AMD[[#This Row],[Date]]=$A$5, $F10, EMA_Beta*$H9 + (1-EMA_Beta)*$F10)</f>
        <v>81.816301841090009</v>
      </c>
      <c r="I10" s="46" t="str">
        <f ca="1">IF(tbl_AMD[[#This Row],[RS]]= "", "", 100-(100/(1+tbl_AMD[[#This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IF(tbl_AMD[[#This Row],[BB_Mean]]="", "", tbl_AMD[[#This Row],[BB_Mean]]+(BB_Width*tbl_AMD[[#This Row],[BB_Stdev]]))</f>
        <v/>
      </c>
      <c r="L10" s="10" t="str">
        <f ca="1">IF(tbl_AMD[[#This Row],[BB_Mean]]="", "", tbl_AMD[[#This Row],[BB_Mean]]-(BB_Width*tbl_AMD[[#This Row],[BB_Stdev]]))</f>
        <v/>
      </c>
      <c r="M10" s="46">
        <f>IF(ROW(tbl_AMD[[#This Row],[Adj Close]])=5, 0, $F10-$F9)</f>
        <v>1.119995000000003</v>
      </c>
      <c r="N10" s="46">
        <f>MAX(tbl_AMD[[#This Row],[Move]],0)</f>
        <v>1.119995000000003</v>
      </c>
      <c r="O10" s="46">
        <f>MAX(-tbl_AMD[[#This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IF(tbl_AMD[[#This Row],[Avg_Upmove]]="", "", tbl_AMD[[#This Row],[Avg_Upmove]]/tbl_AMD[[#This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82.800003000000004</v>
      </c>
      <c r="C11" s="10">
        <v>82.879997000000003</v>
      </c>
      <c r="D11" s="10">
        <v>81.029999000000004</v>
      </c>
      <c r="E11" s="10">
        <v>81.660004000000001</v>
      </c>
      <c r="F11" s="10">
        <v>81.660004000000001</v>
      </c>
      <c r="G11">
        <v>30970500</v>
      </c>
      <c r="H11" s="10">
        <f>IF(tbl_AMD[[#This Row],[Date]]=$A$5, $F11, EMA_Beta*$H10 + (1-EMA_Beta)*$F11)</f>
        <v>81.800672056981014</v>
      </c>
      <c r="I11" s="46" t="str">
        <f ca="1">IF(tbl_AMD[[#This Row],[RS]]= "", "", 100-(100/(1+tbl_AMD[[#This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IF(tbl_AMD[[#This Row],[BB_Mean]]="", "", tbl_AMD[[#This Row],[BB_Mean]]+(BB_Width*tbl_AMD[[#This Row],[BB_Stdev]]))</f>
        <v/>
      </c>
      <c r="L11" s="10" t="str">
        <f ca="1">IF(tbl_AMD[[#This Row],[BB_Mean]]="", "", tbl_AMD[[#This Row],[BB_Mean]]-(BB_Width*tbl_AMD[[#This Row],[BB_Stdev]]))</f>
        <v/>
      </c>
      <c r="M11" s="46">
        <f>IF(ROW(tbl_AMD[[#This Row],[Adj Close]])=5, 0, $F11-$F10)</f>
        <v>-0.75999400000000605</v>
      </c>
      <c r="N11" s="46">
        <f>MAX(tbl_AMD[[#This Row],[Move]],0)</f>
        <v>0</v>
      </c>
      <c r="O11" s="46">
        <f>MAX(-tbl_AMD[[#This Row],[Move]],0)</f>
        <v>0.75999400000000605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IF(tbl_AMD[[#This Row],[Avg_Upmove]]="", "", tbl_AMD[[#This Row],[Avg_Upmove]]/tbl_AMD[[#This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81.779999000000004</v>
      </c>
      <c r="C12" s="10">
        <v>81.849997999999999</v>
      </c>
      <c r="D12" s="10">
        <v>80.449996999999996</v>
      </c>
      <c r="E12" s="10">
        <v>81.089995999999999</v>
      </c>
      <c r="F12" s="10">
        <v>81.089995999999999</v>
      </c>
      <c r="G12">
        <v>37507400</v>
      </c>
      <c r="H12" s="10">
        <f>IF(tbl_AMD[[#This Row],[Date]]=$A$5, $F12, EMA_Beta*$H11 + (1-EMA_Beta)*$F12)</f>
        <v>81.729604451282924</v>
      </c>
      <c r="I12" s="46" t="str">
        <f ca="1">IF(tbl_AMD[[#This Row],[RS]]= "", "", 100-(100/(1+tbl_AMD[[#This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IF(tbl_AMD[[#This Row],[BB_Mean]]="", "", tbl_AMD[[#This Row],[BB_Mean]]+(BB_Width*tbl_AMD[[#This Row],[BB_Stdev]]))</f>
        <v/>
      </c>
      <c r="L12" s="10" t="str">
        <f ca="1">IF(tbl_AMD[[#This Row],[BB_Mean]]="", "", tbl_AMD[[#This Row],[BB_Mean]]-(BB_Width*tbl_AMD[[#This Row],[BB_Stdev]]))</f>
        <v/>
      </c>
      <c r="M12" s="46">
        <f>IF(ROW(tbl_AMD[[#This Row],[Adj Close]])=5, 0, $F12-$F11)</f>
        <v>-0.5700080000000014</v>
      </c>
      <c r="N12" s="46">
        <f>MAX(tbl_AMD[[#This Row],[Move]],0)</f>
        <v>0</v>
      </c>
      <c r="O12" s="46">
        <f>MAX(-tbl_AMD[[#This Row],[Move]],0)</f>
        <v>0.5700080000000014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IF(tbl_AMD[[#This Row],[Avg_Upmove]]="", "", tbl_AMD[[#This Row],[Avg_Upmove]]/tbl_AMD[[#This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79.739998</v>
      </c>
      <c r="C13" s="10">
        <v>82.839995999999999</v>
      </c>
      <c r="D13" s="10">
        <v>79.120002999999997</v>
      </c>
      <c r="E13" s="10">
        <v>82.769997000000004</v>
      </c>
      <c r="F13" s="10">
        <v>82.769997000000004</v>
      </c>
      <c r="G13">
        <v>42948900</v>
      </c>
      <c r="H13" s="10">
        <f>IF(tbl_AMD[[#This Row],[Date]]=$A$5, $F13, EMA_Beta*$H12 + (1-EMA_Beta)*$F13)</f>
        <v>81.833643706154632</v>
      </c>
      <c r="I13" s="46" t="str">
        <f ca="1">IF(tbl_AMD[[#This Row],[RS]]= "", "", 100-(100/(1+tbl_AMD[[#This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IF(tbl_AMD[[#This Row],[BB_Mean]]="", "", tbl_AMD[[#This Row],[BB_Mean]]+(BB_Width*tbl_AMD[[#This Row],[BB_Stdev]]))</f>
        <v/>
      </c>
      <c r="L13" s="10" t="str">
        <f ca="1">IF(tbl_AMD[[#This Row],[BB_Mean]]="", "", tbl_AMD[[#This Row],[BB_Mean]]-(BB_Width*tbl_AMD[[#This Row],[BB_Stdev]]))</f>
        <v/>
      </c>
      <c r="M13" s="46">
        <f>IF(ROW(tbl_AMD[[#This Row],[Adj Close]])=5, 0, $F13-$F12)</f>
        <v>1.6800010000000043</v>
      </c>
      <c r="N13" s="46">
        <f>MAX(tbl_AMD[[#This Row],[Move]],0)</f>
        <v>1.6800010000000043</v>
      </c>
      <c r="O13" s="46">
        <f>MAX(-tbl_AMD[[#This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IF(tbl_AMD[[#This Row],[Avg_Upmove]]="", "", tbl_AMD[[#This Row],[Avg_Upmove]]/tbl_AMD[[#This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83.290001000000004</v>
      </c>
      <c r="C14" s="10">
        <v>84.410004000000001</v>
      </c>
      <c r="D14" s="10">
        <v>82.230002999999996</v>
      </c>
      <c r="E14" s="10">
        <v>83.809997999999993</v>
      </c>
      <c r="F14" s="10">
        <v>83.809997999999993</v>
      </c>
      <c r="G14">
        <v>48280300</v>
      </c>
      <c r="H14" s="10">
        <f>IF(tbl_AMD[[#This Row],[Date]]=$A$5, $F14, EMA_Beta*$H13 + (1-EMA_Beta)*$F14)</f>
        <v>82.031279135539165</v>
      </c>
      <c r="I14" s="46" t="str">
        <f ca="1">IF(tbl_AMD[[#This Row],[RS]]= "", "", 100-(100/(1+tbl_AMD[[#This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IF(tbl_AMD[[#This Row],[BB_Mean]]="", "", tbl_AMD[[#This Row],[BB_Mean]]+(BB_Width*tbl_AMD[[#This Row],[BB_Stdev]]))</f>
        <v/>
      </c>
      <c r="L14" s="10" t="str">
        <f ca="1">IF(tbl_AMD[[#This Row],[BB_Mean]]="", "", tbl_AMD[[#This Row],[BB_Mean]]-(BB_Width*tbl_AMD[[#This Row],[BB_Stdev]]))</f>
        <v/>
      </c>
      <c r="M14" s="46">
        <f>IF(ROW(tbl_AMD[[#This Row],[Adj Close]])=5, 0, $F14-$F13)</f>
        <v>1.0400009999999895</v>
      </c>
      <c r="N14" s="46">
        <f>MAX(tbl_AMD[[#This Row],[Move]],0)</f>
        <v>1.0400009999999895</v>
      </c>
      <c r="O14" s="46">
        <f>MAX(-tbl_AMD[[#This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IF(tbl_AMD[[#This Row],[Avg_Upmove]]="", "", tbl_AMD[[#This Row],[Avg_Upmove]]/tbl_AMD[[#This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84.550003000000004</v>
      </c>
      <c r="C15" s="10">
        <v>85.330001999999993</v>
      </c>
      <c r="D15" s="10">
        <v>82.550003000000004</v>
      </c>
      <c r="E15" s="10">
        <v>83.080001999999993</v>
      </c>
      <c r="F15" s="10">
        <v>83.080001999999993</v>
      </c>
      <c r="G15">
        <v>38036100</v>
      </c>
      <c r="H15" s="10">
        <f>IF(tbl_AMD[[#This Row],[Date]]=$A$5, $F15, EMA_Beta*$H14 + (1-EMA_Beta)*$F15)</f>
        <v>82.136151421985247</v>
      </c>
      <c r="I15" s="46" t="str">
        <f ca="1">IF(tbl_AMD[[#This Row],[RS]]= "", "", 100-(100/(1+tbl_AMD[[#This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IF(tbl_AMD[[#This Row],[BB_Mean]]="", "", tbl_AMD[[#This Row],[BB_Mean]]+(BB_Width*tbl_AMD[[#This Row],[BB_Stdev]]))</f>
        <v/>
      </c>
      <c r="L15" s="10" t="str">
        <f ca="1">IF(tbl_AMD[[#This Row],[BB_Mean]]="", "", tbl_AMD[[#This Row],[BB_Mean]]-(BB_Width*tbl_AMD[[#This Row],[BB_Stdev]]))</f>
        <v/>
      </c>
      <c r="M15" s="46">
        <f>IF(ROW(tbl_AMD[[#This Row],[Adj Close]])=5, 0, $F15-$F14)</f>
        <v>-0.72999599999999987</v>
      </c>
      <c r="N15" s="46">
        <f>MAX(tbl_AMD[[#This Row],[Move]],0)</f>
        <v>0</v>
      </c>
      <c r="O15" s="46">
        <f>MAX(-tbl_AMD[[#This Row],[Move]],0)</f>
        <v>0.72999599999999987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IF(tbl_AMD[[#This Row],[Avg_Upmove]]="", "", tbl_AMD[[#This Row],[Avg_Upmove]]/tbl_AMD[[#This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83.360000999999997</v>
      </c>
      <c r="C16" s="10">
        <v>86.620002999999997</v>
      </c>
      <c r="D16" s="10">
        <v>82.349997999999999</v>
      </c>
      <c r="E16" s="10">
        <v>86.349997999999999</v>
      </c>
      <c r="F16" s="10">
        <v>86.349997999999999</v>
      </c>
      <c r="G16">
        <v>49234400</v>
      </c>
      <c r="H16" s="10">
        <f>IF(tbl_AMD[[#This Row],[Date]]=$A$5, $F16, EMA_Beta*$H15 + (1-EMA_Beta)*$F16)</f>
        <v>82.557536079786729</v>
      </c>
      <c r="I16" s="46" t="str">
        <f ca="1">IF(tbl_AMD[[#This Row],[RS]]= "", "", 100-(100/(1+tbl_AMD[[#This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IF(tbl_AMD[[#This Row],[BB_Mean]]="", "", tbl_AMD[[#This Row],[BB_Mean]]+(BB_Width*tbl_AMD[[#This Row],[BB_Stdev]]))</f>
        <v/>
      </c>
      <c r="L16" s="10" t="str">
        <f ca="1">IF(tbl_AMD[[#This Row],[BB_Mean]]="", "", tbl_AMD[[#This Row],[BB_Mean]]-(BB_Width*tbl_AMD[[#This Row],[BB_Stdev]]))</f>
        <v/>
      </c>
      <c r="M16" s="46">
        <f>IF(ROW(tbl_AMD[[#This Row],[Adj Close]])=5, 0, $F16-$F15)</f>
        <v>3.2699960000000061</v>
      </c>
      <c r="N16" s="46">
        <f>MAX(tbl_AMD[[#This Row],[Move]],0)</f>
        <v>3.2699960000000061</v>
      </c>
      <c r="O16" s="46">
        <f>MAX(-tbl_AMD[[#This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IF(tbl_AMD[[#This Row],[Avg_Upmove]]="", "", tbl_AMD[[#This Row],[Avg_Upmove]]/tbl_AMD[[#This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86.970000999999996</v>
      </c>
      <c r="C17" s="10">
        <v>87.720000999999996</v>
      </c>
      <c r="D17" s="10">
        <v>85.199996999999996</v>
      </c>
      <c r="E17" s="10">
        <v>86.019997000000004</v>
      </c>
      <c r="F17" s="10">
        <v>86.019997000000004</v>
      </c>
      <c r="G17">
        <v>47157300</v>
      </c>
      <c r="H17" s="10">
        <f>IF(tbl_AMD[[#This Row],[Date]]=$A$5, $F17, EMA_Beta*$H16 + (1-EMA_Beta)*$F17)</f>
        <v>82.903782171808047</v>
      </c>
      <c r="I17" s="46" t="str">
        <f ca="1">IF(tbl_AMD[[#This Row],[RS]]= "", "", 100-(100/(1+tbl_AMD[[#This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IF(tbl_AMD[[#This Row],[BB_Mean]]="", "", tbl_AMD[[#This Row],[BB_Mean]]+(BB_Width*tbl_AMD[[#This Row],[BB_Stdev]]))</f>
        <v/>
      </c>
      <c r="L17" s="10" t="str">
        <f ca="1">IF(tbl_AMD[[#This Row],[BB_Mean]]="", "", tbl_AMD[[#This Row],[BB_Mean]]-(BB_Width*tbl_AMD[[#This Row],[BB_Stdev]]))</f>
        <v/>
      </c>
      <c r="M17" s="46">
        <f>IF(ROW(tbl_AMD[[#This Row],[Adj Close]])=5, 0, $F17-$F16)</f>
        <v>-0.33000099999999577</v>
      </c>
      <c r="N17" s="46">
        <f>MAX(tbl_AMD[[#This Row],[Move]],0)</f>
        <v>0</v>
      </c>
      <c r="O17" s="46">
        <f>MAX(-tbl_AMD[[#This Row],[Move]],0)</f>
        <v>0.33000099999999577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IF(tbl_AMD[[#This Row],[Avg_Upmove]]="", "", tbl_AMD[[#This Row],[Avg_Upmove]]/tbl_AMD[[#This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86.349997999999999</v>
      </c>
      <c r="C18" s="10">
        <v>86.580001999999993</v>
      </c>
      <c r="D18" s="10">
        <v>82.940002000000007</v>
      </c>
      <c r="E18" s="10">
        <v>83.800003000000004</v>
      </c>
      <c r="F18" s="10">
        <v>83.800003000000004</v>
      </c>
      <c r="G18">
        <v>42194200</v>
      </c>
      <c r="H18" s="10">
        <f>IF(tbl_AMD[[#This Row],[Date]]=$A$5, $F18, EMA_Beta*$H17 + (1-EMA_Beta)*$F18)</f>
        <v>82.993404254627251</v>
      </c>
      <c r="I18" s="46" t="str">
        <f ca="1">IF(tbl_AMD[[#This Row],[RS]]= "", "", 100-(100/(1+tbl_AMD[[#This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82.562142000000009</v>
      </c>
      <c r="K18" s="10">
        <f ca="1">IF(tbl_AMD[[#This Row],[BB_Mean]]="", "", tbl_AMD[[#This Row],[BB_Mean]]+(BB_Width*tbl_AMD[[#This Row],[BB_Stdev]]))</f>
        <v>87.109805538255088</v>
      </c>
      <c r="L18" s="10">
        <f ca="1">IF(tbl_AMD[[#This Row],[BB_Mean]]="", "", tbl_AMD[[#This Row],[BB_Mean]]-(BB_Width*tbl_AMD[[#This Row],[BB_Stdev]]))</f>
        <v>78.014478461744929</v>
      </c>
      <c r="M18" s="46">
        <f>IF(ROW(tbl_AMD[[#This Row],[Adj Close]])=5, 0, $F18-$F17)</f>
        <v>-2.2199939999999998</v>
      </c>
      <c r="N18" s="46">
        <f>MAX(tbl_AMD[[#This Row],[Move]],0)</f>
        <v>0</v>
      </c>
      <c r="O18" s="46">
        <f>MAX(-tbl_AMD[[#This Row],[Move]],0)</f>
        <v>2.2199939999999998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IF(tbl_AMD[[#This Row],[Avg_Upmove]]="", "", tbl_AMD[[#This Row],[Avg_Upmove]]/tbl_AMD[[#This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2.273831769127542</v>
      </c>
    </row>
    <row r="19" spans="1:19" x14ac:dyDescent="0.35">
      <c r="A19" s="8">
        <v>44071</v>
      </c>
      <c r="B19" s="10">
        <v>84.300003000000004</v>
      </c>
      <c r="C19" s="10">
        <v>86.040001000000004</v>
      </c>
      <c r="D19" s="10">
        <v>84.190002000000007</v>
      </c>
      <c r="E19" s="10">
        <v>85.550003000000004</v>
      </c>
      <c r="F19" s="10">
        <v>85.550003000000004</v>
      </c>
      <c r="G19">
        <v>40723300</v>
      </c>
      <c r="H19" s="10">
        <f>IF(tbl_AMD[[#This Row],[Date]]=$A$5, $F19, EMA_Beta*$H18 + (1-EMA_Beta)*$F19)</f>
        <v>83.249064129164537</v>
      </c>
      <c r="I19" s="46">
        <f ca="1">IF(tbl_AMD[[#This Row],[RS]]= "", "", 100-(100/(1+tbl_AMD[[#This Row],[RS]])))</f>
        <v>56.397383856637909</v>
      </c>
      <c r="J19" s="10">
        <f ca="1">IF(ROW($N19)-4&lt;BB_Periods, "", AVERAGE(INDIRECT(ADDRESS(ROW($F19)-RSI_Periods +1, MATCH("Adj Close", Price_Header,0))): INDIRECT(ADDRESS(ROW($F19),MATCH("Adj Close", Price_Header,0)))))</f>
        <v>82.798570928571436</v>
      </c>
      <c r="K19" s="10">
        <f ca="1">IF(tbl_AMD[[#This Row],[BB_Mean]]="", "", tbl_AMD[[#This Row],[BB_Mean]]+(BB_Width*tbl_AMD[[#This Row],[BB_Stdev]]))</f>
        <v>87.610575070416544</v>
      </c>
      <c r="L19" s="10">
        <f ca="1">IF(tbl_AMD[[#This Row],[BB_Mean]]="", "", tbl_AMD[[#This Row],[BB_Mean]]-(BB_Width*tbl_AMD[[#This Row],[BB_Stdev]]))</f>
        <v>77.986566786726328</v>
      </c>
      <c r="M19" s="46">
        <f>IF(ROW(tbl_AMD[[#This Row],[Adj Close]])=5, 0, $F19-$F18)</f>
        <v>1.75</v>
      </c>
      <c r="N19" s="46">
        <f>MAX(tbl_AMD[[#This Row],[Move]],0)</f>
        <v>1.75</v>
      </c>
      <c r="O19" s="46">
        <f>MAX(-tbl_AMD[[#This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1.0421426428571425</v>
      </c>
      <c r="Q19" s="46">
        <f ca="1">IF(ROW($O19)-5&lt;RSI_Periods, "", AVERAGE(INDIRECT(ADDRESS(ROW($O19)-RSI_Periods +1, MATCH("Downmove", Price_Header,0))): INDIRECT(ADDRESS(ROW($O19),MATCH("Downmove", Price_Header,0)))))</f>
        <v>0.80571371428571381</v>
      </c>
      <c r="R19" s="46">
        <f ca="1">IF(tbl_AMD[[#This Row],[Avg_Upmove]]="", "", tbl_AMD[[#This Row],[Avg_Upmove]]/tbl_AMD[[#This Row],[Avg_Downmove]])</f>
        <v>1.2934403676882045</v>
      </c>
      <c r="S19" s="10">
        <f ca="1">IF(ROW($N19)-4&lt;BB_Periods, "", _xlfn.STDEV.S(INDIRECT(ADDRESS(ROW($F19)-RSI_Periods +1, MATCH("Adj Close", Price_Header,0))): INDIRECT(ADDRESS(ROW($F19),MATCH("Adj Close", Price_Header,0)))))</f>
        <v>2.4060020709225518</v>
      </c>
    </row>
    <row r="20" spans="1:19" x14ac:dyDescent="0.35">
      <c r="A20" s="8">
        <v>44074</v>
      </c>
      <c r="B20" s="10">
        <v>85.050003000000004</v>
      </c>
      <c r="C20" s="10">
        <v>92.639999000000003</v>
      </c>
      <c r="D20" s="10">
        <v>85.050003000000004</v>
      </c>
      <c r="E20" s="10">
        <v>90.82</v>
      </c>
      <c r="F20" s="10">
        <v>90.82</v>
      </c>
      <c r="G20">
        <v>90655900</v>
      </c>
      <c r="H20" s="10">
        <f>IF(tbl_AMD[[#This Row],[Date]]=$A$5, $F20, EMA_Beta*$H19 + (1-EMA_Beta)*$F20)</f>
        <v>84.006157716248083</v>
      </c>
      <c r="I20" s="46">
        <f ca="1">IF(tbl_AMD[[#This Row],[RS]]= "", "", 100-(100/(1+tbl_AMD[[#This Row],[RS]])))</f>
        <v>77.036483923477846</v>
      </c>
      <c r="J20" s="10">
        <f ca="1">IF(ROW($N20)-4&lt;BB_Periods, "", AVERAGE(INDIRECT(ADDRESS(ROW($F20)-RSI_Periods +1, MATCH("Adj Close", Price_Header,0))): INDIRECT(ADDRESS(ROW($F20),MATCH("Adj Close", Price_Header,0)))))</f>
        <v>83.794285428571442</v>
      </c>
      <c r="K20" s="10">
        <f ca="1">IF(tbl_AMD[[#This Row],[BB_Mean]]="", "", tbl_AMD[[#This Row],[BB_Mean]]+(BB_Width*tbl_AMD[[#This Row],[BB_Stdev]]))</f>
        <v>89.076724883436896</v>
      </c>
      <c r="L20" s="10">
        <f ca="1">IF(tbl_AMD[[#This Row],[BB_Mean]]="", "", tbl_AMD[[#This Row],[BB_Mean]]-(BB_Width*tbl_AMD[[#This Row],[BB_Stdev]]))</f>
        <v>78.511845973705988</v>
      </c>
      <c r="M20" s="46">
        <f>IF(ROW(tbl_AMD[[#This Row],[Adj Close]])=5, 0, $F20-$F19)</f>
        <v>5.2699969999999894</v>
      </c>
      <c r="N20" s="46">
        <f>MAX(tbl_AMD[[#This Row],[Move]],0)</f>
        <v>5.2699969999999894</v>
      </c>
      <c r="O20" s="46">
        <f>MAX(-tbl_AMD[[#This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1.4185709999999989</v>
      </c>
      <c r="Q20" s="46">
        <f ca="1">IF(ROW($O20)-5&lt;RSI_Periods, "", AVERAGE(INDIRECT(ADDRESS(ROW($O20)-RSI_Periods +1, MATCH("Downmove", Price_Header,0))): INDIRECT(ADDRESS(ROW($O20),MATCH("Downmove", Price_Header,0)))))</f>
        <v>0.42285649999999969</v>
      </c>
      <c r="R20" s="46">
        <f ca="1">IF(tbl_AMD[[#This Row],[Avg_Upmove]]="", "", tbl_AMD[[#This Row],[Avg_Upmove]]/tbl_AMD[[#This Row],[Avg_Downmove]])</f>
        <v>3.3547338163183018</v>
      </c>
      <c r="S20" s="10">
        <f ca="1">IF(ROW($N20)-4&lt;BB_Periods, "", _xlfn.STDEV.S(INDIRECT(ADDRESS(ROW($F20)-RSI_Periods +1, MATCH("Adj Close", Price_Header,0))): INDIRECT(ADDRESS(ROW($F20),MATCH("Adj Close", Price_Header,0)))))</f>
        <v>2.6412197274327243</v>
      </c>
    </row>
    <row r="21" spans="1:19" x14ac:dyDescent="0.35">
      <c r="A21" s="8">
        <v>44075</v>
      </c>
      <c r="B21" s="10">
        <v>91.919998000000007</v>
      </c>
      <c r="C21" s="10">
        <v>92.510002</v>
      </c>
      <c r="D21" s="10">
        <v>90.190002000000007</v>
      </c>
      <c r="E21" s="10">
        <v>92.18</v>
      </c>
      <c r="F21" s="10">
        <v>92.18</v>
      </c>
      <c r="G21">
        <v>56117100</v>
      </c>
      <c r="H21" s="10">
        <f>IF(tbl_AMD[[#This Row],[Date]]=$A$5, $F21, EMA_Beta*$H20 + (1-EMA_Beta)*$F21)</f>
        <v>84.823541944623287</v>
      </c>
      <c r="I21" s="46">
        <f ca="1">IF(tbl_AMD[[#This Row],[RS]]= "", "", 100-(100/(1+tbl_AMD[[#This Row],[RS]])))</f>
        <v>72.349386951814694</v>
      </c>
      <c r="J21" s="10">
        <f ca="1">IF(ROW($N21)-4&lt;BB_Periods, "", AVERAGE(INDIRECT(ADDRESS(ROW($F21)-RSI_Periods +1, MATCH("Adj Close", Price_Header,0))): INDIRECT(ADDRESS(ROW($F21),MATCH("Adj Close", Price_Header,0)))))</f>
        <v>84.477856785714295</v>
      </c>
      <c r="K21" s="10">
        <f ca="1">IF(tbl_AMD[[#This Row],[BB_Mean]]="", "", tbl_AMD[[#This Row],[BB_Mean]]+(BB_Width*tbl_AMD[[#This Row],[BB_Stdev]]))</f>
        <v>91.340564111834865</v>
      </c>
      <c r="L21" s="10">
        <f ca="1">IF(tbl_AMD[[#This Row],[BB_Mean]]="", "", tbl_AMD[[#This Row],[BB_Mean]]-(BB_Width*tbl_AMD[[#This Row],[BB_Stdev]]))</f>
        <v>77.615149459593724</v>
      </c>
      <c r="M21" s="46">
        <f>IF(ROW(tbl_AMD[[#This Row],[Adj Close]])=5, 0, $F21-$F20)</f>
        <v>1.3600000000000136</v>
      </c>
      <c r="N21" s="46">
        <f>MAX(tbl_AMD[[#This Row],[Move]],0)</f>
        <v>1.3600000000000136</v>
      </c>
      <c r="O21" s="46">
        <f>MAX(-tbl_AMD[[#This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1.1064278571428576</v>
      </c>
      <c r="Q21" s="46">
        <f ca="1">IF(ROW($O21)-5&lt;RSI_Periods, "", AVERAGE(INDIRECT(ADDRESS(ROW($O21)-RSI_Periods +1, MATCH("Downmove", Price_Header,0))): INDIRECT(ADDRESS(ROW($O21),MATCH("Downmove", Price_Header,0)))))</f>
        <v>0.42285649999999969</v>
      </c>
      <c r="R21" s="46">
        <f ca="1">IF(tbl_AMD[[#This Row],[Avg_Upmove]]="", "", tbl_AMD[[#This Row],[Avg_Upmove]]/tbl_AMD[[#This Row],[Avg_Downmove]])</f>
        <v>2.6165563427376863</v>
      </c>
      <c r="S21" s="10">
        <f ca="1">IF(ROW($N21)-4&lt;BB_Periods, "", _xlfn.STDEV.S(INDIRECT(ADDRESS(ROW($F21)-RSI_Periods +1, MATCH("Adj Close", Price_Header,0))): INDIRECT(ADDRESS(ROW($F21),MATCH("Adj Close", Price_Header,0)))))</f>
        <v>3.4313536630602881</v>
      </c>
    </row>
    <row r="22" spans="1:19" x14ac:dyDescent="0.35">
      <c r="A22" s="8">
        <v>44076</v>
      </c>
      <c r="B22" s="10">
        <v>94.010002</v>
      </c>
      <c r="C22" s="10">
        <v>94.279999000000004</v>
      </c>
      <c r="D22" s="10">
        <v>88.739998</v>
      </c>
      <c r="E22" s="10">
        <v>90.220000999999996</v>
      </c>
      <c r="F22" s="10">
        <v>90.220000999999996</v>
      </c>
      <c r="G22">
        <v>50366900</v>
      </c>
      <c r="H22" s="10">
        <f>IF(tbl_AMD[[#This Row],[Date]]=$A$5, $F22, EMA_Beta*$H21 + (1-EMA_Beta)*$F22)</f>
        <v>85.363187850160955</v>
      </c>
      <c r="I22" s="46">
        <f ca="1">IF(tbl_AMD[[#This Row],[RS]]= "", "", 100-(100/(1+tbl_AMD[[#This Row],[RS]])))</f>
        <v>68.539854579485137</v>
      </c>
      <c r="J22" s="10">
        <f ca="1">IF(ROW($N22)-4&lt;BB_Periods, "", AVERAGE(INDIRECT(ADDRESS(ROW($F22)-RSI_Periods +1, MATCH("Adj Close", Price_Header,0))): INDIRECT(ADDRESS(ROW($F22),MATCH("Adj Close", Price_Header,0)))))</f>
        <v>85.076428571428565</v>
      </c>
      <c r="K22" s="10">
        <f ca="1">IF(tbl_AMD[[#This Row],[BB_Mean]]="", "", tbl_AMD[[#This Row],[BB_Mean]]+(BB_Width*tbl_AMD[[#This Row],[BB_Stdev]]))</f>
        <v>92.394736900305702</v>
      </c>
      <c r="L22" s="10">
        <f ca="1">IF(tbl_AMD[[#This Row],[BB_Mean]]="", "", tbl_AMD[[#This Row],[BB_Mean]]-(BB_Width*tbl_AMD[[#This Row],[BB_Stdev]]))</f>
        <v>77.758120242551428</v>
      </c>
      <c r="M22" s="46">
        <f>IF(ROW(tbl_AMD[[#This Row],[Adj Close]])=5, 0, $F22-$F21)</f>
        <v>-1.9599990000000105</v>
      </c>
      <c r="N22" s="46">
        <f>MAX(tbl_AMD[[#This Row],[Move]],0)</f>
        <v>0</v>
      </c>
      <c r="O22" s="46">
        <f>MAX(-tbl_AMD[[#This Row],[Move]],0)</f>
        <v>1.9599990000000105</v>
      </c>
      <c r="P22" s="46">
        <f ca="1">IF(ROW($N22)-5&lt;RSI_Periods, "", AVERAGE(INDIRECT(ADDRESS(ROW($N22)-RSI_Periods +1, MATCH("Upmove", Price_Header,0))): INDIRECT(ADDRESS(ROW($N22),MATCH("Upmove", Price_Header,0)))))</f>
        <v>1.1064278571428576</v>
      </c>
      <c r="Q22" s="46">
        <f ca="1">IF(ROW($O22)-5&lt;RSI_Periods, "", AVERAGE(INDIRECT(ADDRESS(ROW($O22)-RSI_Periods +1, MATCH("Downmove", Price_Header,0))): INDIRECT(ADDRESS(ROW($O22),MATCH("Downmove", Price_Header,0)))))</f>
        <v>0.50785607142857203</v>
      </c>
      <c r="R22" s="46">
        <f ca="1">IF(tbl_AMD[[#This Row],[Avg_Upmove]]="", "", tbl_AMD[[#This Row],[Avg_Upmove]]/tbl_AMD[[#This Row],[Avg_Downmove]])</f>
        <v>2.1786248494195117</v>
      </c>
      <c r="S22" s="10">
        <f ca="1">IF(ROW($N22)-4&lt;BB_Periods, "", _xlfn.STDEV.S(INDIRECT(ADDRESS(ROW($F22)-RSI_Periods +1, MATCH("Adj Close", Price_Header,0))): INDIRECT(ADDRESS(ROW($F22),MATCH("Adj Close", Price_Header,0)))))</f>
        <v>3.6591541644385668</v>
      </c>
    </row>
    <row r="23" spans="1:19" x14ac:dyDescent="0.35">
      <c r="A23" s="8">
        <v>44077</v>
      </c>
      <c r="B23" s="10">
        <v>87.839995999999999</v>
      </c>
      <c r="C23" s="10">
        <v>88.470000999999996</v>
      </c>
      <c r="D23" s="10">
        <v>81.589995999999999</v>
      </c>
      <c r="E23" s="10">
        <v>82.540001000000004</v>
      </c>
      <c r="F23" s="10">
        <v>82.540001000000004</v>
      </c>
      <c r="G23">
        <v>87462700</v>
      </c>
      <c r="H23" s="10">
        <f>IF(tbl_AMD[[#This Row],[Date]]=$A$5, $F23, EMA_Beta*$H22 + (1-EMA_Beta)*$F23)</f>
        <v>85.080869165144861</v>
      </c>
      <c r="I23" s="46">
        <f ca="1">IF(tbl_AMD[[#This Row],[RS]]= "", "", 100-(100/(1+tbl_AMD[[#This Row],[RS]])))</f>
        <v>52.084732263792226</v>
      </c>
      <c r="J23" s="10">
        <f ca="1">IF(ROW($N23)-4&lt;BB_Periods, "", AVERAGE(INDIRECT(ADDRESS(ROW($F23)-RSI_Periods +1, MATCH("Adj Close", Price_Header,0))): INDIRECT(ADDRESS(ROW($F23),MATCH("Adj Close", Price_Header,0)))))</f>
        <v>85.16499985714286</v>
      </c>
      <c r="K23" s="10">
        <f ca="1">IF(tbl_AMD[[#This Row],[BB_Mean]]="", "", tbl_AMD[[#This Row],[BB_Mean]]+(BB_Width*tbl_AMD[[#This Row],[BB_Stdev]]))</f>
        <v>92.314492923627967</v>
      </c>
      <c r="L23" s="10">
        <f ca="1">IF(tbl_AMD[[#This Row],[BB_Mean]]="", "", tbl_AMD[[#This Row],[BB_Mean]]-(BB_Width*tbl_AMD[[#This Row],[BB_Stdev]]))</f>
        <v>78.015506790657753</v>
      </c>
      <c r="M23" s="46">
        <f>IF(ROW(tbl_AMD[[#This Row],[Adj Close]])=5, 0, $F23-$F22)</f>
        <v>-7.6799999999999926</v>
      </c>
      <c r="N23" s="46">
        <f>MAX(tbl_AMD[[#This Row],[Move]],0)</f>
        <v>0</v>
      </c>
      <c r="O23" s="46">
        <f>MAX(-tbl_AMD[[#This Row],[Move]],0)</f>
        <v>7.6799999999999926</v>
      </c>
      <c r="P23" s="46">
        <f ca="1">IF(ROW($N23)-5&lt;RSI_Periods, "", AVERAGE(INDIRECT(ADDRESS(ROW($N23)-RSI_Periods +1, MATCH("Upmove", Price_Header,0))): INDIRECT(ADDRESS(ROW($N23),MATCH("Upmove", Price_Header,0)))))</f>
        <v>1.1064278571428576</v>
      </c>
      <c r="Q23" s="46">
        <f ca="1">IF(ROW($O23)-5&lt;RSI_Periods, "", AVERAGE(INDIRECT(ADDRESS(ROW($O23)-RSI_Periods +1, MATCH("Downmove", Price_Header,0))): INDIRECT(ADDRESS(ROW($O23),MATCH("Downmove", Price_Header,0)))))</f>
        <v>1.0178565714285719</v>
      </c>
      <c r="R23" s="46">
        <f ca="1">IF(tbl_AMD[[#This Row],[Avg_Upmove]]="", "", tbl_AMD[[#This Row],[Avg_Upmove]]/tbl_AMD[[#This Row],[Avg_Downmove]])</f>
        <v>1.087017452360675</v>
      </c>
      <c r="S23" s="10">
        <f ca="1">IF(ROW($N23)-4&lt;BB_Periods, "", _xlfn.STDEV.S(INDIRECT(ADDRESS(ROW($F23)-RSI_Periods +1, MATCH("Adj Close", Price_Header,0))): INDIRECT(ADDRESS(ROW($F23),MATCH("Adj Close", Price_Header,0)))))</f>
        <v>3.5747465332425552</v>
      </c>
    </row>
    <row r="24" spans="1:19" x14ac:dyDescent="0.35">
      <c r="A24" s="8">
        <v>44078</v>
      </c>
      <c r="B24" s="10">
        <v>81.449996999999996</v>
      </c>
      <c r="C24" s="10">
        <v>84.389999000000003</v>
      </c>
      <c r="D24" s="10">
        <v>76.330001999999993</v>
      </c>
      <c r="E24" s="10">
        <v>82.010002</v>
      </c>
      <c r="F24" s="10">
        <v>82.010002</v>
      </c>
      <c r="G24">
        <v>82267800</v>
      </c>
      <c r="H24" s="10">
        <f>IF(tbl_AMD[[#This Row],[Date]]=$A$5, $F24, EMA_Beta*$H23 + (1-EMA_Beta)*$F24)</f>
        <v>84.773782448630371</v>
      </c>
      <c r="I24" s="46">
        <f ca="1">IF(tbl_AMD[[#This Row],[RS]]= "", "", 100-(100/(1+tbl_AMD[[#This Row],[RS]])))</f>
        <v>49.296747518163457</v>
      </c>
      <c r="J24" s="10">
        <f ca="1">IF(ROW($N24)-4&lt;BB_Periods, "", AVERAGE(INDIRECT(ADDRESS(ROW($F24)-RSI_Periods +1, MATCH("Adj Close", Price_Header,0))): INDIRECT(ADDRESS(ROW($F24),MATCH("Adj Close", Price_Header,0)))))</f>
        <v>85.135714428571433</v>
      </c>
      <c r="K24" s="10">
        <f ca="1">IF(tbl_AMD[[#This Row],[BB_Mean]]="", "", tbl_AMD[[#This Row],[BB_Mean]]+(BB_Width*tbl_AMD[[#This Row],[BB_Stdev]]))</f>
        <v>92.336815529725158</v>
      </c>
      <c r="L24" s="10">
        <f ca="1">IF(tbl_AMD[[#This Row],[BB_Mean]]="", "", tbl_AMD[[#This Row],[BB_Mean]]-(BB_Width*tbl_AMD[[#This Row],[BB_Stdev]]))</f>
        <v>77.934613327417708</v>
      </c>
      <c r="M24" s="46">
        <f>IF(ROW(tbl_AMD[[#This Row],[Adj Close]])=5, 0, $F24-$F23)</f>
        <v>-0.52999900000000366</v>
      </c>
      <c r="N24" s="46">
        <f>MAX(tbl_AMD[[#This Row],[Move]],0)</f>
        <v>0</v>
      </c>
      <c r="O24" s="46">
        <f>MAX(-tbl_AMD[[#This Row],[Move]],0)</f>
        <v>0.52999900000000366</v>
      </c>
      <c r="P24" s="46">
        <f ca="1">IF(ROW($N24)-5&lt;RSI_Periods, "", AVERAGE(INDIRECT(ADDRESS(ROW($N24)-RSI_Periods +1, MATCH("Upmove", Price_Header,0))): INDIRECT(ADDRESS(ROW($N24),MATCH("Upmove", Price_Header,0)))))</f>
        <v>1.0264282142857144</v>
      </c>
      <c r="Q24" s="46">
        <f ca="1">IF(ROW($O24)-5&lt;RSI_Periods, "", AVERAGE(INDIRECT(ADDRESS(ROW($O24)-RSI_Periods +1, MATCH("Downmove", Price_Header,0))): INDIRECT(ADDRESS(ROW($O24),MATCH("Downmove", Price_Header,0)))))</f>
        <v>1.0557136428571436</v>
      </c>
      <c r="R24" s="46">
        <f ca="1">IF(tbl_AMD[[#This Row],[Avg_Upmove]]="", "", tbl_AMD[[#This Row],[Avg_Upmove]]/tbl_AMD[[#This Row],[Avg_Downmove]])</f>
        <v>0.97226006429909129</v>
      </c>
      <c r="S24" s="10">
        <f ca="1">IF(ROW($N24)-4&lt;BB_Periods, "", _xlfn.STDEV.S(INDIRECT(ADDRESS(ROW($F24)-RSI_Periods +1, MATCH("Adj Close", Price_Header,0))): INDIRECT(ADDRESS(ROW($F24),MATCH("Adj Close", Price_Header,0)))))</f>
        <v>3.6005505505768616</v>
      </c>
    </row>
    <row r="25" spans="1:19" x14ac:dyDescent="0.35">
      <c r="A25" s="8">
        <v>44082</v>
      </c>
      <c r="B25" s="10">
        <v>78.050003000000004</v>
      </c>
      <c r="C25" s="10">
        <v>81.879997000000003</v>
      </c>
      <c r="D25" s="10">
        <v>78</v>
      </c>
      <c r="E25" s="10">
        <v>78.690002000000007</v>
      </c>
      <c r="F25" s="10">
        <v>78.690002000000007</v>
      </c>
      <c r="G25">
        <v>54955700</v>
      </c>
      <c r="H25" s="10">
        <f>IF(tbl_AMD[[#This Row],[Date]]=$A$5, $F25, EMA_Beta*$H24 + (1-EMA_Beta)*$F25)</f>
        <v>84.16540440376734</v>
      </c>
      <c r="I25" s="46">
        <f ca="1">IF(tbl_AMD[[#This Row],[RS]]= "", "", 100-(100/(1+tbl_AMD[[#This Row],[RS]])))</f>
        <v>45.316930385854405</v>
      </c>
      <c r="J25" s="10">
        <f ca="1">IF(ROW($N25)-4&lt;BB_Periods, "", AVERAGE(INDIRECT(ADDRESS(ROW($F25)-RSI_Periods +1, MATCH("Adj Close", Price_Header,0))): INDIRECT(ADDRESS(ROW($F25),MATCH("Adj Close", Price_Header,0)))))</f>
        <v>84.923571428571435</v>
      </c>
      <c r="K25" s="10">
        <f ca="1">IF(tbl_AMD[[#This Row],[BB_Mean]]="", "", tbl_AMD[[#This Row],[BB_Mean]]+(BB_Width*tbl_AMD[[#This Row],[BB_Stdev]]))</f>
        <v>92.716430409590188</v>
      </c>
      <c r="L25" s="10">
        <f ca="1">IF(tbl_AMD[[#This Row],[BB_Mean]]="", "", tbl_AMD[[#This Row],[BB_Mean]]-(BB_Width*tbl_AMD[[#This Row],[BB_Stdev]]))</f>
        <v>77.130712447552682</v>
      </c>
      <c r="M25" s="46">
        <f>IF(ROW(tbl_AMD[[#This Row],[Adj Close]])=5, 0, $F25-$F24)</f>
        <v>-3.3199999999999932</v>
      </c>
      <c r="N25" s="46">
        <f>MAX(tbl_AMD[[#This Row],[Move]],0)</f>
        <v>0</v>
      </c>
      <c r="O25" s="46">
        <f>MAX(-tbl_AMD[[#This Row],[Move]],0)</f>
        <v>3.3199999999999932</v>
      </c>
      <c r="P25" s="46">
        <f ca="1">IF(ROW($N25)-5&lt;RSI_Periods, "", AVERAGE(INDIRECT(ADDRESS(ROW($N25)-RSI_Periods +1, MATCH("Upmove", Price_Header,0))): INDIRECT(ADDRESS(ROW($N25),MATCH("Upmove", Price_Header,0)))))</f>
        <v>1.0264282142857144</v>
      </c>
      <c r="Q25" s="46">
        <f ca="1">IF(ROW($O25)-5&lt;RSI_Periods, "", AVERAGE(INDIRECT(ADDRESS(ROW($O25)-RSI_Periods +1, MATCH("Downmove", Price_Header,0))): INDIRECT(ADDRESS(ROW($O25),MATCH("Downmove", Price_Header,0)))))</f>
        <v>1.2385712142857142</v>
      </c>
      <c r="R25" s="46">
        <f ca="1">IF(tbl_AMD[[#This Row],[Avg_Upmove]]="", "", tbl_AMD[[#This Row],[Avg_Upmove]]/tbl_AMD[[#This Row],[Avg_Downmove]])</f>
        <v>0.82871957820984643</v>
      </c>
      <c r="S25" s="10">
        <f ca="1">IF(ROW($N25)-4&lt;BB_Periods, "", _xlfn.STDEV.S(INDIRECT(ADDRESS(ROW($F25)-RSI_Periods +1, MATCH("Adj Close", Price_Header,0))): INDIRECT(ADDRESS(ROW($F25),MATCH("Adj Close", Price_Header,0)))))</f>
        <v>3.8964294905093788</v>
      </c>
    </row>
    <row r="26" spans="1:19" x14ac:dyDescent="0.35">
      <c r="A26" s="8">
        <v>44083</v>
      </c>
      <c r="B26" s="10">
        <v>81.400002000000001</v>
      </c>
      <c r="C26" s="10">
        <v>82.440002000000007</v>
      </c>
      <c r="D26" s="10">
        <v>79.279999000000004</v>
      </c>
      <c r="E26" s="10">
        <v>81.910004000000001</v>
      </c>
      <c r="F26" s="10">
        <v>81.910004000000001</v>
      </c>
      <c r="G26">
        <v>54163900</v>
      </c>
      <c r="H26" s="10">
        <f>IF(tbl_AMD[[#This Row],[Date]]=$A$5, $F26, EMA_Beta*$H25 + (1-EMA_Beta)*$F26)</f>
        <v>83.939864363390598</v>
      </c>
      <c r="I26" s="46">
        <f ca="1">IF(tbl_AMD[[#This Row],[RS]]= "", "", 100-(100/(1+tbl_AMD[[#This Row],[RS]])))</f>
        <v>51.193260090385373</v>
      </c>
      <c r="J26" s="10">
        <f ca="1">IF(ROW($N26)-4&lt;BB_Periods, "", AVERAGE(INDIRECT(ADDRESS(ROW($F26)-RSI_Periods +1, MATCH("Adj Close", Price_Header,0))): INDIRECT(ADDRESS(ROW($F26),MATCH("Adj Close", Price_Header,0)))))</f>
        <v>84.982143428571447</v>
      </c>
      <c r="K26" s="10">
        <f ca="1">IF(tbl_AMD[[#This Row],[BB_Mean]]="", "", tbl_AMD[[#This Row],[BB_Mean]]+(BB_Width*tbl_AMD[[#This Row],[BB_Stdev]]))</f>
        <v>92.662395320275351</v>
      </c>
      <c r="L26" s="10">
        <f ca="1">IF(tbl_AMD[[#This Row],[BB_Mean]]="", "", tbl_AMD[[#This Row],[BB_Mean]]-(BB_Width*tbl_AMD[[#This Row],[BB_Stdev]]))</f>
        <v>77.301891536867544</v>
      </c>
      <c r="M26" s="46">
        <f>IF(ROW(tbl_AMD[[#This Row],[Adj Close]])=5, 0, $F26-$F25)</f>
        <v>3.2200019999999938</v>
      </c>
      <c r="N26" s="46">
        <f>MAX(tbl_AMD[[#This Row],[Move]],0)</f>
        <v>3.2200019999999938</v>
      </c>
      <c r="O26" s="46">
        <f>MAX(-tbl_AMD[[#This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1.2564283571428569</v>
      </c>
      <c r="Q26" s="46">
        <f ca="1">IF(ROW($O26)-5&lt;RSI_Periods, "", AVERAGE(INDIRECT(ADDRESS(ROW($O26)-RSI_Periods +1, MATCH("Downmove", Price_Header,0))): INDIRECT(ADDRESS(ROW($O26),MATCH("Downmove", Price_Header,0)))))</f>
        <v>1.1978563571428569</v>
      </c>
      <c r="R26" s="46">
        <f ca="1">IF(tbl_AMD[[#This Row],[Avg_Upmove]]="", "", tbl_AMD[[#This Row],[Avg_Upmove]]/tbl_AMD[[#This Row],[Avg_Downmove]])</f>
        <v>1.0488973487102466</v>
      </c>
      <c r="S26" s="10">
        <f ca="1">IF(ROW($N26)-4&lt;BB_Periods, "", _xlfn.STDEV.S(INDIRECT(ADDRESS(ROW($F26)-RSI_Periods +1, MATCH("Adj Close", Price_Header,0))): INDIRECT(ADDRESS(ROW($F26),MATCH("Adj Close", Price_Header,0)))))</f>
        <v>3.8401259458519501</v>
      </c>
    </row>
    <row r="27" spans="1:19" x14ac:dyDescent="0.35">
      <c r="A27" s="8">
        <v>44084</v>
      </c>
      <c r="B27" s="10">
        <v>83.07</v>
      </c>
      <c r="C27" s="10">
        <v>83.309997999999993</v>
      </c>
      <c r="D27" s="10">
        <v>78.379997000000003</v>
      </c>
      <c r="E27" s="10">
        <v>78.980002999999996</v>
      </c>
      <c r="F27" s="10">
        <v>78.980002999999996</v>
      </c>
      <c r="G27">
        <v>51499400</v>
      </c>
      <c r="H27" s="10">
        <f>IF(tbl_AMD[[#This Row],[Date]]=$A$5, $F27, EMA_Beta*$H26 + (1-EMA_Beta)*$F27)</f>
        <v>83.443878227051528</v>
      </c>
      <c r="I27" s="46">
        <f ca="1">IF(tbl_AMD[[#This Row],[RS]]= "", "", 100-(100/(1+tbl_AMD[[#This Row],[RS]])))</f>
        <v>44.678467438880752</v>
      </c>
      <c r="J27" s="10">
        <f ca="1">IF(ROW($N27)-4&lt;BB_Periods, "", AVERAGE(INDIRECT(ADDRESS(ROW($F27)-RSI_Periods +1, MATCH("Adj Close", Price_Header,0))): INDIRECT(ADDRESS(ROW($F27),MATCH("Adj Close", Price_Header,0)))))</f>
        <v>84.711429571428567</v>
      </c>
      <c r="K27" s="10">
        <f ca="1">IF(tbl_AMD[[#This Row],[BB_Mean]]="", "", tbl_AMD[[#This Row],[BB_Mean]]+(BB_Width*tbl_AMD[[#This Row],[BB_Stdev]]))</f>
        <v>92.972766186112494</v>
      </c>
      <c r="L27" s="10">
        <f ca="1">IF(tbl_AMD[[#This Row],[BB_Mean]]="", "", tbl_AMD[[#This Row],[BB_Mean]]-(BB_Width*tbl_AMD[[#This Row],[BB_Stdev]]))</f>
        <v>76.450092956744641</v>
      </c>
      <c r="M27" s="46">
        <f>IF(ROW(tbl_AMD[[#This Row],[Adj Close]])=5, 0, $F27-$F26)</f>
        <v>-2.9300010000000043</v>
      </c>
      <c r="N27" s="46">
        <f>MAX(tbl_AMD[[#This Row],[Move]],0)</f>
        <v>0</v>
      </c>
      <c r="O27" s="46">
        <f>MAX(-tbl_AMD[[#This Row],[Move]],0)</f>
        <v>2.9300010000000043</v>
      </c>
      <c r="P27" s="46">
        <f ca="1">IF(ROW($N27)-5&lt;RSI_Periods, "", AVERAGE(INDIRECT(ADDRESS(ROW($N27)-RSI_Periods +1, MATCH("Upmove", Price_Header,0))): INDIRECT(ADDRESS(ROW($N27),MATCH("Upmove", Price_Header,0)))))</f>
        <v>1.1364282857142851</v>
      </c>
      <c r="Q27" s="46">
        <f ca="1">IF(ROW($O27)-5&lt;RSI_Periods, "", AVERAGE(INDIRECT(ADDRESS(ROW($O27)-RSI_Periods +1, MATCH("Downmove", Price_Header,0))): INDIRECT(ADDRESS(ROW($O27),MATCH("Downmove", Price_Header,0)))))</f>
        <v>1.4071421428571429</v>
      </c>
      <c r="R27" s="46">
        <f ca="1">IF(tbl_AMD[[#This Row],[Avg_Upmove]]="", "", tbl_AMD[[#This Row],[Avg_Upmove]]/tbl_AMD[[#This Row],[Avg_Downmove]])</f>
        <v>0.80761442010884221</v>
      </c>
      <c r="S27" s="10">
        <f ca="1">IF(ROW($N27)-4&lt;BB_Periods, "", _xlfn.STDEV.S(INDIRECT(ADDRESS(ROW($F27)-RSI_Periods +1, MATCH("Adj Close", Price_Header,0))): INDIRECT(ADDRESS(ROW($F27),MATCH("Adj Close", Price_Header,0)))))</f>
        <v>4.1306683073419661</v>
      </c>
    </row>
    <row r="28" spans="1:19" x14ac:dyDescent="0.35">
      <c r="A28" s="8">
        <v>44085</v>
      </c>
      <c r="B28" s="10">
        <v>79.819999999999993</v>
      </c>
      <c r="C28" s="10">
        <v>79.989998</v>
      </c>
      <c r="D28" s="10">
        <v>75.040001000000004</v>
      </c>
      <c r="E28" s="10">
        <v>76.339995999999999</v>
      </c>
      <c r="F28" s="10">
        <v>76.339995999999999</v>
      </c>
      <c r="G28">
        <v>54763000</v>
      </c>
      <c r="H28" s="10">
        <f>IF(tbl_AMD[[#This Row],[Date]]=$A$5, $F28, EMA_Beta*$H27 + (1-EMA_Beta)*$F28)</f>
        <v>82.733490004346379</v>
      </c>
      <c r="I28" s="46">
        <f ca="1">IF(tbl_AMD[[#This Row],[RS]]= "", "", 100-(100/(1+tbl_AMD[[#This Row],[RS]])))</f>
        <v>39.962370859956124</v>
      </c>
      <c r="J28" s="10">
        <f ca="1">IF(ROW($N28)-4&lt;BB_Periods, "", AVERAGE(INDIRECT(ADDRESS(ROW($F28)-RSI_Periods +1, MATCH("Adj Close", Price_Header,0))): INDIRECT(ADDRESS(ROW($F28),MATCH("Adj Close", Price_Header,0)))))</f>
        <v>84.177858000000001</v>
      </c>
      <c r="K28" s="10">
        <f ca="1">IF(tbl_AMD[[#This Row],[BB_Mean]]="", "", tbl_AMD[[#This Row],[BB_Mean]]+(BB_Width*tbl_AMD[[#This Row],[BB_Stdev]]))</f>
        <v>93.576614204221755</v>
      </c>
      <c r="L28" s="10">
        <f ca="1">IF(tbl_AMD[[#This Row],[BB_Mean]]="", "", tbl_AMD[[#This Row],[BB_Mean]]-(BB_Width*tbl_AMD[[#This Row],[BB_Stdev]]))</f>
        <v>74.779101795778246</v>
      </c>
      <c r="M28" s="46">
        <f>IF(ROW(tbl_AMD[[#This Row],[Adj Close]])=5, 0, $F28-$F27)</f>
        <v>-2.6400069999999971</v>
      </c>
      <c r="N28" s="46">
        <f>MAX(tbl_AMD[[#This Row],[Move]],0)</f>
        <v>0</v>
      </c>
      <c r="O28" s="46">
        <f>MAX(-tbl_AMD[[#This Row],[Move]],0)</f>
        <v>2.6400069999999971</v>
      </c>
      <c r="P28" s="46">
        <f ca="1">IF(ROW($N28)-5&lt;RSI_Periods, "", AVERAGE(INDIRECT(ADDRESS(ROW($N28)-RSI_Periods +1, MATCH("Upmove", Price_Header,0))): INDIRECT(ADDRESS(ROW($N28),MATCH("Upmove", Price_Header,0)))))</f>
        <v>1.0621425000000002</v>
      </c>
      <c r="Q28" s="46">
        <f ca="1">IF(ROW($O28)-5&lt;RSI_Periods, "", AVERAGE(INDIRECT(ADDRESS(ROW($O28)-RSI_Periods +1, MATCH("Downmove", Price_Header,0))): INDIRECT(ADDRESS(ROW($O28),MATCH("Downmove", Price_Header,0)))))</f>
        <v>1.5957140714285711</v>
      </c>
      <c r="R28" s="46">
        <f ca="1">IF(tbl_AMD[[#This Row],[Avg_Upmove]]="", "", tbl_AMD[[#This Row],[Avg_Upmove]]/tbl_AMD[[#This Row],[Avg_Downmove]])</f>
        <v>0.66562206789911416</v>
      </c>
      <c r="S28" s="10">
        <f ca="1">IF(ROW($N28)-4&lt;BB_Periods, "", _xlfn.STDEV.S(INDIRECT(ADDRESS(ROW($F28)-RSI_Periods +1, MATCH("Adj Close", Price_Header,0))): INDIRECT(ADDRESS(ROW($F28),MATCH("Adj Close", Price_Header,0)))))</f>
        <v>4.6993781021108765</v>
      </c>
    </row>
    <row r="29" spans="1:19" x14ac:dyDescent="0.35">
      <c r="A29" s="8">
        <v>44088</v>
      </c>
      <c r="B29" s="10">
        <v>76.800003000000004</v>
      </c>
      <c r="C29" s="10">
        <v>78.819999999999993</v>
      </c>
      <c r="D29" s="10">
        <v>76.260002</v>
      </c>
      <c r="E29" s="10">
        <v>77.900002000000001</v>
      </c>
      <c r="F29" s="10">
        <v>77.900002000000001</v>
      </c>
      <c r="G29">
        <v>47448700</v>
      </c>
      <c r="H29" s="10">
        <f>IF(tbl_AMD[[#This Row],[Date]]=$A$5, $F29, EMA_Beta*$H28 + (1-EMA_Beta)*$F29)</f>
        <v>82.250141203911738</v>
      </c>
      <c r="I29" s="46">
        <f ca="1">IF(tbl_AMD[[#This Row],[RS]]= "", "", 100-(100/(1+tbl_AMD[[#This Row],[RS]])))</f>
        <v>43.191377855342921</v>
      </c>
      <c r="J29" s="10">
        <f ca="1">IF(ROW($N29)-4&lt;BB_Periods, "", AVERAGE(INDIRECT(ADDRESS(ROW($F29)-RSI_Periods +1, MATCH("Adj Close", Price_Header,0))): INDIRECT(ADDRESS(ROW($F29),MATCH("Adj Close", Price_Header,0)))))</f>
        <v>83.80785800000001</v>
      </c>
      <c r="K29" s="10">
        <f ca="1">IF(tbl_AMD[[#This Row],[BB_Mean]]="", "", tbl_AMD[[#This Row],[BB_Mean]]+(BB_Width*tbl_AMD[[#This Row],[BB_Stdev]]))</f>
        <v>93.782959268285495</v>
      </c>
      <c r="L29" s="10">
        <f ca="1">IF(tbl_AMD[[#This Row],[BB_Mean]]="", "", tbl_AMD[[#This Row],[BB_Mean]]-(BB_Width*tbl_AMD[[#This Row],[BB_Stdev]]))</f>
        <v>73.832756731714525</v>
      </c>
      <c r="M29" s="46">
        <f>IF(ROW(tbl_AMD[[#This Row],[Adj Close]])=5, 0, $F29-$F28)</f>
        <v>1.5600060000000013</v>
      </c>
      <c r="N29" s="46">
        <f>MAX(tbl_AMD[[#This Row],[Move]],0)</f>
        <v>1.5600060000000013</v>
      </c>
      <c r="O29" s="46">
        <f>MAX(-tbl_AMD[[#This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1.1735715000000002</v>
      </c>
      <c r="Q29" s="46">
        <f ca="1">IF(ROW($O29)-5&lt;RSI_Periods, "", AVERAGE(INDIRECT(ADDRESS(ROW($O29)-RSI_Periods +1, MATCH("Downmove", Price_Header,0))): INDIRECT(ADDRESS(ROW($O29),MATCH("Downmove", Price_Header,0)))))</f>
        <v>1.5435714999999999</v>
      </c>
      <c r="R29" s="46">
        <f ca="1">IF(tbl_AMD[[#This Row],[Avg_Upmove]]="", "", tbl_AMD[[#This Row],[Avg_Upmove]]/tbl_AMD[[#This Row],[Avg_Downmove]])</f>
        <v>0.7602961702778267</v>
      </c>
      <c r="S29" s="10">
        <f ca="1">IF(ROW($N29)-4&lt;BB_Periods, "", _xlfn.STDEV.S(INDIRECT(ADDRESS(ROW($F29)-RSI_Periods +1, MATCH("Adj Close", Price_Header,0))): INDIRECT(ADDRESS(ROW($F29),MATCH("Adj Close", Price_Header,0)))))</f>
        <v>4.9875506341427442</v>
      </c>
    </row>
    <row r="30" spans="1:19" x14ac:dyDescent="0.35">
      <c r="A30" s="8">
        <v>44089</v>
      </c>
      <c r="B30" s="10">
        <v>77.660004000000001</v>
      </c>
      <c r="C30" s="10">
        <v>80.330001999999993</v>
      </c>
      <c r="D30" s="10">
        <v>75.970000999999996</v>
      </c>
      <c r="E30" s="10">
        <v>78.930000000000007</v>
      </c>
      <c r="F30" s="10">
        <v>78.930000000000007</v>
      </c>
      <c r="G30">
        <v>57874400</v>
      </c>
      <c r="H30" s="10">
        <f>IF(tbl_AMD[[#This Row],[Date]]=$A$5, $F30, EMA_Beta*$H29 + (1-EMA_Beta)*$F30)</f>
        <v>81.918127083520574</v>
      </c>
      <c r="I30" s="46">
        <f ca="1">IF(tbl_AMD[[#This Row],[RS]]= "", "", 100-(100/(1+tbl_AMD[[#This Row],[RS]])))</f>
        <v>39.636875459566994</v>
      </c>
      <c r="J30" s="10">
        <f ca="1">IF(ROW($N30)-4&lt;BB_Periods, "", AVERAGE(INDIRECT(ADDRESS(ROW($F30)-RSI_Periods +1, MATCH("Adj Close", Price_Header,0))): INDIRECT(ADDRESS(ROW($F30),MATCH("Adj Close", Price_Header,0)))))</f>
        <v>83.277858142857141</v>
      </c>
      <c r="K30" s="10">
        <f ca="1">IF(tbl_AMD[[#This Row],[BB_Mean]]="", "", tbl_AMD[[#This Row],[BB_Mean]]+(BB_Width*tbl_AMD[[#This Row],[BB_Stdev]]))</f>
        <v>93.457506350083065</v>
      </c>
      <c r="L30" s="10">
        <f ca="1">IF(tbl_AMD[[#This Row],[BB_Mean]]="", "", tbl_AMD[[#This Row],[BB_Mean]]-(BB_Width*tbl_AMD[[#This Row],[BB_Stdev]]))</f>
        <v>73.098209935631218</v>
      </c>
      <c r="M30" s="46">
        <f>IF(ROW(tbl_AMD[[#This Row],[Adj Close]])=5, 0, $F30-$F29)</f>
        <v>1.0299980000000062</v>
      </c>
      <c r="N30" s="46">
        <f>MAX(tbl_AMD[[#This Row],[Move]],0)</f>
        <v>1.0299980000000062</v>
      </c>
      <c r="O30" s="46">
        <f>MAX(-tbl_AMD[[#This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1.0135716428571431</v>
      </c>
      <c r="Q30" s="46">
        <f ca="1">IF(ROW($O30)-5&lt;RSI_Periods, "", AVERAGE(INDIRECT(ADDRESS(ROW($O30)-RSI_Periods +1, MATCH("Downmove", Price_Header,0))): INDIRECT(ADDRESS(ROW($O30),MATCH("Downmove", Price_Header,0)))))</f>
        <v>1.5435714999999999</v>
      </c>
      <c r="R30" s="46">
        <f ca="1">IF(tbl_AMD[[#This Row],[Avg_Upmove]]="", "", tbl_AMD[[#This Row],[Avg_Upmove]]/tbl_AMD[[#This Row],[Avg_Downmove]])</f>
        <v>0.6566405526774387</v>
      </c>
      <c r="S30" s="10">
        <f ca="1">IF(ROW($N30)-4&lt;BB_Periods, "", _xlfn.STDEV.S(INDIRECT(ADDRESS(ROW($F30)-RSI_Periods +1, MATCH("Adj Close", Price_Header,0))): INDIRECT(ADDRESS(ROW($F30),MATCH("Adj Close", Price_Header,0)))))</f>
        <v>5.0898241036129637</v>
      </c>
    </row>
    <row r="31" spans="1:19" x14ac:dyDescent="0.35">
      <c r="A31" s="8">
        <v>44090</v>
      </c>
      <c r="B31" s="10">
        <v>79.349997999999999</v>
      </c>
      <c r="C31" s="10">
        <v>79.720000999999996</v>
      </c>
      <c r="D31" s="10">
        <v>76.540001000000004</v>
      </c>
      <c r="E31" s="10">
        <v>76.660004000000001</v>
      </c>
      <c r="F31" s="10">
        <v>76.660004000000001</v>
      </c>
      <c r="G31">
        <v>38393500</v>
      </c>
      <c r="H31" s="10">
        <f>IF(tbl_AMD[[#This Row],[Date]]=$A$5, $F31, EMA_Beta*$H30 + (1-EMA_Beta)*$F31)</f>
        <v>81.392314775168515</v>
      </c>
      <c r="I31" s="46">
        <f ca="1">IF(tbl_AMD[[#This Row],[RS]]= "", "", 100-(100/(1+tbl_AMD[[#This Row],[RS]])))</f>
        <v>37.599373015351702</v>
      </c>
      <c r="J31" s="10">
        <f ca="1">IF(ROW($N31)-4&lt;BB_Periods, "", AVERAGE(INDIRECT(ADDRESS(ROW($F31)-RSI_Periods +1, MATCH("Adj Close", Price_Header,0))): INDIRECT(ADDRESS(ROW($F31),MATCH("Adj Close", Price_Header,0)))))</f>
        <v>82.609287214285715</v>
      </c>
      <c r="K31" s="10">
        <f ca="1">IF(tbl_AMD[[#This Row],[BB_Mean]]="", "", tbl_AMD[[#This Row],[BB_Mean]]+(BB_Width*tbl_AMD[[#This Row],[BB_Stdev]]))</f>
        <v>93.232930961313087</v>
      </c>
      <c r="L31" s="10">
        <f ca="1">IF(tbl_AMD[[#This Row],[BB_Mean]]="", "", tbl_AMD[[#This Row],[BB_Mean]]-(BB_Width*tbl_AMD[[#This Row],[BB_Stdev]]))</f>
        <v>71.985643467258342</v>
      </c>
      <c r="M31" s="46">
        <f>IF(ROW(tbl_AMD[[#This Row],[Adj Close]])=5, 0, $F31-$F30)</f>
        <v>-2.2699960000000061</v>
      </c>
      <c r="N31" s="46">
        <f>MAX(tbl_AMD[[#This Row],[Move]],0)</f>
        <v>0</v>
      </c>
      <c r="O31" s="46">
        <f>MAX(-tbl_AMD[[#This Row],[Move]],0)</f>
        <v>2.2699960000000061</v>
      </c>
      <c r="P31" s="46">
        <f ca="1">IF(ROW($N31)-5&lt;RSI_Periods, "", AVERAGE(INDIRECT(ADDRESS(ROW($N31)-RSI_Periods +1, MATCH("Upmove", Price_Header,0))): INDIRECT(ADDRESS(ROW($N31),MATCH("Upmove", Price_Header,0)))))</f>
        <v>1.0135716428571431</v>
      </c>
      <c r="Q31" s="46">
        <f ca="1">IF(ROW($O31)-5&lt;RSI_Periods, "", AVERAGE(INDIRECT(ADDRESS(ROW($O31)-RSI_Periods +1, MATCH("Downmove", Price_Header,0))): INDIRECT(ADDRESS(ROW($O31),MATCH("Downmove", Price_Header,0)))))</f>
        <v>1.682142571428572</v>
      </c>
      <c r="R31" s="46">
        <f ca="1">IF(tbl_AMD[[#This Row],[Avg_Upmove]]="", "", tbl_AMD[[#This Row],[Avg_Upmove]]/tbl_AMD[[#This Row],[Avg_Downmove]])</f>
        <v>0.60254800043278134</v>
      </c>
      <c r="S31" s="10">
        <f ca="1">IF(ROW($N31)-4&lt;BB_Periods, "", _xlfn.STDEV.S(INDIRECT(ADDRESS(ROW($F31)-RSI_Periods +1, MATCH("Adj Close", Price_Header,0))): INDIRECT(ADDRESS(ROW($F31),MATCH("Adj Close", Price_Header,0)))))</f>
        <v>5.31182187351369</v>
      </c>
    </row>
    <row r="32" spans="1:19" x14ac:dyDescent="0.35">
      <c r="A32" s="8">
        <v>44091</v>
      </c>
      <c r="B32" s="10">
        <v>74.879997000000003</v>
      </c>
      <c r="C32" s="10">
        <v>76.629997000000003</v>
      </c>
      <c r="D32" s="10">
        <v>74.199996999999996</v>
      </c>
      <c r="E32" s="10">
        <v>76.550003000000004</v>
      </c>
      <c r="F32" s="10">
        <v>76.550003000000004</v>
      </c>
      <c r="G32">
        <v>55619100</v>
      </c>
      <c r="H32" s="10">
        <f>IF(tbl_AMD[[#This Row],[Date]]=$A$5, $F32, EMA_Beta*$H31 + (1-EMA_Beta)*$F32)</f>
        <v>80.908083597651668</v>
      </c>
      <c r="I32" s="46">
        <f ca="1">IF(tbl_AMD[[#This Row],[RS]]= "", "", 100-(100/(1+tbl_AMD[[#This Row],[RS]])))</f>
        <v>39.825991048107035</v>
      </c>
      <c r="J32" s="10">
        <f ca="1">IF(ROW($N32)-4&lt;BB_Periods, "", AVERAGE(INDIRECT(ADDRESS(ROW($F32)-RSI_Periods +1, MATCH("Adj Close", Price_Header,0))): INDIRECT(ADDRESS(ROW($F32),MATCH("Adj Close", Price_Header,0)))))</f>
        <v>82.09143007142859</v>
      </c>
      <c r="K32" s="10">
        <f ca="1">IF(tbl_AMD[[#This Row],[BB_Mean]]="", "", tbl_AMD[[#This Row],[BB_Mean]]+(BB_Width*tbl_AMD[[#This Row],[BB_Stdev]]))</f>
        <v>93.162439028695573</v>
      </c>
      <c r="L32" s="10">
        <f ca="1">IF(tbl_AMD[[#This Row],[BB_Mean]]="", "", tbl_AMD[[#This Row],[BB_Mean]]-(BB_Width*tbl_AMD[[#This Row],[BB_Stdev]]))</f>
        <v>71.020421114161607</v>
      </c>
      <c r="M32" s="46">
        <f>IF(ROW(tbl_AMD[[#This Row],[Adj Close]])=5, 0, $F32-$F31)</f>
        <v>-0.11000099999999691</v>
      </c>
      <c r="N32" s="46">
        <f>MAX(tbl_AMD[[#This Row],[Move]],0)</f>
        <v>0</v>
      </c>
      <c r="O32" s="46">
        <f>MAX(-tbl_AMD[[#This Row],[Move]],0)</f>
        <v>0.11000099999999691</v>
      </c>
      <c r="P32" s="46">
        <f ca="1">IF(ROW($N32)-5&lt;RSI_Periods, "", AVERAGE(INDIRECT(ADDRESS(ROW($N32)-RSI_Periods +1, MATCH("Upmove", Price_Header,0))): INDIRECT(ADDRESS(ROW($N32),MATCH("Upmove", Price_Header,0)))))</f>
        <v>1.0135716428571431</v>
      </c>
      <c r="Q32" s="46">
        <f ca="1">IF(ROW($O32)-5&lt;RSI_Periods, "", AVERAGE(INDIRECT(ADDRESS(ROW($O32)-RSI_Periods +1, MATCH("Downmove", Price_Header,0))): INDIRECT(ADDRESS(ROW($O32),MATCH("Downmove", Price_Header,0)))))</f>
        <v>1.5314287857142861</v>
      </c>
      <c r="R32" s="46">
        <f ca="1">IF(tbl_AMD[[#This Row],[Avg_Upmove]]="", "", tbl_AMD[[#This Row],[Avg_Upmove]]/tbl_AMD[[#This Row],[Avg_Downmove]])</f>
        <v>0.6618470622415491</v>
      </c>
      <c r="S32" s="10">
        <f ca="1">IF(ROW($N32)-4&lt;BB_Periods, "", _xlfn.STDEV.S(INDIRECT(ADDRESS(ROW($F32)-RSI_Periods +1, MATCH("Adj Close", Price_Header,0))): INDIRECT(ADDRESS(ROW($F32),MATCH("Adj Close", Price_Header,0)))))</f>
        <v>5.5355044786334915</v>
      </c>
    </row>
    <row r="33" spans="1:19" x14ac:dyDescent="0.35">
      <c r="A33" s="8">
        <v>44092</v>
      </c>
      <c r="B33" s="10">
        <v>77</v>
      </c>
      <c r="C33" s="10">
        <v>77.400002000000001</v>
      </c>
      <c r="D33" s="10">
        <v>73.849997999999999</v>
      </c>
      <c r="E33" s="10">
        <v>74.930000000000007</v>
      </c>
      <c r="F33" s="10">
        <v>74.930000000000007</v>
      </c>
      <c r="G33">
        <v>51082900</v>
      </c>
      <c r="H33" s="10">
        <f>IF(tbl_AMD[[#This Row],[Date]]=$A$5, $F33, EMA_Beta*$H32 + (1-EMA_Beta)*$F33)</f>
        <v>80.310275237886501</v>
      </c>
      <c r="I33" s="46">
        <f ca="1">IF(tbl_AMD[[#This Row],[RS]]= "", "", 100-(100/(1+tbl_AMD[[#This Row],[RS]])))</f>
        <v>35.042253087879502</v>
      </c>
      <c r="J33" s="10">
        <f ca="1">IF(ROW($N33)-4&lt;BB_Periods, "", AVERAGE(INDIRECT(ADDRESS(ROW($F33)-RSI_Periods +1, MATCH("Adj Close", Price_Header,0))): INDIRECT(ADDRESS(ROW($F33),MATCH("Adj Close", Price_Header,0)))))</f>
        <v>81.332858428571427</v>
      </c>
      <c r="K33" s="10">
        <f ca="1">IF(tbl_AMD[[#This Row],[BB_Mean]]="", "", tbl_AMD[[#This Row],[BB_Mean]]+(BB_Width*tbl_AMD[[#This Row],[BB_Stdev]]))</f>
        <v>92.830173816508207</v>
      </c>
      <c r="L33" s="10">
        <f ca="1">IF(tbl_AMD[[#This Row],[BB_Mean]]="", "", tbl_AMD[[#This Row],[BB_Mean]]-(BB_Width*tbl_AMD[[#This Row],[BB_Stdev]]))</f>
        <v>69.835543040634647</v>
      </c>
      <c r="M33" s="46">
        <f>IF(ROW(tbl_AMD[[#This Row],[Adj Close]])=5, 0, $F33-$F32)</f>
        <v>-1.620002999999997</v>
      </c>
      <c r="N33" s="46">
        <f>MAX(tbl_AMD[[#This Row],[Move]],0)</f>
        <v>0</v>
      </c>
      <c r="O33" s="46">
        <f>MAX(-tbl_AMD[[#This Row],[Move]],0)</f>
        <v>1.620002999999997</v>
      </c>
      <c r="P33" s="46">
        <f ca="1">IF(ROW($N33)-5&lt;RSI_Periods, "", AVERAGE(INDIRECT(ADDRESS(ROW($N33)-RSI_Periods +1, MATCH("Upmove", Price_Header,0))): INDIRECT(ADDRESS(ROW($N33),MATCH("Upmove", Price_Header,0)))))</f>
        <v>0.88857164285714318</v>
      </c>
      <c r="Q33" s="46">
        <f ca="1">IF(ROW($O33)-5&lt;RSI_Periods, "", AVERAGE(INDIRECT(ADDRESS(ROW($O33)-RSI_Periods +1, MATCH("Downmove", Price_Header,0))): INDIRECT(ADDRESS(ROW($O33),MATCH("Downmove", Price_Header,0)))))</f>
        <v>1.6471432857142858</v>
      </c>
      <c r="R33" s="46">
        <f ca="1">IF(tbl_AMD[[#This Row],[Avg_Upmove]]="", "", tbl_AMD[[#This Row],[Avg_Upmove]]/tbl_AMD[[#This Row],[Avg_Downmove]])</f>
        <v>0.53946226206532666</v>
      </c>
      <c r="S33" s="10">
        <f ca="1">IF(ROW($N33)-4&lt;BB_Periods, "", _xlfn.STDEV.S(INDIRECT(ADDRESS(ROW($F33)-RSI_Periods +1, MATCH("Adj Close", Price_Header,0))): INDIRECT(ADDRESS(ROW($F33),MATCH("Adj Close", Price_Header,0)))))</f>
        <v>5.7486576939683873</v>
      </c>
    </row>
    <row r="34" spans="1:19" x14ac:dyDescent="0.35">
      <c r="A34" s="8">
        <v>44095</v>
      </c>
      <c r="B34" s="10">
        <v>74.230002999999996</v>
      </c>
      <c r="C34" s="10">
        <v>77.980002999999996</v>
      </c>
      <c r="D34" s="10">
        <v>73.879997000000003</v>
      </c>
      <c r="E34" s="10">
        <v>77.940002000000007</v>
      </c>
      <c r="F34" s="10">
        <v>77.940002000000007</v>
      </c>
      <c r="G34">
        <v>61312000</v>
      </c>
      <c r="H34" s="10">
        <f>IF(tbl_AMD[[#This Row],[Date]]=$A$5, $F34, EMA_Beta*$H33 + (1-EMA_Beta)*$F34)</f>
        <v>80.073247914097848</v>
      </c>
      <c r="I34" s="46">
        <f ca="1">IF(tbl_AMD[[#This Row],[RS]]= "", "", 100-(100/(1+tbl_AMD[[#This Row],[RS]])))</f>
        <v>30.625763274347634</v>
      </c>
      <c r="J34" s="10">
        <f ca="1">IF(ROW($N34)-4&lt;BB_Periods, "", AVERAGE(INDIRECT(ADDRESS(ROW($F34)-RSI_Periods +1, MATCH("Adj Close", Price_Header,0))): INDIRECT(ADDRESS(ROW($F34),MATCH("Adj Close", Price_Header,0)))))</f>
        <v>80.412858571428572</v>
      </c>
      <c r="K34" s="10">
        <f ca="1">IF(tbl_AMD[[#This Row],[BB_Mean]]="", "", tbl_AMD[[#This Row],[BB_Mean]]+(BB_Width*tbl_AMD[[#This Row],[BB_Stdev]]))</f>
        <v>90.630006629022049</v>
      </c>
      <c r="L34" s="10">
        <f ca="1">IF(tbl_AMD[[#This Row],[BB_Mean]]="", "", tbl_AMD[[#This Row],[BB_Mean]]-(BB_Width*tbl_AMD[[#This Row],[BB_Stdev]]))</f>
        <v>70.195710513835095</v>
      </c>
      <c r="M34" s="46">
        <f>IF(ROW(tbl_AMD[[#This Row],[Adj Close]])=5, 0, $F34-$F33)</f>
        <v>3.0100020000000001</v>
      </c>
      <c r="N34" s="46">
        <f>MAX(tbl_AMD[[#This Row],[Move]],0)</f>
        <v>3.0100020000000001</v>
      </c>
      <c r="O34" s="46">
        <f>MAX(-tbl_AMD[[#This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0.72714342857142966</v>
      </c>
      <c r="Q34" s="46">
        <f ca="1">IF(ROW($O34)-5&lt;RSI_Periods, "", AVERAGE(INDIRECT(ADDRESS(ROW($O34)-RSI_Periods +1, MATCH("Downmove", Price_Header,0))): INDIRECT(ADDRESS(ROW($O34),MATCH("Downmove", Price_Header,0)))))</f>
        <v>1.6471432857142858</v>
      </c>
      <c r="R34" s="46">
        <f ca="1">IF(tbl_AMD[[#This Row],[Avg_Upmove]]="", "", tbl_AMD[[#This Row],[Avg_Upmove]]/tbl_AMD[[#This Row],[Avg_Downmove]])</f>
        <v>0.44145730057485738</v>
      </c>
      <c r="S34" s="10">
        <f ca="1">IF(ROW($N34)-4&lt;BB_Periods, "", _xlfn.STDEV.S(INDIRECT(ADDRESS(ROW($F34)-RSI_Periods +1, MATCH("Adj Close", Price_Header,0))): INDIRECT(ADDRESS(ROW($F34),MATCH("Adj Close", Price_Header,0)))))</f>
        <v>5.1085740287967409</v>
      </c>
    </row>
    <row r="35" spans="1:19" x14ac:dyDescent="0.35">
      <c r="A35" s="8">
        <v>44096</v>
      </c>
      <c r="B35" s="10">
        <v>78.360000999999997</v>
      </c>
      <c r="C35" s="10">
        <v>78.790001000000004</v>
      </c>
      <c r="D35" s="10">
        <v>75.269997000000004</v>
      </c>
      <c r="E35" s="10">
        <v>77.699996999999996</v>
      </c>
      <c r="F35" s="10">
        <v>77.699996999999996</v>
      </c>
      <c r="G35">
        <v>56044700</v>
      </c>
      <c r="H35" s="10">
        <f>IF(tbl_AMD[[#This Row],[Date]]=$A$5, $F35, EMA_Beta*$H34 + (1-EMA_Beta)*$F35)</f>
        <v>79.835922822688062</v>
      </c>
      <c r="I35" s="46">
        <f ca="1">IF(tbl_AMD[[#This Row],[RS]]= "", "", 100-(100/(1+tbl_AMD[[#This Row],[RS]])))</f>
        <v>27.459535438008302</v>
      </c>
      <c r="J35" s="10">
        <f ca="1">IF(ROW($N35)-4&lt;BB_Periods, "", AVERAGE(INDIRECT(ADDRESS(ROW($F35)-RSI_Periods +1, MATCH("Adj Close", Price_Header,0))): INDIRECT(ADDRESS(ROW($F35),MATCH("Adj Close", Price_Header,0)))))</f>
        <v>79.378572642857151</v>
      </c>
      <c r="K35" s="10">
        <f ca="1">IF(tbl_AMD[[#This Row],[BB_Mean]]="", "", tbl_AMD[[#This Row],[BB_Mean]]+(BB_Width*tbl_AMD[[#This Row],[BB_Stdev]]))</f>
        <v>87.088414685681173</v>
      </c>
      <c r="L35" s="10">
        <f ca="1">IF(tbl_AMD[[#This Row],[BB_Mean]]="", "", tbl_AMD[[#This Row],[BB_Mean]]-(BB_Width*tbl_AMD[[#This Row],[BB_Stdev]]))</f>
        <v>71.668730600033129</v>
      </c>
      <c r="M35" s="46">
        <f>IF(ROW(tbl_AMD[[#This Row],[Adj Close]])=5, 0, $F35-$F34)</f>
        <v>-0.24000500000001068</v>
      </c>
      <c r="N35" s="46">
        <f>MAX(tbl_AMD[[#This Row],[Move]],0)</f>
        <v>0</v>
      </c>
      <c r="O35" s="46">
        <f>MAX(-tbl_AMD[[#This Row],[Move]],0)</f>
        <v>0.24000500000001068</v>
      </c>
      <c r="P35" s="46">
        <f ca="1">IF(ROW($N35)-5&lt;RSI_Periods, "", AVERAGE(INDIRECT(ADDRESS(ROW($N35)-RSI_Periods +1, MATCH("Upmove", Price_Header,0))): INDIRECT(ADDRESS(ROW($N35),MATCH("Upmove", Price_Header,0)))))</f>
        <v>0.63000057142857158</v>
      </c>
      <c r="Q35" s="46">
        <f ca="1">IF(ROW($O35)-5&lt;RSI_Periods, "", AVERAGE(INDIRECT(ADDRESS(ROW($O35)-RSI_Periods +1, MATCH("Downmove", Price_Header,0))): INDIRECT(ADDRESS(ROW($O35),MATCH("Downmove", Price_Header,0)))))</f>
        <v>1.6642865000000009</v>
      </c>
      <c r="R35" s="46">
        <f ca="1">IF(tbl_AMD[[#This Row],[Avg_Upmove]]="", "", tbl_AMD[[#This Row],[Avg_Upmove]]/tbl_AMD[[#This Row],[Avg_Downmove]])</f>
        <v>0.37854093716951454</v>
      </c>
      <c r="S35" s="10">
        <f ca="1">IF(ROW($N35)-4&lt;BB_Periods, "", _xlfn.STDEV.S(INDIRECT(ADDRESS(ROW($F35)-RSI_Periods +1, MATCH("Adj Close", Price_Header,0))): INDIRECT(ADDRESS(ROW($F35),MATCH("Adj Close", Price_Header,0)))))</f>
        <v>3.8549210214120126</v>
      </c>
    </row>
    <row r="36" spans="1:19" x14ac:dyDescent="0.35">
      <c r="A36" s="8">
        <v>44097</v>
      </c>
      <c r="B36" s="10">
        <v>77.389999000000003</v>
      </c>
      <c r="C36" s="10">
        <v>77.910004000000001</v>
      </c>
      <c r="D36" s="10">
        <v>74.339995999999999</v>
      </c>
      <c r="E36" s="10">
        <v>74.730002999999996</v>
      </c>
      <c r="F36" s="10">
        <v>74.730002999999996</v>
      </c>
      <c r="G36">
        <v>42327500</v>
      </c>
      <c r="H36" s="10">
        <f>IF(tbl_AMD[[#This Row],[Date]]=$A$5, $F36, EMA_Beta*$H35 + (1-EMA_Beta)*$F36)</f>
        <v>79.325330840419255</v>
      </c>
      <c r="I36" s="46">
        <f ca="1">IF(tbl_AMD[[#This Row],[RS]]= "", "", 100-(100/(1+tbl_AMD[[#This Row],[RS]])))</f>
        <v>26.622409516639507</v>
      </c>
      <c r="J36" s="10">
        <f ca="1">IF(ROW($N36)-4&lt;BB_Periods, "", AVERAGE(INDIRECT(ADDRESS(ROW($F36)-RSI_Periods +1, MATCH("Adj Close", Price_Header,0))): INDIRECT(ADDRESS(ROW($F36),MATCH("Adj Close", Price_Header,0)))))</f>
        <v>78.272144214285703</v>
      </c>
      <c r="K36" s="10">
        <f ca="1">IF(tbl_AMD[[#This Row],[BB_Mean]]="", "", tbl_AMD[[#This Row],[BB_Mean]]+(BB_Width*tbl_AMD[[#This Row],[BB_Stdev]]))</f>
        <v>83.237236693490502</v>
      </c>
      <c r="L36" s="10">
        <f ca="1">IF(tbl_AMD[[#This Row],[BB_Mean]]="", "", tbl_AMD[[#This Row],[BB_Mean]]-(BB_Width*tbl_AMD[[#This Row],[BB_Stdev]]))</f>
        <v>73.307051735080904</v>
      </c>
      <c r="M36" s="46">
        <f>IF(ROW(tbl_AMD[[#This Row],[Adj Close]])=5, 0, $F36-$F35)</f>
        <v>-2.9699939999999998</v>
      </c>
      <c r="N36" s="46">
        <f>MAX(tbl_AMD[[#This Row],[Move]],0)</f>
        <v>0</v>
      </c>
      <c r="O36" s="46">
        <f>MAX(-tbl_AMD[[#This Row],[Move]],0)</f>
        <v>2.9699939999999998</v>
      </c>
      <c r="P36" s="46">
        <f ca="1">IF(ROW($N36)-5&lt;RSI_Periods, "", AVERAGE(INDIRECT(ADDRESS(ROW($N36)-RSI_Periods +1, MATCH("Upmove", Price_Header,0))): INDIRECT(ADDRESS(ROW($N36),MATCH("Upmove", Price_Header,0)))))</f>
        <v>0.63000057142857158</v>
      </c>
      <c r="Q36" s="46">
        <f ca="1">IF(ROW($O36)-5&lt;RSI_Periods, "", AVERAGE(INDIRECT(ADDRESS(ROW($O36)-RSI_Periods +1, MATCH("Downmove", Price_Header,0))): INDIRECT(ADDRESS(ROW($O36),MATCH("Downmove", Price_Header,0)))))</f>
        <v>1.736429</v>
      </c>
      <c r="R36" s="46">
        <f ca="1">IF(tbl_AMD[[#This Row],[Avg_Upmove]]="", "", tbl_AMD[[#This Row],[Avg_Upmove]]/tbl_AMD[[#This Row],[Avg_Downmove]])</f>
        <v>0.3628138964671585</v>
      </c>
      <c r="S36" s="10">
        <f ca="1">IF(ROW($N36)-4&lt;BB_Periods, "", _xlfn.STDEV.S(INDIRECT(ADDRESS(ROW($F36)-RSI_Periods +1, MATCH("Adj Close", Price_Header,0))): INDIRECT(ADDRESS(ROW($F36),MATCH("Adj Close", Price_Header,0)))))</f>
        <v>2.4825462396024025</v>
      </c>
    </row>
    <row r="37" spans="1:19" x14ac:dyDescent="0.35">
      <c r="A37" s="8">
        <v>44098</v>
      </c>
      <c r="B37" s="10">
        <v>74.540001000000004</v>
      </c>
      <c r="C37" s="10">
        <v>77.25</v>
      </c>
      <c r="D37" s="10">
        <v>73.900002000000001</v>
      </c>
      <c r="E37" s="10">
        <v>75.819999999999993</v>
      </c>
      <c r="F37" s="10">
        <v>75.819999999999993</v>
      </c>
      <c r="G37">
        <v>57540900</v>
      </c>
      <c r="H37" s="10">
        <f>IF(tbl_AMD[[#This Row],[Date]]=$A$5, $F37, EMA_Beta*$H36 + (1-EMA_Beta)*$F37)</f>
        <v>78.974797756377328</v>
      </c>
      <c r="I37" s="46">
        <f ca="1">IF(tbl_AMD[[#This Row],[RS]]= "", "", 100-(100/(1+tbl_AMD[[#This Row],[RS]])))</f>
        <v>37.339867718969657</v>
      </c>
      <c r="J37" s="10">
        <f ca="1">IF(ROW($N37)-4&lt;BB_Periods, "", AVERAGE(INDIRECT(ADDRESS(ROW($F37)-RSI_Periods +1, MATCH("Adj Close", Price_Header,0))): INDIRECT(ADDRESS(ROW($F37),MATCH("Adj Close", Price_Header,0)))))</f>
        <v>77.792144142857154</v>
      </c>
      <c r="K37" s="10">
        <f ca="1">IF(tbl_AMD[[#This Row],[BB_Mean]]="", "", tbl_AMD[[#This Row],[BB_Mean]]+(BB_Width*tbl_AMD[[#This Row],[BB_Stdev]]))</f>
        <v>82.253681461806224</v>
      </c>
      <c r="L37" s="10">
        <f ca="1">IF(tbl_AMD[[#This Row],[BB_Mean]]="", "", tbl_AMD[[#This Row],[BB_Mean]]-(BB_Width*tbl_AMD[[#This Row],[BB_Stdev]]))</f>
        <v>73.330606823908084</v>
      </c>
      <c r="M37" s="46">
        <f>IF(ROW(tbl_AMD[[#This Row],[Adj Close]])=5, 0, $F37-$F36)</f>
        <v>1.0899969999999968</v>
      </c>
      <c r="N37" s="46">
        <f>MAX(tbl_AMD[[#This Row],[Move]],0)</f>
        <v>1.0899969999999968</v>
      </c>
      <c r="O37" s="46">
        <f>MAX(-tbl_AMD[[#This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0.70785749999999992</v>
      </c>
      <c r="Q37" s="46">
        <f ca="1">IF(ROW($O37)-5&lt;RSI_Periods, "", AVERAGE(INDIRECT(ADDRESS(ROW($O37)-RSI_Periods +1, MATCH("Downmove", Price_Header,0))): INDIRECT(ADDRESS(ROW($O37),MATCH("Downmove", Price_Header,0)))))</f>
        <v>1.187857571428572</v>
      </c>
      <c r="R37" s="46">
        <f ca="1">IF(tbl_AMD[[#This Row],[Avg_Upmove]]="", "", tbl_AMD[[#This Row],[Avg_Upmove]]/tbl_AMD[[#This Row],[Avg_Downmove]])</f>
        <v>0.59591108986972074</v>
      </c>
      <c r="S37" s="10">
        <f ca="1">IF(ROW($N37)-4&lt;BB_Periods, "", _xlfn.STDEV.S(INDIRECT(ADDRESS(ROW($F37)-RSI_Periods +1, MATCH("Adj Close", Price_Header,0))): INDIRECT(ADDRESS(ROW($F37),MATCH("Adj Close", Price_Header,0)))))</f>
        <v>2.230768659474538</v>
      </c>
    </row>
    <row r="38" spans="1:19" x14ac:dyDescent="0.35">
      <c r="A38" s="8">
        <v>44099</v>
      </c>
      <c r="B38" s="10">
        <v>76.349997999999999</v>
      </c>
      <c r="C38" s="10">
        <v>78.199996999999996</v>
      </c>
      <c r="D38" s="10">
        <v>74.669998000000007</v>
      </c>
      <c r="E38" s="10">
        <v>78.059997999999993</v>
      </c>
      <c r="F38" s="10">
        <v>78.059997999999993</v>
      </c>
      <c r="G38">
        <v>48206200</v>
      </c>
      <c r="H38" s="10">
        <f>IF(tbl_AMD[[#This Row],[Date]]=$A$5, $F38, EMA_Beta*$H37 + (1-EMA_Beta)*$F38)</f>
        <v>78.883317780739588</v>
      </c>
      <c r="I38" s="46">
        <f ca="1">IF(tbl_AMD[[#This Row],[RS]]= "", "", 100-(100/(1+tbl_AMD[[#This Row],[RS]])))</f>
        <v>43.008844952621246</v>
      </c>
      <c r="J38" s="10">
        <f ca="1">IF(ROW($N38)-4&lt;BB_Periods, "", AVERAGE(INDIRECT(ADDRESS(ROW($F38)-RSI_Periods +1, MATCH("Adj Close", Price_Header,0))): INDIRECT(ADDRESS(ROW($F38),MATCH("Adj Close", Price_Header,0)))))</f>
        <v>77.510001000000003</v>
      </c>
      <c r="K38" s="10">
        <f ca="1">IF(tbl_AMD[[#This Row],[BB_Mean]]="", "", tbl_AMD[[#This Row],[BB_Mean]]+(BB_Width*tbl_AMD[[#This Row],[BB_Stdev]]))</f>
        <v>81.266399799180945</v>
      </c>
      <c r="L38" s="10">
        <f ca="1">IF(tbl_AMD[[#This Row],[BB_Mean]]="", "", tbl_AMD[[#This Row],[BB_Mean]]-(BB_Width*tbl_AMD[[#This Row],[BB_Stdev]]))</f>
        <v>73.75360220081906</v>
      </c>
      <c r="M38" s="46">
        <f>IF(ROW(tbl_AMD[[#This Row],[Adj Close]])=5, 0, $F38-$F37)</f>
        <v>2.2399979999999999</v>
      </c>
      <c r="N38" s="46">
        <f>MAX(tbl_AMD[[#This Row],[Move]],0)</f>
        <v>2.2399979999999999</v>
      </c>
      <c r="O38" s="46">
        <f>MAX(-tbl_AMD[[#This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0.86785735714285706</v>
      </c>
      <c r="Q38" s="46">
        <f ca="1">IF(ROW($O38)-5&lt;RSI_Periods, "", AVERAGE(INDIRECT(ADDRESS(ROW($O38)-RSI_Periods +1, MATCH("Downmove", Price_Header,0))): INDIRECT(ADDRESS(ROW($O38),MATCH("Downmove", Price_Header,0)))))</f>
        <v>1.1500005000000004</v>
      </c>
      <c r="R38" s="46">
        <f ca="1">IF(tbl_AMD[[#This Row],[Avg_Upmove]]="", "", tbl_AMD[[#This Row],[Avg_Upmove]]/tbl_AMD[[#This Row],[Avg_Downmove]])</f>
        <v>0.75465824331629139</v>
      </c>
      <c r="S38" s="10">
        <f ca="1">IF(ROW($N38)-4&lt;BB_Periods, "", _xlfn.STDEV.S(INDIRECT(ADDRESS(ROW($F38)-RSI_Periods +1, MATCH("Adj Close", Price_Header,0))): INDIRECT(ADDRESS(ROW($F38),MATCH("Adj Close", Price_Header,0)))))</f>
        <v>1.87819939959047</v>
      </c>
    </row>
    <row r="39" spans="1:19" x14ac:dyDescent="0.35">
      <c r="A39" s="8">
        <v>44102</v>
      </c>
      <c r="B39" s="10">
        <v>79.120002999999997</v>
      </c>
      <c r="C39" s="10">
        <v>79.569999999999993</v>
      </c>
      <c r="D39" s="10">
        <v>77.519997000000004</v>
      </c>
      <c r="E39" s="10">
        <v>79.480002999999996</v>
      </c>
      <c r="F39" s="10">
        <v>79.480002999999996</v>
      </c>
      <c r="G39">
        <v>48005500</v>
      </c>
      <c r="H39" s="10">
        <f>IF(tbl_AMD[[#This Row],[Date]]=$A$5, $F39, EMA_Beta*$H38 + (1-EMA_Beta)*$F39)</f>
        <v>78.942986302665631</v>
      </c>
      <c r="I39" s="46">
        <f ca="1">IF(tbl_AMD[[#This Row],[RS]]= "", "", 100-(100/(1+tbl_AMD[[#This Row],[RS]])))</f>
        <v>51.499052277579338</v>
      </c>
      <c r="J39" s="10">
        <f ca="1">IF(ROW($N39)-4&lt;BB_Periods, "", AVERAGE(INDIRECT(ADDRESS(ROW($F39)-RSI_Periods +1, MATCH("Adj Close", Price_Header,0))): INDIRECT(ADDRESS(ROW($F39),MATCH("Adj Close", Price_Header,0)))))</f>
        <v>77.56642964285713</v>
      </c>
      <c r="K39" s="10">
        <f ca="1">IF(tbl_AMD[[#This Row],[BB_Mean]]="", "", tbl_AMD[[#This Row],[BB_Mean]]+(BB_Width*tbl_AMD[[#This Row],[BB_Stdev]]))</f>
        <v>81.421622170656619</v>
      </c>
      <c r="L39" s="10">
        <f ca="1">IF(tbl_AMD[[#This Row],[BB_Mean]]="", "", tbl_AMD[[#This Row],[BB_Mean]]-(BB_Width*tbl_AMD[[#This Row],[BB_Stdev]]))</f>
        <v>73.711237115057642</v>
      </c>
      <c r="M39" s="46">
        <f>IF(ROW(tbl_AMD[[#This Row],[Adj Close]])=5, 0, $F39-$F38)</f>
        <v>1.4200050000000033</v>
      </c>
      <c r="N39" s="46">
        <f>MAX(tbl_AMD[[#This Row],[Move]],0)</f>
        <v>1.4200050000000033</v>
      </c>
      <c r="O39" s="46">
        <f>MAX(-tbl_AMD[[#This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0.96928628571428577</v>
      </c>
      <c r="Q39" s="46">
        <f ca="1">IF(ROW($O39)-5&lt;RSI_Periods, "", AVERAGE(INDIRECT(ADDRESS(ROW($O39)-RSI_Periods +1, MATCH("Downmove", Price_Header,0))): INDIRECT(ADDRESS(ROW($O39),MATCH("Downmove", Price_Header,0)))))</f>
        <v>0.91285764285714366</v>
      </c>
      <c r="R39" s="46">
        <f ca="1">IF(tbl_AMD[[#This Row],[Avg_Upmove]]="", "", tbl_AMD[[#This Row],[Avg_Upmove]]/tbl_AMD[[#This Row],[Avg_Downmove]])</f>
        <v>1.0618153808522945</v>
      </c>
      <c r="S39" s="10">
        <f ca="1">IF(ROW($N39)-4&lt;BB_Periods, "", _xlfn.STDEV.S(INDIRECT(ADDRESS(ROW($F39)-RSI_Periods +1, MATCH("Adj Close", Price_Header,0))): INDIRECT(ADDRESS(ROW($F39),MATCH("Adj Close", Price_Header,0)))))</f>
        <v>1.9275962638997428</v>
      </c>
    </row>
    <row r="40" spans="1:19" x14ac:dyDescent="0.35">
      <c r="A40" s="8">
        <v>44103</v>
      </c>
      <c r="B40" s="10">
        <v>79.300003000000004</v>
      </c>
      <c r="C40" s="10">
        <v>82.550003000000004</v>
      </c>
      <c r="D40" s="10">
        <v>79.300003000000004</v>
      </c>
      <c r="E40" s="10">
        <v>81.769997000000004</v>
      </c>
      <c r="F40" s="10">
        <v>81.769997000000004</v>
      </c>
      <c r="G40">
        <v>61568900</v>
      </c>
      <c r="H40" s="10">
        <f>IF(tbl_AMD[[#This Row],[Date]]=$A$5, $F40, EMA_Beta*$H39 + (1-EMA_Beta)*$F40)</f>
        <v>79.225687372399065</v>
      </c>
      <c r="I40" s="46">
        <f ca="1">IF(tbl_AMD[[#This Row],[RS]]= "", "", 100-(100/(1+tbl_AMD[[#This Row],[RS]])))</f>
        <v>49.724612585669242</v>
      </c>
      <c r="J40" s="10">
        <f ca="1">IF(ROW($N40)-4&lt;BB_Periods, "", AVERAGE(INDIRECT(ADDRESS(ROW($F40)-RSI_Periods +1, MATCH("Adj Close", Price_Header,0))): INDIRECT(ADDRESS(ROW($F40),MATCH("Adj Close", Price_Header,0)))))</f>
        <v>77.556429142857141</v>
      </c>
      <c r="K40" s="10">
        <f ca="1">IF(tbl_AMD[[#This Row],[BB_Mean]]="", "", tbl_AMD[[#This Row],[BB_Mean]]+(BB_Width*tbl_AMD[[#This Row],[BB_Stdev]]))</f>
        <v>81.363511442822571</v>
      </c>
      <c r="L40" s="10">
        <f ca="1">IF(tbl_AMD[[#This Row],[BB_Mean]]="", "", tbl_AMD[[#This Row],[BB_Mean]]-(BB_Width*tbl_AMD[[#This Row],[BB_Stdev]]))</f>
        <v>73.749346842891711</v>
      </c>
      <c r="M40" s="46">
        <f>IF(ROW(tbl_AMD[[#This Row],[Adj Close]])=5, 0, $F40-$F39)</f>
        <v>2.2899940000000072</v>
      </c>
      <c r="N40" s="46">
        <f>MAX(tbl_AMD[[#This Row],[Move]],0)</f>
        <v>2.2899940000000072</v>
      </c>
      <c r="O40" s="46">
        <f>MAX(-tbl_AMD[[#This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0.90285714285714391</v>
      </c>
      <c r="Q40" s="46">
        <f ca="1">IF(ROW($O40)-5&lt;RSI_Periods, "", AVERAGE(INDIRECT(ADDRESS(ROW($O40)-RSI_Periods +1, MATCH("Downmove", Price_Header,0))): INDIRECT(ADDRESS(ROW($O40),MATCH("Downmove", Price_Header,0)))))</f>
        <v>0.91285764285714366</v>
      </c>
      <c r="R40" s="46">
        <f ca="1">IF(tbl_AMD[[#This Row],[Avg_Upmove]]="", "", tbl_AMD[[#This Row],[Avg_Upmove]]/tbl_AMD[[#This Row],[Avg_Downmove]])</f>
        <v>0.98904484168122941</v>
      </c>
      <c r="S40" s="10">
        <f ca="1">IF(ROW($N40)-4&lt;BB_Periods, "", _xlfn.STDEV.S(INDIRECT(ADDRESS(ROW($F40)-RSI_Periods +1, MATCH("Adj Close", Price_Header,0))): INDIRECT(ADDRESS(ROW($F40),MATCH("Adj Close", Price_Header,0)))))</f>
        <v>1.9035411499827153</v>
      </c>
    </row>
    <row r="41" spans="1:19" x14ac:dyDescent="0.35">
      <c r="A41" s="8">
        <v>44104</v>
      </c>
      <c r="B41" s="10">
        <v>81.75</v>
      </c>
      <c r="C41" s="10">
        <v>82.940002000000007</v>
      </c>
      <c r="D41" s="10">
        <v>80.660004000000001</v>
      </c>
      <c r="E41" s="10">
        <v>81.989998</v>
      </c>
      <c r="F41" s="10">
        <v>81.989998</v>
      </c>
      <c r="G41">
        <v>51479700</v>
      </c>
      <c r="H41" s="10">
        <f>IF(tbl_AMD[[#This Row],[Date]]=$A$5, $F41, EMA_Beta*$H40 + (1-EMA_Beta)*$F41)</f>
        <v>79.502118435159161</v>
      </c>
      <c r="I41" s="46">
        <f ca="1">IF(tbl_AMD[[#This Row],[RS]]= "", "", 100-(100/(1+tbl_AMD[[#This Row],[RS]])))</f>
        <v>56.627023496734282</v>
      </c>
      <c r="J41" s="10">
        <f ca="1">IF(ROW($N41)-4&lt;BB_Periods, "", AVERAGE(INDIRECT(ADDRESS(ROW($F41)-RSI_Periods +1, MATCH("Adj Close", Price_Header,0))): INDIRECT(ADDRESS(ROW($F41),MATCH("Adj Close", Price_Header,0)))))</f>
        <v>77.771428785714292</v>
      </c>
      <c r="K41" s="10">
        <f ca="1">IF(tbl_AMD[[#This Row],[BB_Mean]]="", "", tbl_AMD[[#This Row],[BB_Mean]]+(BB_Width*tbl_AMD[[#This Row],[BB_Stdev]]))</f>
        <v>82.212077326709604</v>
      </c>
      <c r="L41" s="10">
        <f ca="1">IF(tbl_AMD[[#This Row],[BB_Mean]]="", "", tbl_AMD[[#This Row],[BB_Mean]]-(BB_Width*tbl_AMD[[#This Row],[BB_Stdev]]))</f>
        <v>73.33078024471898</v>
      </c>
      <c r="M41" s="46">
        <f>IF(ROW(tbl_AMD[[#This Row],[Adj Close]])=5, 0, $F41-$F40)</f>
        <v>0.22000099999999634</v>
      </c>
      <c r="N41" s="46">
        <f>MAX(tbl_AMD[[#This Row],[Move]],0)</f>
        <v>0.22000099999999634</v>
      </c>
      <c r="O41" s="46">
        <f>MAX(-tbl_AMD[[#This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0.91857150000000076</v>
      </c>
      <c r="Q41" s="46">
        <f ca="1">IF(ROW($O41)-5&lt;RSI_Periods, "", AVERAGE(INDIRECT(ADDRESS(ROW($O41)-RSI_Periods +1, MATCH("Downmove", Price_Header,0))): INDIRECT(ADDRESS(ROW($O41),MATCH("Downmove", Price_Header,0)))))</f>
        <v>0.70357185714285764</v>
      </c>
      <c r="R41" s="46">
        <f ca="1">IF(tbl_AMD[[#This Row],[Avg_Upmove]]="", "", tbl_AMD[[#This Row],[Avg_Upmove]]/tbl_AMD[[#This Row],[Avg_Downmove]])</f>
        <v>1.3055830625889975</v>
      </c>
      <c r="S41" s="10">
        <f ca="1">IF(ROW($N41)-4&lt;BB_Periods, "", _xlfn.STDEV.S(INDIRECT(ADDRESS(ROW($F41)-RSI_Periods +1, MATCH("Adj Close", Price_Header,0))): INDIRECT(ADDRESS(ROW($F41),MATCH("Adj Close", Price_Header,0)))))</f>
        <v>2.2203242704976569</v>
      </c>
    </row>
    <row r="42" spans="1:19" x14ac:dyDescent="0.35">
      <c r="A42" s="8">
        <v>44105</v>
      </c>
      <c r="B42" s="10">
        <v>83.059997999999993</v>
      </c>
      <c r="C42" s="10">
        <v>85.25</v>
      </c>
      <c r="D42" s="10">
        <v>82.860000999999997</v>
      </c>
      <c r="E42" s="10">
        <v>84.860000999999997</v>
      </c>
      <c r="F42" s="10">
        <v>84.860000999999997</v>
      </c>
      <c r="G42">
        <v>52177100</v>
      </c>
      <c r="H42" s="10">
        <f>IF(tbl_AMD[[#This Row],[Date]]=$A$5, $F42, EMA_Beta*$H41 + (1-EMA_Beta)*$F42)</f>
        <v>80.037906691643244</v>
      </c>
      <c r="I42" s="46">
        <f ca="1">IF(tbl_AMD[[#This Row],[RS]]= "", "", 100-(100/(1+tbl_AMD[[#This Row],[RS]])))</f>
        <v>68.570191555772666</v>
      </c>
      <c r="J42" s="10">
        <f ca="1">IF(ROW($N42)-4&lt;BB_Periods, "", AVERAGE(INDIRECT(ADDRESS(ROW($F42)-RSI_Periods +1, MATCH("Adj Close", Price_Header,0))): INDIRECT(ADDRESS(ROW($F42),MATCH("Adj Close", Price_Header,0)))))</f>
        <v>78.380000571428567</v>
      </c>
      <c r="K42" s="10">
        <f ca="1">IF(tbl_AMD[[#This Row],[BB_Mean]]="", "", tbl_AMD[[#This Row],[BB_Mean]]+(BB_Width*tbl_AMD[[#This Row],[BB_Stdev]]))</f>
        <v>84.120591262559529</v>
      </c>
      <c r="L42" s="10">
        <f ca="1">IF(tbl_AMD[[#This Row],[BB_Mean]]="", "", tbl_AMD[[#This Row],[BB_Mean]]-(BB_Width*tbl_AMD[[#This Row],[BB_Stdev]]))</f>
        <v>72.639409880297606</v>
      </c>
      <c r="M42" s="46">
        <f>IF(ROW(tbl_AMD[[#This Row],[Adj Close]])=5, 0, $F42-$F41)</f>
        <v>2.870002999999997</v>
      </c>
      <c r="N42" s="46">
        <f>MAX(tbl_AMD[[#This Row],[Move]],0)</f>
        <v>2.870002999999997</v>
      </c>
      <c r="O42" s="46">
        <f>MAX(-tbl_AMD[[#This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1.1235717142857149</v>
      </c>
      <c r="Q42" s="46">
        <f ca="1">IF(ROW($O42)-5&lt;RSI_Periods, "", AVERAGE(INDIRECT(ADDRESS(ROW($O42)-RSI_Periods +1, MATCH("Downmove", Price_Header,0))): INDIRECT(ADDRESS(ROW($O42),MATCH("Downmove", Price_Header,0)))))</f>
        <v>0.51499992857142929</v>
      </c>
      <c r="R42" s="46">
        <f ca="1">IF(tbl_AMD[[#This Row],[Avg_Upmove]]="", "", tbl_AMD[[#This Row],[Avg_Upmove]]/tbl_AMD[[#This Row],[Avg_Downmove]])</f>
        <v>2.1816929516911148</v>
      </c>
      <c r="S42" s="10">
        <f ca="1">IF(ROW($N42)-4&lt;BB_Periods, "", _xlfn.STDEV.S(INDIRECT(ADDRESS(ROW($F42)-RSI_Periods +1, MATCH("Adj Close", Price_Header,0))): INDIRECT(ADDRESS(ROW($F42),MATCH("Adj Close", Price_Header,0)))))</f>
        <v>2.8702953455654834</v>
      </c>
    </row>
    <row r="43" spans="1:19" x14ac:dyDescent="0.35">
      <c r="A43" s="8">
        <v>44106</v>
      </c>
      <c r="B43" s="10">
        <v>82.580001999999993</v>
      </c>
      <c r="C43" s="10">
        <v>84.650002000000001</v>
      </c>
      <c r="D43" s="10">
        <v>81.660004000000001</v>
      </c>
      <c r="E43" s="10">
        <v>81.800003000000004</v>
      </c>
      <c r="F43" s="10">
        <v>81.800003000000004</v>
      </c>
      <c r="G43">
        <v>52855100</v>
      </c>
      <c r="H43" s="10">
        <f>IF(tbl_AMD[[#This Row],[Date]]=$A$5, $F43, EMA_Beta*$H42 + (1-EMA_Beta)*$F43)</f>
        <v>80.21411632247893</v>
      </c>
      <c r="I43" s="46">
        <f ca="1">IF(tbl_AMD[[#This Row],[RS]]= "", "", 100-(100/(1+tbl_AMD[[#This Row],[RS]])))</f>
        <v>57.978727082390982</v>
      </c>
      <c r="J43" s="10">
        <f ca="1">IF(ROW($N43)-4&lt;BB_Periods, "", AVERAGE(INDIRECT(ADDRESS(ROW($F43)-RSI_Periods +1, MATCH("Adj Close", Price_Header,0))): INDIRECT(ADDRESS(ROW($F43),MATCH("Adj Close", Price_Header,0)))))</f>
        <v>78.65857207142858</v>
      </c>
      <c r="K43" s="10">
        <f ca="1">IF(tbl_AMD[[#This Row],[BB_Mean]]="", "", tbl_AMD[[#This Row],[BB_Mean]]+(BB_Width*tbl_AMD[[#This Row],[BB_Stdev]]))</f>
        <v>84.670901165097121</v>
      </c>
      <c r="L43" s="10">
        <f ca="1">IF(tbl_AMD[[#This Row],[BB_Mean]]="", "", tbl_AMD[[#This Row],[BB_Mean]]-(BB_Width*tbl_AMD[[#This Row],[BB_Stdev]]))</f>
        <v>72.646242977760039</v>
      </c>
      <c r="M43" s="46">
        <f>IF(ROW(tbl_AMD[[#This Row],[Adj Close]])=5, 0, $F43-$F42)</f>
        <v>-3.0599979999999931</v>
      </c>
      <c r="N43" s="46">
        <f>MAX(tbl_AMD[[#This Row],[Move]],0)</f>
        <v>0</v>
      </c>
      <c r="O43" s="46">
        <f>MAX(-tbl_AMD[[#This Row],[Move]],0)</f>
        <v>3.0599979999999931</v>
      </c>
      <c r="P43" s="46">
        <f ca="1">IF(ROW($N43)-5&lt;RSI_Periods, "", AVERAGE(INDIRECT(ADDRESS(ROW($N43)-RSI_Periods +1, MATCH("Upmove", Price_Header,0))): INDIRECT(ADDRESS(ROW($N43),MATCH("Upmove", Price_Header,0)))))</f>
        <v>1.0121427142857147</v>
      </c>
      <c r="Q43" s="46">
        <f ca="1">IF(ROW($O43)-5&lt;RSI_Periods, "", AVERAGE(INDIRECT(ADDRESS(ROW($O43)-RSI_Periods +1, MATCH("Downmove", Price_Header,0))): INDIRECT(ADDRESS(ROW($O43),MATCH("Downmove", Price_Header,0)))))</f>
        <v>0.73357121428571459</v>
      </c>
      <c r="R43" s="46">
        <f ca="1">IF(tbl_AMD[[#This Row],[Avg_Upmove]]="", "", tbl_AMD[[#This Row],[Avg_Upmove]]/tbl_AMD[[#This Row],[Avg_Downmove]])</f>
        <v>1.3797470437430508</v>
      </c>
      <c r="S43" s="10">
        <f ca="1">IF(ROW($N43)-4&lt;BB_Periods, "", _xlfn.STDEV.S(INDIRECT(ADDRESS(ROW($F43)-RSI_Periods +1, MATCH("Adj Close", Price_Header,0))): INDIRECT(ADDRESS(ROW($F43),MATCH("Adj Close", Price_Header,0)))))</f>
        <v>3.0061645468342717</v>
      </c>
    </row>
    <row r="44" spans="1:19" x14ac:dyDescent="0.35">
      <c r="A44" s="8">
        <v>44109</v>
      </c>
      <c r="B44" s="10">
        <v>82.550003000000004</v>
      </c>
      <c r="C44" s="10">
        <v>86.279999000000004</v>
      </c>
      <c r="D44" s="10">
        <v>82.550003000000004</v>
      </c>
      <c r="E44" s="10">
        <v>86.150002000000001</v>
      </c>
      <c r="F44" s="10">
        <v>86.150002000000001</v>
      </c>
      <c r="G44">
        <v>47056500</v>
      </c>
      <c r="H44" s="10">
        <f>IF(tbl_AMD[[#This Row],[Date]]=$A$5, $F44, EMA_Beta*$H43 + (1-EMA_Beta)*$F44)</f>
        <v>80.807704890231037</v>
      </c>
      <c r="I44" s="46">
        <f ca="1">IF(tbl_AMD[[#This Row],[RS]]= "", "", 100-(100/(1+tbl_AMD[[#This Row],[RS]])))</f>
        <v>63.004328242698584</v>
      </c>
      <c r="J44" s="10">
        <f ca="1">IF(ROW($N44)-4&lt;BB_Periods, "", AVERAGE(INDIRECT(ADDRESS(ROW($F44)-RSI_Periods +1, MATCH("Adj Close", Price_Header,0))): INDIRECT(ADDRESS(ROW($F44),MATCH("Adj Close", Price_Header,0)))))</f>
        <v>79.174286500000008</v>
      </c>
      <c r="K44" s="10">
        <f ca="1">IF(tbl_AMD[[#This Row],[BB_Mean]]="", "", tbl_AMD[[#This Row],[BB_Mean]]+(BB_Width*tbl_AMD[[#This Row],[BB_Stdev]]))</f>
        <v>86.40255831650019</v>
      </c>
      <c r="L44" s="10">
        <f ca="1">IF(tbl_AMD[[#This Row],[BB_Mean]]="", "", tbl_AMD[[#This Row],[BB_Mean]]-(BB_Width*tbl_AMD[[#This Row],[BB_Stdev]]))</f>
        <v>71.946014683499826</v>
      </c>
      <c r="M44" s="46">
        <f>IF(ROW(tbl_AMD[[#This Row],[Adj Close]])=5, 0, $F44-$F43)</f>
        <v>4.3499989999999968</v>
      </c>
      <c r="N44" s="46">
        <f>MAX(tbl_AMD[[#This Row],[Move]],0)</f>
        <v>4.3499989999999968</v>
      </c>
      <c r="O44" s="46">
        <f>MAX(-tbl_AMD[[#This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1.2492856428571426</v>
      </c>
      <c r="Q44" s="46">
        <f ca="1">IF(ROW($O44)-5&lt;RSI_Periods, "", AVERAGE(INDIRECT(ADDRESS(ROW($O44)-RSI_Periods +1, MATCH("Downmove", Price_Header,0))): INDIRECT(ADDRESS(ROW($O44),MATCH("Downmove", Price_Header,0)))))</f>
        <v>0.73357121428571459</v>
      </c>
      <c r="R44" s="46">
        <f ca="1">IF(tbl_AMD[[#This Row],[Avg_Upmove]]="", "", tbl_AMD[[#This Row],[Avg_Upmove]]/tbl_AMD[[#This Row],[Avg_Downmove]])</f>
        <v>1.703018900589746</v>
      </c>
      <c r="S44" s="10">
        <f ca="1">IF(ROW($N44)-4&lt;BB_Periods, "", _xlfn.STDEV.S(INDIRECT(ADDRESS(ROW($F44)-RSI_Periods +1, MATCH("Adj Close", Price_Header,0))): INDIRECT(ADDRESS(ROW($F44),MATCH("Adj Close", Price_Header,0)))))</f>
        <v>3.6141359082500939</v>
      </c>
    </row>
    <row r="45" spans="1:19" x14ac:dyDescent="0.35">
      <c r="A45" s="8">
        <v>44110</v>
      </c>
      <c r="B45" s="10">
        <v>86.209998999999996</v>
      </c>
      <c r="C45" s="10">
        <v>87.25</v>
      </c>
      <c r="D45" s="10">
        <v>83.540001000000004</v>
      </c>
      <c r="E45" s="10">
        <v>84.480002999999996</v>
      </c>
      <c r="F45" s="10">
        <v>84.480002999999996</v>
      </c>
      <c r="G45">
        <v>52725400</v>
      </c>
      <c r="H45" s="10">
        <f>IF(tbl_AMD[[#This Row],[Date]]=$A$5, $F45, EMA_Beta*$H44 + (1-EMA_Beta)*$F45)</f>
        <v>81.174934701207945</v>
      </c>
      <c r="I45" s="46">
        <f ca="1">IF(tbl_AMD[[#This Row],[RS]]= "", "", 100-(100/(1+tbl_AMD[[#This Row],[RS]])))</f>
        <v>64.396169528577673</v>
      </c>
      <c r="J45" s="10">
        <f ca="1">IF(ROW($N45)-4&lt;BB_Periods, "", AVERAGE(INDIRECT(ADDRESS(ROW($F45)-RSI_Periods +1, MATCH("Adj Close", Price_Header,0))): INDIRECT(ADDRESS(ROW($F45),MATCH("Adj Close", Price_Header,0)))))</f>
        <v>79.732857857142861</v>
      </c>
      <c r="K45" s="10">
        <f ca="1">IF(tbl_AMD[[#This Row],[BB_Mean]]="", "", tbl_AMD[[#This Row],[BB_Mean]]+(BB_Width*tbl_AMD[[#This Row],[BB_Stdev]]))</f>
        <v>87.323676245315525</v>
      </c>
      <c r="L45" s="10">
        <f ca="1">IF(tbl_AMD[[#This Row],[BB_Mean]]="", "", tbl_AMD[[#This Row],[BB_Mean]]-(BB_Width*tbl_AMD[[#This Row],[BB_Stdev]]))</f>
        <v>72.142039468970196</v>
      </c>
      <c r="M45" s="46">
        <f>IF(ROW(tbl_AMD[[#This Row],[Adj Close]])=5, 0, $F45-$F44)</f>
        <v>-1.6699990000000042</v>
      </c>
      <c r="N45" s="46">
        <f>MAX(tbl_AMD[[#This Row],[Move]],0)</f>
        <v>0</v>
      </c>
      <c r="O45" s="46">
        <f>MAX(-tbl_AMD[[#This Row],[Move]],0)</f>
        <v>1.6699990000000042</v>
      </c>
      <c r="P45" s="46">
        <f ca="1">IF(ROW($N45)-5&lt;RSI_Periods, "", AVERAGE(INDIRECT(ADDRESS(ROW($N45)-RSI_Periods +1, MATCH("Upmove", Price_Header,0))): INDIRECT(ADDRESS(ROW($N45),MATCH("Upmove", Price_Header,0)))))</f>
        <v>1.2492856428571426</v>
      </c>
      <c r="Q45" s="46">
        <f ca="1">IF(ROW($O45)-5&lt;RSI_Periods, "", AVERAGE(INDIRECT(ADDRESS(ROW($O45)-RSI_Periods +1, MATCH("Downmove", Price_Header,0))): INDIRECT(ADDRESS(ROW($O45),MATCH("Downmove", Price_Header,0)))))</f>
        <v>0.69071428571428584</v>
      </c>
      <c r="R45" s="46">
        <f ca="1">IF(tbl_AMD[[#This Row],[Avg_Upmove]]="", "", tbl_AMD[[#This Row],[Avg_Upmove]]/tbl_AMD[[#This Row],[Avg_Downmove]])</f>
        <v>1.8086865563598753</v>
      </c>
      <c r="S45" s="10">
        <f ca="1">IF(ROW($N45)-4&lt;BB_Periods, "", _xlfn.STDEV.S(INDIRECT(ADDRESS(ROW($F45)-RSI_Periods +1, MATCH("Adj Close", Price_Header,0))): INDIRECT(ADDRESS(ROW($F45),MATCH("Adj Close", Price_Header,0)))))</f>
        <v>3.7954091940863313</v>
      </c>
    </row>
    <row r="46" spans="1:19" x14ac:dyDescent="0.35">
      <c r="A46" s="8">
        <v>44111</v>
      </c>
      <c r="B46" s="10">
        <v>86.099997999999999</v>
      </c>
      <c r="C46" s="10">
        <v>87.790001000000004</v>
      </c>
      <c r="D46" s="10">
        <v>85.650002000000001</v>
      </c>
      <c r="E46" s="10">
        <v>86.690002000000007</v>
      </c>
      <c r="F46" s="10">
        <v>86.690002000000007</v>
      </c>
      <c r="G46">
        <v>43045700</v>
      </c>
      <c r="H46" s="10">
        <f>IF(tbl_AMD[[#This Row],[Date]]=$A$5, $F46, EMA_Beta*$H45 + (1-EMA_Beta)*$F46)</f>
        <v>81.726441431087153</v>
      </c>
      <c r="I46" s="46">
        <f ca="1">IF(tbl_AMD[[#This Row],[RS]]= "", "", 100-(100/(1+tbl_AMD[[#This Row],[RS]])))</f>
        <v>67.327409500417929</v>
      </c>
      <c r="J46" s="10">
        <f ca="1">IF(ROW($N46)-4&lt;BB_Periods, "", AVERAGE(INDIRECT(ADDRESS(ROW($F46)-RSI_Periods +1, MATCH("Adj Close", Price_Header,0))): INDIRECT(ADDRESS(ROW($F46),MATCH("Adj Close", Price_Header,0)))))</f>
        <v>80.457143500000001</v>
      </c>
      <c r="K46" s="10">
        <f ca="1">IF(tbl_AMD[[#This Row],[BB_Mean]]="", "", tbl_AMD[[#This Row],[BB_Mean]]+(BB_Width*tbl_AMD[[#This Row],[BB_Stdev]]))</f>
        <v>88.650832182728422</v>
      </c>
      <c r="L46" s="10">
        <f ca="1">IF(tbl_AMD[[#This Row],[BB_Mean]]="", "", tbl_AMD[[#This Row],[BB_Mean]]-(BB_Width*tbl_AMD[[#This Row],[BB_Stdev]]))</f>
        <v>72.26345481727158</v>
      </c>
      <c r="M46" s="46">
        <f>IF(ROW(tbl_AMD[[#This Row],[Adj Close]])=5, 0, $F46-$F45)</f>
        <v>2.2099990000000105</v>
      </c>
      <c r="N46" s="46">
        <f>MAX(tbl_AMD[[#This Row],[Move]],0)</f>
        <v>2.2099990000000105</v>
      </c>
      <c r="O46" s="46">
        <f>MAX(-tbl_AMD[[#This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1.4071427142857149</v>
      </c>
      <c r="Q46" s="46">
        <f ca="1">IF(ROW($O46)-5&lt;RSI_Periods, "", AVERAGE(INDIRECT(ADDRESS(ROW($O46)-RSI_Periods +1, MATCH("Downmove", Price_Header,0))): INDIRECT(ADDRESS(ROW($O46),MATCH("Downmove", Price_Header,0)))))</f>
        <v>0.68285707142857177</v>
      </c>
      <c r="R46" s="46">
        <f ca="1">IF(tbl_AMD[[#This Row],[Avg_Upmove]]="", "", tbl_AMD[[#This Row],[Avg_Upmove]]/tbl_AMD[[#This Row],[Avg_Downmove]])</f>
        <v>2.0606694624131237</v>
      </c>
      <c r="S46" s="10">
        <f ca="1">IF(ROW($N46)-4&lt;BB_Periods, "", _xlfn.STDEV.S(INDIRECT(ADDRESS(ROW($F46)-RSI_Periods +1, MATCH("Adj Close", Price_Header,0))): INDIRECT(ADDRESS(ROW($F46),MATCH("Adj Close", Price_Header,0)))))</f>
        <v>4.0968443413642124</v>
      </c>
    </row>
    <row r="47" spans="1:19" x14ac:dyDescent="0.35">
      <c r="A47" s="8">
        <v>44112</v>
      </c>
      <c r="B47" s="10">
        <v>88.110000999999997</v>
      </c>
      <c r="C47" s="10">
        <v>88.720000999999996</v>
      </c>
      <c r="D47" s="10">
        <v>85.949996999999996</v>
      </c>
      <c r="E47" s="10">
        <v>86.510002</v>
      </c>
      <c r="F47" s="10">
        <v>86.510002</v>
      </c>
      <c r="G47">
        <v>54240700</v>
      </c>
      <c r="H47" s="10">
        <f>IF(tbl_AMD[[#This Row],[Date]]=$A$5, $F47, EMA_Beta*$H46 + (1-EMA_Beta)*$F47)</f>
        <v>82.204797487978439</v>
      </c>
      <c r="I47" s="46">
        <f ca="1">IF(tbl_AMD[[#This Row],[RS]]= "", "", 100-(100/(1+tbl_AMD[[#This Row],[RS]])))</f>
        <v>70.812373288074724</v>
      </c>
      <c r="J47" s="10">
        <f ca="1">IF(ROW($N47)-4&lt;BB_Periods, "", AVERAGE(INDIRECT(ADDRESS(ROW($F47)-RSI_Periods +1, MATCH("Adj Close", Price_Header,0))): INDIRECT(ADDRESS(ROW($F47),MATCH("Adj Close", Price_Header,0)))))</f>
        <v>81.284286500000007</v>
      </c>
      <c r="K47" s="10">
        <f ca="1">IF(tbl_AMD[[#This Row],[BB_Mean]]="", "", tbl_AMD[[#This Row],[BB_Mean]]+(BB_Width*tbl_AMD[[#This Row],[BB_Stdev]]))</f>
        <v>89.412172011817248</v>
      </c>
      <c r="L47" s="10">
        <f ca="1">IF(tbl_AMD[[#This Row],[BB_Mean]]="", "", tbl_AMD[[#This Row],[BB_Mean]]-(BB_Width*tbl_AMD[[#This Row],[BB_Stdev]]))</f>
        <v>73.156400988182767</v>
      </c>
      <c r="M47" s="46">
        <f>IF(ROW(tbl_AMD[[#This Row],[Adj Close]])=5, 0, $F47-$F46)</f>
        <v>-0.18000000000000682</v>
      </c>
      <c r="N47" s="46">
        <f>MAX(tbl_AMD[[#This Row],[Move]],0)</f>
        <v>0</v>
      </c>
      <c r="O47" s="46">
        <f>MAX(-tbl_AMD[[#This Row],[Move]],0)</f>
        <v>0.18000000000000682</v>
      </c>
      <c r="P47" s="46">
        <f ca="1">IF(ROW($N47)-5&lt;RSI_Periods, "", AVERAGE(INDIRECT(ADDRESS(ROW($N47)-RSI_Periods +1, MATCH("Upmove", Price_Header,0))): INDIRECT(ADDRESS(ROW($N47),MATCH("Upmove", Price_Header,0)))))</f>
        <v>1.4071427142857149</v>
      </c>
      <c r="Q47" s="46">
        <f ca="1">IF(ROW($O47)-5&lt;RSI_Periods, "", AVERAGE(INDIRECT(ADDRESS(ROW($O47)-RSI_Periods +1, MATCH("Downmove", Price_Header,0))): INDIRECT(ADDRESS(ROW($O47),MATCH("Downmove", Price_Header,0)))))</f>
        <v>0.57999971428571528</v>
      </c>
      <c r="R47" s="46">
        <f ca="1">IF(tbl_AMD[[#This Row],[Avg_Upmove]]="", "", tbl_AMD[[#This Row],[Avg_Upmove]]/tbl_AMD[[#This Row],[Avg_Downmove]])</f>
        <v>2.42610932320656</v>
      </c>
      <c r="S47" s="10">
        <f ca="1">IF(ROW($N47)-4&lt;BB_Periods, "", _xlfn.STDEV.S(INDIRECT(ADDRESS(ROW($F47)-RSI_Periods +1, MATCH("Adj Close", Price_Header,0))): INDIRECT(ADDRESS(ROW($F47),MATCH("Adj Close", Price_Header,0)))))</f>
        <v>4.0639427559086183</v>
      </c>
    </row>
    <row r="48" spans="1:19" x14ac:dyDescent="0.35">
      <c r="A48" s="8">
        <v>44113</v>
      </c>
      <c r="B48" s="10">
        <v>84.739998</v>
      </c>
      <c r="C48" s="10">
        <v>85.75</v>
      </c>
      <c r="D48" s="10">
        <v>82.349997999999999</v>
      </c>
      <c r="E48" s="10">
        <v>83.099997999999999</v>
      </c>
      <c r="F48" s="10">
        <v>83.099997999999999</v>
      </c>
      <c r="G48">
        <v>80354400</v>
      </c>
      <c r="H48" s="10">
        <f>IF(tbl_AMD[[#This Row],[Date]]=$A$5, $F48, EMA_Beta*$H47 + (1-EMA_Beta)*$F48)</f>
        <v>82.294317539180597</v>
      </c>
      <c r="I48" s="46">
        <f ca="1">IF(tbl_AMD[[#This Row],[RS]]= "", "", 100-(100/(1+tbl_AMD[[#This Row],[RS]])))</f>
        <v>59.142446370297129</v>
      </c>
      <c r="J48" s="10">
        <f ca="1">IF(ROW($N48)-4&lt;BB_Periods, "", AVERAGE(INDIRECT(ADDRESS(ROW($F48)-RSI_Periods +1, MATCH("Adj Close", Price_Header,0))): INDIRECT(ADDRESS(ROW($F48),MATCH("Adj Close", Price_Header,0)))))</f>
        <v>81.652857642857143</v>
      </c>
      <c r="K48" s="10">
        <f ca="1">IF(tbl_AMD[[#This Row],[BB_Mean]]="", "", tbl_AMD[[#This Row],[BB_Mean]]+(BB_Width*tbl_AMD[[#This Row],[BB_Stdev]]))</f>
        <v>89.593288617681964</v>
      </c>
      <c r="L48" s="10">
        <f ca="1">IF(tbl_AMD[[#This Row],[BB_Mean]]="", "", tbl_AMD[[#This Row],[BB_Mean]]-(BB_Width*tbl_AMD[[#This Row],[BB_Stdev]]))</f>
        <v>73.712426668032322</v>
      </c>
      <c r="M48" s="46">
        <f>IF(ROW(tbl_AMD[[#This Row],[Adj Close]])=5, 0, $F48-$F47)</f>
        <v>-3.4100040000000007</v>
      </c>
      <c r="N48" s="46">
        <f>MAX(tbl_AMD[[#This Row],[Move]],0)</f>
        <v>0</v>
      </c>
      <c r="O48" s="46">
        <f>MAX(-tbl_AMD[[#This Row],[Move]],0)</f>
        <v>3.4100040000000007</v>
      </c>
      <c r="P48" s="46">
        <f ca="1">IF(ROW($N48)-5&lt;RSI_Periods, "", AVERAGE(INDIRECT(ADDRESS(ROW($N48)-RSI_Periods +1, MATCH("Upmove", Price_Header,0))): INDIRECT(ADDRESS(ROW($N48),MATCH("Upmove", Price_Header,0)))))</f>
        <v>1.1921425714285721</v>
      </c>
      <c r="Q48" s="46">
        <f ca="1">IF(ROW($O48)-5&lt;RSI_Periods, "", AVERAGE(INDIRECT(ADDRESS(ROW($O48)-RSI_Periods +1, MATCH("Downmove", Price_Header,0))): INDIRECT(ADDRESS(ROW($O48),MATCH("Downmove", Price_Header,0)))))</f>
        <v>0.82357142857142962</v>
      </c>
      <c r="R48" s="46">
        <f ca="1">IF(tbl_AMD[[#This Row],[Avg_Upmove]]="", "", tbl_AMD[[#This Row],[Avg_Upmove]]/tbl_AMD[[#This Row],[Avg_Downmove]])</f>
        <v>1.4475278404163041</v>
      </c>
      <c r="S48" s="10">
        <f ca="1">IF(ROW($N48)-4&lt;BB_Periods, "", _xlfn.STDEV.S(INDIRECT(ADDRESS(ROW($F48)-RSI_Periods +1, MATCH("Adj Close", Price_Header,0))): INDIRECT(ADDRESS(ROW($F48),MATCH("Adj Close", Price_Header,0)))))</f>
        <v>3.9702154874124083</v>
      </c>
    </row>
    <row r="49" spans="1:19" x14ac:dyDescent="0.35">
      <c r="A49" s="8">
        <v>44116</v>
      </c>
      <c r="B49" s="10">
        <v>83.650002000000001</v>
      </c>
      <c r="C49" s="10">
        <v>85.129997000000003</v>
      </c>
      <c r="D49" s="10">
        <v>83.120002999999997</v>
      </c>
      <c r="E49" s="10">
        <v>84.290001000000004</v>
      </c>
      <c r="F49" s="10">
        <v>84.290001000000004</v>
      </c>
      <c r="G49">
        <v>47669700</v>
      </c>
      <c r="H49" s="10">
        <f>IF(tbl_AMD[[#This Row],[Date]]=$A$5, $F49, EMA_Beta*$H48 + (1-EMA_Beta)*$F49)</f>
        <v>82.493885885262529</v>
      </c>
      <c r="I49" s="46">
        <f ca="1">IF(tbl_AMD[[#This Row],[RS]]= "", "", 100-(100/(1+tbl_AMD[[#This Row],[RS]])))</f>
        <v>61.295861082453435</v>
      </c>
      <c r="J49" s="10">
        <f ca="1">IF(ROW($N49)-4&lt;BB_Periods, "", AVERAGE(INDIRECT(ADDRESS(ROW($F49)-RSI_Periods +1, MATCH("Adj Close", Price_Header,0))): INDIRECT(ADDRESS(ROW($F49),MATCH("Adj Close", Price_Header,0)))))</f>
        <v>82.123572214285716</v>
      </c>
      <c r="K49" s="10">
        <f ca="1">IF(tbl_AMD[[#This Row],[BB_Mean]]="", "", tbl_AMD[[#This Row],[BB_Mean]]+(BB_Width*tbl_AMD[[#This Row],[BB_Stdev]]))</f>
        <v>89.832535032481616</v>
      </c>
      <c r="L49" s="10">
        <f ca="1">IF(tbl_AMD[[#This Row],[BB_Mean]]="", "", tbl_AMD[[#This Row],[BB_Mean]]-(BB_Width*tbl_AMD[[#This Row],[BB_Stdev]]))</f>
        <v>74.414609396089816</v>
      </c>
      <c r="M49" s="46">
        <f>IF(ROW(tbl_AMD[[#This Row],[Adj Close]])=5, 0, $F49-$F48)</f>
        <v>1.1900030000000044</v>
      </c>
      <c r="N49" s="46">
        <f>MAX(tbl_AMD[[#This Row],[Move]],0)</f>
        <v>1.1900030000000044</v>
      </c>
      <c r="O49" s="46">
        <f>MAX(-tbl_AMD[[#This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1.2771427857142865</v>
      </c>
      <c r="Q49" s="46">
        <f ca="1">IF(ROW($O49)-5&lt;RSI_Periods, "", AVERAGE(INDIRECT(ADDRESS(ROW($O49)-RSI_Periods +1, MATCH("Downmove", Price_Header,0))): INDIRECT(ADDRESS(ROW($O49),MATCH("Downmove", Price_Header,0)))))</f>
        <v>0.80642821428571465</v>
      </c>
      <c r="R49" s="46">
        <f ca="1">IF(tbl_AMD[[#This Row],[Avg_Upmove]]="", "", tbl_AMD[[#This Row],[Avg_Upmove]]/tbl_AMD[[#This Row],[Avg_Downmove]])</f>
        <v>1.5837030042971678</v>
      </c>
      <c r="S49" s="10">
        <f ca="1">IF(ROW($N49)-4&lt;BB_Periods, "", _xlfn.STDEV.S(INDIRECT(ADDRESS(ROW($F49)-RSI_Periods +1, MATCH("Adj Close", Price_Header,0))): INDIRECT(ADDRESS(ROW($F49),MATCH("Adj Close", Price_Header,0)))))</f>
        <v>3.8544814090979527</v>
      </c>
    </row>
    <row r="50" spans="1:19" x14ac:dyDescent="0.35">
      <c r="A50" s="8">
        <v>44117</v>
      </c>
      <c r="B50" s="10">
        <v>84.860000999999997</v>
      </c>
      <c r="C50" s="10">
        <v>86.089995999999999</v>
      </c>
      <c r="D50" s="10">
        <v>83.970000999999996</v>
      </c>
      <c r="E50" s="10">
        <v>85.279999000000004</v>
      </c>
      <c r="F50" s="10">
        <v>85.279999000000004</v>
      </c>
      <c r="G50">
        <v>42764100</v>
      </c>
      <c r="H50" s="10">
        <f>IF(tbl_AMD[[#This Row],[Date]]=$A$5, $F50, EMA_Beta*$H49 + (1-EMA_Beta)*$F50)</f>
        <v>82.772497196736282</v>
      </c>
      <c r="I50" s="46">
        <f ca="1">IF(tbl_AMD[[#This Row],[RS]]= "", "", 100-(100/(1+tbl_AMD[[#This Row],[RS]])))</f>
        <v>69.400508966569248</v>
      </c>
      <c r="J50" s="10">
        <f ca="1">IF(ROW($N50)-4&lt;BB_Periods, "", AVERAGE(INDIRECT(ADDRESS(ROW($F50)-RSI_Periods +1, MATCH("Adj Close", Price_Header,0))): INDIRECT(ADDRESS(ROW($F50),MATCH("Adj Close", Price_Header,0)))))</f>
        <v>82.877143357142856</v>
      </c>
      <c r="K50" s="10">
        <f ca="1">IF(tbl_AMD[[#This Row],[BB_Mean]]="", "", tbl_AMD[[#This Row],[BB_Mean]]+(BB_Width*tbl_AMD[[#This Row],[BB_Stdev]]))</f>
        <v>89.451904936074726</v>
      </c>
      <c r="L50" s="10">
        <f ca="1">IF(tbl_AMD[[#This Row],[BB_Mean]]="", "", tbl_AMD[[#This Row],[BB_Mean]]-(BB_Width*tbl_AMD[[#This Row],[BB_Stdev]]))</f>
        <v>76.302381778210986</v>
      </c>
      <c r="M50" s="46">
        <f>IF(ROW(tbl_AMD[[#This Row],[Adj Close]])=5, 0, $F50-$F49)</f>
        <v>0.98999799999999993</v>
      </c>
      <c r="N50" s="46">
        <f>MAX(tbl_AMD[[#This Row],[Move]],0)</f>
        <v>0.98999799999999993</v>
      </c>
      <c r="O50" s="46">
        <f>MAX(-tbl_AMD[[#This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1.3478569285714295</v>
      </c>
      <c r="Q50" s="46">
        <f ca="1">IF(ROW($O50)-5&lt;RSI_Periods, "", AVERAGE(INDIRECT(ADDRESS(ROW($O50)-RSI_Periods +1, MATCH("Downmove", Price_Header,0))): INDIRECT(ADDRESS(ROW($O50),MATCH("Downmove", Price_Header,0)))))</f>
        <v>0.59428578571428603</v>
      </c>
      <c r="R50" s="46">
        <f ca="1">IF(tbl_AMD[[#This Row],[Avg_Upmove]]="", "", tbl_AMD[[#This Row],[Avg_Upmove]]/tbl_AMD[[#This Row],[Avg_Downmove]])</f>
        <v>2.2680282129773786</v>
      </c>
      <c r="S50" s="10">
        <f ca="1">IF(ROW($N50)-4&lt;BB_Periods, "", _xlfn.STDEV.S(INDIRECT(ADDRESS(ROW($F50)-RSI_Periods +1, MATCH("Adj Close", Price_Header,0))): INDIRECT(ADDRESS(ROW($F50),MATCH("Adj Close", Price_Header,0)))))</f>
        <v>3.2873807894659315</v>
      </c>
    </row>
    <row r="51" spans="1:19" x14ac:dyDescent="0.35">
      <c r="A51" s="8">
        <v>44118</v>
      </c>
      <c r="B51" s="10">
        <v>85.860000999999997</v>
      </c>
      <c r="C51" s="10">
        <v>85.959998999999996</v>
      </c>
      <c r="D51" s="10">
        <v>83.459998999999996</v>
      </c>
      <c r="E51" s="10">
        <v>84.209998999999996</v>
      </c>
      <c r="F51" s="10">
        <v>84.209998999999996</v>
      </c>
      <c r="G51">
        <v>40446700</v>
      </c>
      <c r="H51" s="10">
        <f>IF(tbl_AMD[[#This Row],[Date]]=$A$5, $F51, EMA_Beta*$H50 + (1-EMA_Beta)*$F51)</f>
        <v>82.91624737706266</v>
      </c>
      <c r="I51" s="46">
        <f ca="1">IF(tbl_AMD[[#This Row],[RS]]= "", "", 100-(100/(1+tbl_AMD[[#This Row],[RS]])))</f>
        <v>65.43982092602792</v>
      </c>
      <c r="J51" s="10">
        <f ca="1">IF(ROW($N51)-4&lt;BB_Periods, "", AVERAGE(INDIRECT(ADDRESS(ROW($F51)-RSI_Periods +1, MATCH("Adj Close", Price_Header,0))): INDIRECT(ADDRESS(ROW($F51),MATCH("Adj Close", Price_Header,0)))))</f>
        <v>83.47642900000001</v>
      </c>
      <c r="K51" s="10">
        <f ca="1">IF(tbl_AMD[[#This Row],[BB_Mean]]="", "", tbl_AMD[[#This Row],[BB_Mean]]+(BB_Width*tbl_AMD[[#This Row],[BB_Stdev]]))</f>
        <v>88.663233790011802</v>
      </c>
      <c r="L51" s="10">
        <f ca="1">IF(tbl_AMD[[#This Row],[BB_Mean]]="", "", tbl_AMD[[#This Row],[BB_Mean]]-(BB_Width*tbl_AMD[[#This Row],[BB_Stdev]]))</f>
        <v>78.289624209988219</v>
      </c>
      <c r="M51" s="46">
        <f>IF(ROW(tbl_AMD[[#This Row],[Adj Close]])=5, 0, $F51-$F50)</f>
        <v>-1.0700000000000074</v>
      </c>
      <c r="N51" s="46">
        <f>MAX(tbl_AMD[[#This Row],[Move]],0)</f>
        <v>0</v>
      </c>
      <c r="O51" s="46">
        <f>MAX(-tbl_AMD[[#This Row],[Move]],0)</f>
        <v>1.0700000000000074</v>
      </c>
      <c r="P51" s="46">
        <f ca="1">IF(ROW($N51)-5&lt;RSI_Periods, "", AVERAGE(INDIRECT(ADDRESS(ROW($N51)-RSI_Periods +1, MATCH("Upmove", Price_Header,0))): INDIRECT(ADDRESS(ROW($N51),MATCH("Upmove", Price_Header,0)))))</f>
        <v>1.2700000000000011</v>
      </c>
      <c r="Q51" s="46">
        <f ca="1">IF(ROW($O51)-5&lt;RSI_Periods, "", AVERAGE(INDIRECT(ADDRESS(ROW($O51)-RSI_Periods +1, MATCH("Downmove", Price_Header,0))): INDIRECT(ADDRESS(ROW($O51),MATCH("Downmove", Price_Header,0)))))</f>
        <v>0.67071435714285799</v>
      </c>
      <c r="R51" s="46">
        <f ca="1">IF(tbl_AMD[[#This Row],[Avg_Upmove]]="", "", tbl_AMD[[#This Row],[Avg_Upmove]]/tbl_AMD[[#This Row],[Avg_Downmove]])</f>
        <v>1.8935035257184736</v>
      </c>
      <c r="S51" s="10">
        <f ca="1">IF(ROW($N51)-4&lt;BB_Periods, "", _xlfn.STDEV.S(INDIRECT(ADDRESS(ROW($F51)-RSI_Periods +1, MATCH("Adj Close", Price_Header,0))): INDIRECT(ADDRESS(ROW($F51),MATCH("Adj Close", Price_Header,0)))))</f>
        <v>2.5934023950058958</v>
      </c>
    </row>
    <row r="52" spans="1:19" x14ac:dyDescent="0.35">
      <c r="A52" s="8">
        <v>44119</v>
      </c>
      <c r="B52" s="10">
        <v>83.400002000000001</v>
      </c>
      <c r="C52" s="10">
        <v>84.720000999999996</v>
      </c>
      <c r="D52" s="10">
        <v>82.419998000000007</v>
      </c>
      <c r="E52" s="10">
        <v>83.129997000000003</v>
      </c>
      <c r="F52" s="10">
        <v>83.129997000000003</v>
      </c>
      <c r="G52">
        <v>33696400</v>
      </c>
      <c r="H52" s="10">
        <f>IF(tbl_AMD[[#This Row],[Date]]=$A$5, $F52, EMA_Beta*$H51 + (1-EMA_Beta)*$F52)</f>
        <v>82.937622339356409</v>
      </c>
      <c r="I52" s="46">
        <f ca="1">IF(tbl_AMD[[#This Row],[RS]]= "", "", 100-(100/(1+tbl_AMD[[#This Row],[RS]])))</f>
        <v>59.746247645857828</v>
      </c>
      <c r="J52" s="10">
        <f ca="1">IF(ROW($N52)-4&lt;BB_Periods, "", AVERAGE(INDIRECT(ADDRESS(ROW($F52)-RSI_Periods +1, MATCH("Adj Close", Price_Header,0))): INDIRECT(ADDRESS(ROW($F52),MATCH("Adj Close", Price_Header,0)))))</f>
        <v>83.838571785714294</v>
      </c>
      <c r="K52" s="10">
        <f ca="1">IF(tbl_AMD[[#This Row],[BB_Mean]]="", "", tbl_AMD[[#This Row],[BB_Mean]]+(BB_Width*tbl_AMD[[#This Row],[BB_Stdev]]))</f>
        <v>88.003657233648354</v>
      </c>
      <c r="L52" s="10">
        <f ca="1">IF(tbl_AMD[[#This Row],[BB_Mean]]="", "", tbl_AMD[[#This Row],[BB_Mean]]-(BB_Width*tbl_AMD[[#This Row],[BB_Stdev]]))</f>
        <v>79.673486337780233</v>
      </c>
      <c r="M52" s="46">
        <f>IF(ROW(tbl_AMD[[#This Row],[Adj Close]])=5, 0, $F52-$F51)</f>
        <v>-1.0800019999999932</v>
      </c>
      <c r="N52" s="46">
        <f>MAX(tbl_AMD[[#This Row],[Move]],0)</f>
        <v>0</v>
      </c>
      <c r="O52" s="46">
        <f>MAX(-tbl_AMD[[#This Row],[Move]],0)</f>
        <v>1.0800019999999932</v>
      </c>
      <c r="P52" s="46">
        <f ca="1">IF(ROW($N52)-5&lt;RSI_Periods, "", AVERAGE(INDIRECT(ADDRESS(ROW($N52)-RSI_Periods +1, MATCH("Upmove", Price_Header,0))): INDIRECT(ADDRESS(ROW($N52),MATCH("Upmove", Price_Header,0)))))</f>
        <v>1.110000142857144</v>
      </c>
      <c r="Q52" s="46">
        <f ca="1">IF(ROW($O52)-5&lt;RSI_Periods, "", AVERAGE(INDIRECT(ADDRESS(ROW($O52)-RSI_Periods +1, MATCH("Downmove", Price_Header,0))): INDIRECT(ADDRESS(ROW($O52),MATCH("Downmove", Price_Header,0)))))</f>
        <v>0.7478573571428575</v>
      </c>
      <c r="R52" s="46">
        <f ca="1">IF(tbl_AMD[[#This Row],[Avg_Upmove]]="", "", tbl_AMD[[#This Row],[Avg_Upmove]]/tbl_AMD[[#This Row],[Avg_Downmove]])</f>
        <v>1.484240453417254</v>
      </c>
      <c r="S52" s="10">
        <f ca="1">IF(ROW($N52)-4&lt;BB_Periods, "", _xlfn.STDEV.S(INDIRECT(ADDRESS(ROW($F52)-RSI_Periods +1, MATCH("Adj Close", Price_Header,0))): INDIRECT(ADDRESS(ROW($F52),MATCH("Adj Close", Price_Header,0)))))</f>
        <v>2.0825427239670335</v>
      </c>
    </row>
    <row r="53" spans="1:19" x14ac:dyDescent="0.35">
      <c r="A53" s="8">
        <v>44120</v>
      </c>
      <c r="B53" s="10">
        <v>83.540001000000004</v>
      </c>
      <c r="C53" s="10">
        <v>83.989998</v>
      </c>
      <c r="D53" s="10">
        <v>82.410004000000001</v>
      </c>
      <c r="E53" s="10">
        <v>83.169998000000007</v>
      </c>
      <c r="F53" s="10">
        <v>83.169998000000007</v>
      </c>
      <c r="G53">
        <v>31474300</v>
      </c>
      <c r="H53" s="10">
        <f>IF(tbl_AMD[[#This Row],[Date]]=$A$5, $F53, EMA_Beta*$H52 + (1-EMA_Beta)*$F53)</f>
        <v>82.960859905420776</v>
      </c>
      <c r="I53" s="46">
        <f ca="1">IF(tbl_AMD[[#This Row],[RS]]= "", "", 100-(100/(1+tbl_AMD[[#This Row],[RS]])))</f>
        <v>57.490854344666914</v>
      </c>
      <c r="J53" s="10">
        <f ca="1">IF(ROW($N53)-4&lt;BB_Periods, "", AVERAGE(INDIRECT(ADDRESS(ROW($F53)-RSI_Periods +1, MATCH("Adj Close", Price_Header,0))): INDIRECT(ADDRESS(ROW($F53),MATCH("Adj Close", Price_Header,0)))))</f>
        <v>84.102142857142866</v>
      </c>
      <c r="K53" s="10">
        <f ca="1">IF(tbl_AMD[[#This Row],[BB_Mean]]="", "", tbl_AMD[[#This Row],[BB_Mean]]+(BB_Width*tbl_AMD[[#This Row],[BB_Stdev]]))</f>
        <v>87.469775564794645</v>
      </c>
      <c r="L53" s="10">
        <f ca="1">IF(tbl_AMD[[#This Row],[BB_Mean]]="", "", tbl_AMD[[#This Row],[BB_Mean]]-(BB_Width*tbl_AMD[[#This Row],[BB_Stdev]]))</f>
        <v>80.734510149491086</v>
      </c>
      <c r="M53" s="46">
        <f>IF(ROW(tbl_AMD[[#This Row],[Adj Close]])=5, 0, $F53-$F52)</f>
        <v>4.0001000000003728E-2</v>
      </c>
      <c r="N53" s="46">
        <f>MAX(tbl_AMD[[#This Row],[Move]],0)</f>
        <v>4.0001000000003728E-2</v>
      </c>
      <c r="O53" s="46">
        <f>MAX(-tbl_AMD[[#This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1.0114284285714297</v>
      </c>
      <c r="Q53" s="46">
        <f ca="1">IF(ROW($O53)-5&lt;RSI_Periods, "", AVERAGE(INDIRECT(ADDRESS(ROW($O53)-RSI_Periods +1, MATCH("Downmove", Price_Header,0))): INDIRECT(ADDRESS(ROW($O53),MATCH("Downmove", Price_Header,0)))))</f>
        <v>0.7478573571428575</v>
      </c>
      <c r="R53" s="46">
        <f ca="1">IF(tbl_AMD[[#This Row],[Avg_Upmove]]="", "", tbl_AMD[[#This Row],[Avg_Upmove]]/tbl_AMD[[#This Row],[Avg_Downmove]])</f>
        <v>1.352434951546815</v>
      </c>
      <c r="S53" s="10">
        <f ca="1">IF(ROW($N53)-4&lt;BB_Periods, "", _xlfn.STDEV.S(INDIRECT(ADDRESS(ROW($F53)-RSI_Periods +1, MATCH("Adj Close", Price_Header,0))): INDIRECT(ADDRESS(ROW($F53),MATCH("Adj Close", Price_Header,0)))))</f>
        <v>1.6838163538258903</v>
      </c>
    </row>
    <row r="54" spans="1:19" x14ac:dyDescent="0.35">
      <c r="A54" s="8">
        <v>44123</v>
      </c>
      <c r="B54" s="10">
        <v>83.620002999999997</v>
      </c>
      <c r="C54" s="10">
        <v>84.650002000000001</v>
      </c>
      <c r="D54" s="10">
        <v>81.529999000000004</v>
      </c>
      <c r="E54" s="10">
        <v>82</v>
      </c>
      <c r="F54" s="10">
        <v>82</v>
      </c>
      <c r="G54">
        <v>36689100</v>
      </c>
      <c r="H54" s="10">
        <f>IF(tbl_AMD[[#This Row],[Date]]=$A$5, $F54, EMA_Beta*$H53 + (1-EMA_Beta)*$F54)</f>
        <v>82.864773914878697</v>
      </c>
      <c r="I54" s="46">
        <f ca="1">IF(tbl_AMD[[#This Row],[RS]]= "", "", 100-(100/(1+tbl_AMD[[#This Row],[RS]])))</f>
        <v>50.489159827911557</v>
      </c>
      <c r="J54" s="10">
        <f ca="1">IF(ROW($N54)-4&lt;BB_Periods, "", AVERAGE(INDIRECT(ADDRESS(ROW($F54)-RSI_Periods +1, MATCH("Adj Close", Price_Header,0))): INDIRECT(ADDRESS(ROW($F54),MATCH("Adj Close", Price_Header,0)))))</f>
        <v>84.118571642857134</v>
      </c>
      <c r="K54" s="10">
        <f ca="1">IF(tbl_AMD[[#This Row],[BB_Mean]]="", "", tbl_AMD[[#This Row],[BB_Mean]]+(BB_Width*tbl_AMD[[#This Row],[BB_Stdev]]))</f>
        <v>87.439109564857915</v>
      </c>
      <c r="L54" s="10">
        <f ca="1">IF(tbl_AMD[[#This Row],[BB_Mean]]="", "", tbl_AMD[[#This Row],[BB_Mean]]-(BB_Width*tbl_AMD[[#This Row],[BB_Stdev]]))</f>
        <v>80.798033720856353</v>
      </c>
      <c r="M54" s="46">
        <f>IF(ROW(tbl_AMD[[#This Row],[Adj Close]])=5, 0, $F54-$F53)</f>
        <v>-1.1699980000000068</v>
      </c>
      <c r="N54" s="46">
        <f>MAX(tbl_AMD[[#This Row],[Move]],0)</f>
        <v>0</v>
      </c>
      <c r="O54" s="46">
        <f>MAX(-tbl_AMD[[#This Row],[Move]],0)</f>
        <v>1.1699980000000068</v>
      </c>
      <c r="P54" s="46">
        <f ca="1">IF(ROW($N54)-5&lt;RSI_Periods, "", AVERAGE(INDIRECT(ADDRESS(ROW($N54)-RSI_Periods +1, MATCH("Upmove", Price_Header,0))): INDIRECT(ADDRESS(ROW($N54),MATCH("Upmove", Price_Header,0)))))</f>
        <v>0.84785742857142921</v>
      </c>
      <c r="Q54" s="46">
        <f ca="1">IF(ROW($O54)-5&lt;RSI_Periods, "", AVERAGE(INDIRECT(ADDRESS(ROW($O54)-RSI_Periods +1, MATCH("Downmove", Price_Header,0))): INDIRECT(ADDRESS(ROW($O54),MATCH("Downmove", Price_Header,0)))))</f>
        <v>0.83142864285714368</v>
      </c>
      <c r="R54" s="46">
        <f ca="1">IF(tbl_AMD[[#This Row],[Avg_Upmove]]="", "", tbl_AMD[[#This Row],[Avg_Upmove]]/tbl_AMD[[#This Row],[Avg_Downmove]])</f>
        <v>1.0197597062062105</v>
      </c>
      <c r="S54" s="10">
        <f ca="1">IF(ROW($N54)-4&lt;BB_Periods, "", _xlfn.STDEV.S(INDIRECT(ADDRESS(ROW($F54)-RSI_Periods +1, MATCH("Adj Close", Price_Header,0))): INDIRECT(ADDRESS(ROW($F54),MATCH("Adj Close", Price_Header,0)))))</f>
        <v>1.6602689610003931</v>
      </c>
    </row>
    <row r="55" spans="1:19" x14ac:dyDescent="0.35">
      <c r="A55" s="8">
        <v>44124</v>
      </c>
      <c r="B55" s="10">
        <v>82.16</v>
      </c>
      <c r="C55" s="10">
        <v>82.69</v>
      </c>
      <c r="D55" s="10">
        <v>20.58</v>
      </c>
      <c r="E55" s="10">
        <v>81.56</v>
      </c>
      <c r="F55" s="10">
        <v>81.56</v>
      </c>
      <c r="G55">
        <v>38219400</v>
      </c>
      <c r="H55" s="10">
        <f>IF(tbl_AMD[[#This Row],[Date]]=$A$5, $F55, EMA_Beta*$H54 + (1-EMA_Beta)*$F55)</f>
        <v>82.734296523390839</v>
      </c>
      <c r="I55" s="46">
        <f ca="1">IF(tbl_AMD[[#This Row],[RS]]= "", "", 100-(100/(1+tbl_AMD[[#This Row],[RS]])))</f>
        <v>49.093978239531694</v>
      </c>
      <c r="J55" s="10">
        <f ca="1">IF(ROW($N55)-4&lt;BB_Periods, "", AVERAGE(INDIRECT(ADDRESS(ROW($F55)-RSI_Periods +1, MATCH("Adj Close", Price_Header,0))): INDIRECT(ADDRESS(ROW($F55),MATCH("Adj Close", Price_Header,0)))))</f>
        <v>84.087857499999998</v>
      </c>
      <c r="K55" s="10">
        <f ca="1">IF(tbl_AMD[[#This Row],[BB_Mean]]="", "", tbl_AMD[[#This Row],[BB_Mean]]+(BB_Width*tbl_AMD[[#This Row],[BB_Stdev]]))</f>
        <v>87.499902471106083</v>
      </c>
      <c r="L55" s="10">
        <f ca="1">IF(tbl_AMD[[#This Row],[BB_Mean]]="", "", tbl_AMD[[#This Row],[BB_Mean]]-(BB_Width*tbl_AMD[[#This Row],[BB_Stdev]]))</f>
        <v>80.675812528893914</v>
      </c>
      <c r="M55" s="46">
        <f>IF(ROW(tbl_AMD[[#This Row],[Adj Close]])=5, 0, $F55-$F54)</f>
        <v>-0.43999999999999773</v>
      </c>
      <c r="N55" s="46">
        <f>MAX(tbl_AMD[[#This Row],[Move]],0)</f>
        <v>0</v>
      </c>
      <c r="O55" s="46">
        <f>MAX(-tbl_AMD[[#This Row],[Move]],0)</f>
        <v>0.43999999999999773</v>
      </c>
      <c r="P55" s="46">
        <f ca="1">IF(ROW($N55)-5&lt;RSI_Periods, "", AVERAGE(INDIRECT(ADDRESS(ROW($N55)-RSI_Periods +1, MATCH("Upmove", Price_Header,0))): INDIRECT(ADDRESS(ROW($N55),MATCH("Upmove", Price_Header,0)))))</f>
        <v>0.83214307142857236</v>
      </c>
      <c r="Q55" s="46">
        <f ca="1">IF(ROW($O55)-5&lt;RSI_Periods, "", AVERAGE(INDIRECT(ADDRESS(ROW($O55)-RSI_Periods +1, MATCH("Downmove", Price_Header,0))): INDIRECT(ADDRESS(ROW($O55),MATCH("Downmove", Price_Header,0)))))</f>
        <v>0.86285721428571505</v>
      </c>
      <c r="R55" s="46">
        <f ca="1">IF(tbl_AMD[[#This Row],[Avg_Upmove]]="", "", tbl_AMD[[#This Row],[Avg_Upmove]]/tbl_AMD[[#This Row],[Avg_Downmove]])</f>
        <v>0.96440414201952485</v>
      </c>
      <c r="S55" s="10">
        <f ca="1">IF(ROW($N55)-4&lt;BB_Periods, "", _xlfn.STDEV.S(INDIRECT(ADDRESS(ROW($F55)-RSI_Periods +1, MATCH("Adj Close", Price_Header,0))): INDIRECT(ADDRESS(ROW($F55),MATCH("Adj Close", Price_Header,0)))))</f>
        <v>1.7060224855530413</v>
      </c>
    </row>
    <row r="56" spans="1:19" x14ac:dyDescent="0.35">
      <c r="A56" s="8">
        <v>44125</v>
      </c>
      <c r="B56" s="10">
        <v>81.72</v>
      </c>
      <c r="C56" s="10">
        <v>81.93</v>
      </c>
      <c r="D56" s="10">
        <v>79.19</v>
      </c>
      <c r="E56" s="10">
        <v>79.2</v>
      </c>
      <c r="F56" s="10">
        <v>79.2</v>
      </c>
      <c r="G56">
        <v>36426400</v>
      </c>
      <c r="H56" s="10">
        <f>IF(tbl_AMD[[#This Row],[Date]]=$A$5, $F56, EMA_Beta*$H55 + (1-EMA_Beta)*$F56)</f>
        <v>82.380866871051765</v>
      </c>
      <c r="I56" s="46">
        <f ca="1">IF(tbl_AMD[[#This Row],[RS]]= "", "", 100-(100/(1+tbl_AMD[[#This Row],[RS]])))</f>
        <v>37.812229207053029</v>
      </c>
      <c r="J56" s="10">
        <f ca="1">IF(ROW($N56)-4&lt;BB_Periods, "", AVERAGE(INDIRECT(ADDRESS(ROW($F56)-RSI_Periods +1, MATCH("Adj Close", Price_Header,0))): INDIRECT(ADDRESS(ROW($F56),MATCH("Adj Close", Price_Header,0)))))</f>
        <v>83.683571714285705</v>
      </c>
      <c r="K56" s="10">
        <f ca="1">IF(tbl_AMD[[#This Row],[BB_Mean]]="", "", tbl_AMD[[#This Row],[BB_Mean]]+(BB_Width*tbl_AMD[[#This Row],[BB_Stdev]]))</f>
        <v>87.93864480522619</v>
      </c>
      <c r="L56" s="10">
        <f ca="1">IF(tbl_AMD[[#This Row],[BB_Mean]]="", "", tbl_AMD[[#This Row],[BB_Mean]]-(BB_Width*tbl_AMD[[#This Row],[BB_Stdev]]))</f>
        <v>79.42849862334522</v>
      </c>
      <c r="M56" s="46">
        <f>IF(ROW(tbl_AMD[[#This Row],[Adj Close]])=5, 0, $F56-$F55)</f>
        <v>-2.3599999999999994</v>
      </c>
      <c r="N56" s="46">
        <f>MAX(tbl_AMD[[#This Row],[Move]],0)</f>
        <v>0</v>
      </c>
      <c r="O56" s="46">
        <f>MAX(-tbl_AMD[[#This Row],[Move]],0)</f>
        <v>2.3599999999999994</v>
      </c>
      <c r="P56" s="46">
        <f ca="1">IF(ROW($N56)-5&lt;RSI_Periods, "", AVERAGE(INDIRECT(ADDRESS(ROW($N56)-RSI_Periods +1, MATCH("Upmove", Price_Header,0))): INDIRECT(ADDRESS(ROW($N56),MATCH("Upmove", Price_Header,0)))))</f>
        <v>0.62714285714285822</v>
      </c>
      <c r="Q56" s="46">
        <f ca="1">IF(ROW($O56)-5&lt;RSI_Periods, "", AVERAGE(INDIRECT(ADDRESS(ROW($O56)-RSI_Periods +1, MATCH("Downmove", Price_Header,0))): INDIRECT(ADDRESS(ROW($O56),MATCH("Downmove", Price_Header,0)))))</f>
        <v>1.0314286428571435</v>
      </c>
      <c r="R56" s="46">
        <f ca="1">IF(tbl_AMD[[#This Row],[Avg_Upmove]]="", "", tbl_AMD[[#This Row],[Avg_Upmove]]/tbl_AMD[[#This Row],[Avg_Downmove]])</f>
        <v>0.60803319888966834</v>
      </c>
      <c r="S56" s="10">
        <f ca="1">IF(ROW($N56)-4&lt;BB_Periods, "", _xlfn.STDEV.S(INDIRECT(ADDRESS(ROW($F56)-RSI_Periods +1, MATCH("Adj Close", Price_Header,0))): INDIRECT(ADDRESS(ROW($F56),MATCH("Adj Close", Price_Header,0)))))</f>
        <v>2.127536545470242</v>
      </c>
    </row>
    <row r="57" spans="1:19" x14ac:dyDescent="0.35">
      <c r="A57" s="8">
        <v>44126</v>
      </c>
      <c r="B57" s="10">
        <v>79.650000000000006</v>
      </c>
      <c r="C57" s="10">
        <v>80.819999999999993</v>
      </c>
      <c r="D57" s="10">
        <v>78.42</v>
      </c>
      <c r="E57" s="10">
        <v>79.42</v>
      </c>
      <c r="F57" s="10">
        <v>79.42</v>
      </c>
      <c r="G57">
        <v>38006800</v>
      </c>
      <c r="H57" s="10">
        <f>IF(tbl_AMD[[#This Row],[Date]]=$A$5, $F57, EMA_Beta*$H56 + (1-EMA_Beta)*$F57)</f>
        <v>82.084780183946577</v>
      </c>
      <c r="I57" s="46">
        <f ca="1">IF(tbl_AMD[[#This Row],[RS]]= "", "", 100-(100/(1+tbl_AMD[[#This Row],[RS]])))</f>
        <v>44.160935599469745</v>
      </c>
      <c r="J57" s="10">
        <f ca="1">IF(ROW($N57)-4&lt;BB_Periods, "", AVERAGE(INDIRECT(ADDRESS(ROW($F57)-RSI_Periods +1, MATCH("Adj Close", Price_Header,0))): INDIRECT(ADDRESS(ROW($F57),MATCH("Adj Close", Price_Header,0)))))</f>
        <v>83.513571500000012</v>
      </c>
      <c r="K57" s="10">
        <f ca="1">IF(tbl_AMD[[#This Row],[BB_Mean]]="", "", tbl_AMD[[#This Row],[BB_Mean]]+(BB_Width*tbl_AMD[[#This Row],[BB_Stdev]]))</f>
        <v>88.255170205450426</v>
      </c>
      <c r="L57" s="10">
        <f ca="1">IF(tbl_AMD[[#This Row],[BB_Mean]]="", "", tbl_AMD[[#This Row],[BB_Mean]]-(BB_Width*tbl_AMD[[#This Row],[BB_Stdev]]))</f>
        <v>78.771972794549598</v>
      </c>
      <c r="M57" s="46">
        <f>IF(ROW(tbl_AMD[[#This Row],[Adj Close]])=5, 0, $F57-$F56)</f>
        <v>0.21999999999999886</v>
      </c>
      <c r="N57" s="46">
        <f>MAX(tbl_AMD[[#This Row],[Move]],0)</f>
        <v>0.21999999999999886</v>
      </c>
      <c r="O57" s="46">
        <f>MAX(-tbl_AMD[[#This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0.6428571428571439</v>
      </c>
      <c r="Q57" s="46">
        <f ca="1">IF(ROW($O57)-5&lt;RSI_Periods, "", AVERAGE(INDIRECT(ADDRESS(ROW($O57)-RSI_Periods +1, MATCH("Downmove", Price_Header,0))): INDIRECT(ADDRESS(ROW($O57),MATCH("Downmove", Price_Header,0)))))</f>
        <v>0.81285735714285834</v>
      </c>
      <c r="R57" s="46">
        <f ca="1">IF(tbl_AMD[[#This Row],[Avg_Upmove]]="", "", tbl_AMD[[#This Row],[Avg_Upmove]]/tbl_AMD[[#This Row],[Avg_Downmove]])</f>
        <v>0.79086095144263158</v>
      </c>
      <c r="S57" s="10">
        <f ca="1">IF(ROW($N57)-4&lt;BB_Periods, "", _xlfn.STDEV.S(INDIRECT(ADDRESS(ROW($F57)-RSI_Periods +1, MATCH("Adj Close", Price_Header,0))): INDIRECT(ADDRESS(ROW($F57),MATCH("Adj Close", Price_Header,0)))))</f>
        <v>2.3707993527252089</v>
      </c>
    </row>
    <row r="58" spans="1:19" x14ac:dyDescent="0.35">
      <c r="A58" s="8">
        <v>44127</v>
      </c>
      <c r="B58" s="10">
        <v>80.930000000000007</v>
      </c>
      <c r="C58" s="10">
        <v>81.99</v>
      </c>
      <c r="D58" s="10">
        <v>79.33</v>
      </c>
      <c r="E58" s="10">
        <v>81.96</v>
      </c>
      <c r="F58" s="10">
        <v>81.96</v>
      </c>
      <c r="G58">
        <v>46557700</v>
      </c>
      <c r="H58" s="10">
        <f>IF(tbl_AMD[[#This Row],[Date]]=$A$5, $F58, EMA_Beta*$H57 + (1-EMA_Beta)*$F58)</f>
        <v>82.072302165551918</v>
      </c>
      <c r="I58" s="46">
        <f ca="1">IF(tbl_AMD[[#This Row],[RS]]= "", "", 100-(100/(1+tbl_AMD[[#This Row],[RS]])))</f>
        <v>38.718359996045223</v>
      </c>
      <c r="J58" s="10">
        <f ca="1">IF(ROW($N58)-4&lt;BB_Periods, "", AVERAGE(INDIRECT(ADDRESS(ROW($F58)-RSI_Periods +1, MATCH("Adj Close", Price_Header,0))): INDIRECT(ADDRESS(ROW($F58),MATCH("Adj Close", Price_Header,0)))))</f>
        <v>83.214285642857149</v>
      </c>
      <c r="K58" s="10">
        <f ca="1">IF(tbl_AMD[[#This Row],[BB_Mean]]="", "", tbl_AMD[[#This Row],[BB_Mean]]+(BB_Width*tbl_AMD[[#This Row],[BB_Stdev]]))</f>
        <v>87.764104733284341</v>
      </c>
      <c r="L58" s="10">
        <f ca="1">IF(tbl_AMD[[#This Row],[BB_Mean]]="", "", tbl_AMD[[#This Row],[BB_Mean]]-(BB_Width*tbl_AMD[[#This Row],[BB_Stdev]]))</f>
        <v>78.664466552429957</v>
      </c>
      <c r="M58" s="46">
        <f>IF(ROW(tbl_AMD[[#This Row],[Adj Close]])=5, 0, $F58-$F57)</f>
        <v>2.539999999999992</v>
      </c>
      <c r="N58" s="46">
        <f>MAX(tbl_AMD[[#This Row],[Move]],0)</f>
        <v>2.539999999999992</v>
      </c>
      <c r="O58" s="46">
        <f>MAX(-tbl_AMD[[#This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0.51357150000000062</v>
      </c>
      <c r="Q58" s="46">
        <f ca="1">IF(ROW($O58)-5&lt;RSI_Periods, "", AVERAGE(INDIRECT(ADDRESS(ROW($O58)-RSI_Periods +1, MATCH("Downmove", Price_Header,0))): INDIRECT(ADDRESS(ROW($O58),MATCH("Downmove", Price_Header,0)))))</f>
        <v>0.81285735714285834</v>
      </c>
      <c r="R58" s="46">
        <f ca="1">IF(tbl_AMD[[#This Row],[Avg_Upmove]]="", "", tbl_AMD[[#This Row],[Avg_Upmove]]/tbl_AMD[[#This Row],[Avg_Downmove]])</f>
        <v>0.63181011463705217</v>
      </c>
      <c r="S58" s="10">
        <f ca="1">IF(ROW($N58)-4&lt;BB_Periods, "", _xlfn.STDEV.S(INDIRECT(ADDRESS(ROW($F58)-RSI_Periods +1, MATCH("Adj Close", Price_Header,0))): INDIRECT(ADDRESS(ROW($F58),MATCH("Adj Close", Price_Header,0)))))</f>
        <v>2.2749095452135988</v>
      </c>
    </row>
    <row r="59" spans="1:19" x14ac:dyDescent="0.35">
      <c r="A59" s="8">
        <v>44130</v>
      </c>
      <c r="B59" s="10">
        <v>82.55</v>
      </c>
      <c r="C59" s="10">
        <v>84.97</v>
      </c>
      <c r="D59" s="10">
        <v>80.86</v>
      </c>
      <c r="E59" s="10">
        <v>82.23</v>
      </c>
      <c r="F59" s="10">
        <v>82.23</v>
      </c>
      <c r="G59">
        <v>69423700</v>
      </c>
      <c r="H59" s="10">
        <f>IF(tbl_AMD[[#This Row],[Date]]=$A$5, $F59, EMA_Beta*$H58 + (1-EMA_Beta)*$F59)</f>
        <v>82.088071948996728</v>
      </c>
      <c r="I59" s="46">
        <f ca="1">IF(tbl_AMD[[#This Row],[RS]]= "", "", 100-(100/(1+tbl_AMD[[#This Row],[RS]])))</f>
        <v>43.447867371034583</v>
      </c>
      <c r="J59" s="10">
        <f ca="1">IF(ROW($N59)-4&lt;BB_Periods, "", AVERAGE(INDIRECT(ADDRESS(ROW($F59)-RSI_Periods +1, MATCH("Adj Close", Price_Header,0))): INDIRECT(ADDRESS(ROW($F59),MATCH("Adj Close", Price_Header,0)))))</f>
        <v>83.053571142857137</v>
      </c>
      <c r="K59" s="10">
        <f ca="1">IF(tbl_AMD[[#This Row],[BB_Mean]]="", "", tbl_AMD[[#This Row],[BB_Mean]]+(BB_Width*tbl_AMD[[#This Row],[BB_Stdev]]))</f>
        <v>87.569626071908161</v>
      </c>
      <c r="L59" s="10">
        <f ca="1">IF(tbl_AMD[[#This Row],[BB_Mean]]="", "", tbl_AMD[[#This Row],[BB_Mean]]-(BB_Width*tbl_AMD[[#This Row],[BB_Stdev]]))</f>
        <v>78.537516213806114</v>
      </c>
      <c r="M59" s="46">
        <f>IF(ROW(tbl_AMD[[#This Row],[Adj Close]])=5, 0, $F59-$F58)</f>
        <v>0.27000000000001023</v>
      </c>
      <c r="N59" s="46">
        <f>MAX(tbl_AMD[[#This Row],[Move]],0)</f>
        <v>0.27000000000001023</v>
      </c>
      <c r="O59" s="46">
        <f>MAX(-tbl_AMD[[#This Row],[Move]],0)</f>
        <v>0</v>
      </c>
      <c r="P59" s="46">
        <f ca="1">IF(ROW($N59)-5&lt;RSI_Periods, "", AVERAGE(INDIRECT(ADDRESS(ROW($N59)-RSI_Periods +1, MATCH("Upmove", Price_Header,0))): INDIRECT(ADDRESS(ROW($N59),MATCH("Upmove", Price_Header,0)))))</f>
        <v>0.53285721428571564</v>
      </c>
      <c r="Q59" s="46">
        <f ca="1">IF(ROW($O59)-5&lt;RSI_Periods, "", AVERAGE(INDIRECT(ADDRESS(ROW($O59)-RSI_Periods +1, MATCH("Downmove", Price_Header,0))): INDIRECT(ADDRESS(ROW($O59),MATCH("Downmove", Price_Header,0)))))</f>
        <v>0.69357171428571518</v>
      </c>
      <c r="R59" s="46">
        <f ca="1">IF(tbl_AMD[[#This Row],[Avg_Upmove]]="", "", tbl_AMD[[#This Row],[Avg_Upmove]]/tbl_AMD[[#This Row],[Avg_Downmove]])</f>
        <v>0.76827991008036756</v>
      </c>
      <c r="S59" s="10">
        <f ca="1">IF(ROW($N59)-4&lt;BB_Periods, "", _xlfn.STDEV.S(INDIRECT(ADDRESS(ROW($F59)-RSI_Periods +1, MATCH("Adj Close", Price_Header,0))): INDIRECT(ADDRESS(ROW($F59),MATCH("Adj Close", Price_Header,0)))))</f>
        <v>2.2580274645255134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J60" s="61"/>
      <c r="K60" s="61"/>
      <c r="L60" s="61"/>
      <c r="S60" s="61">
        <f ca="1">SUBTOTAL(103,tbl_AMD[BB_Stdev])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60"/>
  <sheetViews>
    <sheetView topLeftCell="B53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320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87.940002000000007</v>
      </c>
      <c r="C5" s="10">
        <v>89.760002</v>
      </c>
      <c r="D5" s="10">
        <v>87.599997999999999</v>
      </c>
      <c r="E5" s="10">
        <v>89.730002999999996</v>
      </c>
      <c r="F5" s="10">
        <v>88.454780999999997</v>
      </c>
      <c r="G5">
        <v>8150200</v>
      </c>
      <c r="H5" s="10">
        <f>IF(tbl_CVX[[#This Row],[Date]]=$A$5, $F5, EMA_Beta*$H4 + (1-EMA_Beta)*$F5)</f>
        <v>88.454780999999997</v>
      </c>
      <c r="I5" s="46" t="str">
        <f ca="1">IF(tbl_CVX[[#This Row],[RS]]= "", "", 100-(100/(1+tbl_CVX[[#This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IF(tbl_CVX[[#This Row],[BB_Mean]]="", "", tbl_CVX[[#This Row],[BB_Mean]]+(BB_Width*tbl_CVX[[#This Row],[BB_Stdev]]))</f>
        <v/>
      </c>
      <c r="L5" s="10" t="str">
        <f ca="1">IF(tbl_CVX[[#This Row],[BB_Mean]]="", "", tbl_CVX[[#This Row],[BB_Mean]]-(BB_Width*tbl_CVX[[#This Row],[BB_Stdev]]))</f>
        <v/>
      </c>
      <c r="M5" s="46">
        <f>IF(ROW(tbl_CVX[[#This Row],[Adj Close]])=5, 0, $F5-$F4)</f>
        <v>0</v>
      </c>
      <c r="N5" s="46">
        <f>MAX(tbl_CVX[[#This Row],[Move]],0)</f>
        <v>0</v>
      </c>
      <c r="O5" s="46">
        <f>MAX(-tbl_CVX[[#This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IF(tbl_CVX[[#This Row],[Avg_Upmove]]="", "", tbl_CVX[[#This Row],[Avg_Upmove]]/tbl_CVX[[#This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91.949996999999996</v>
      </c>
      <c r="C6" s="10">
        <v>93.010002</v>
      </c>
      <c r="D6" s="10">
        <v>89.169998000000007</v>
      </c>
      <c r="E6" s="10">
        <v>89.620002999999997</v>
      </c>
      <c r="F6" s="10">
        <v>88.346344000000002</v>
      </c>
      <c r="G6">
        <v>9074300</v>
      </c>
      <c r="H6" s="10">
        <f>IF(tbl_CVX[[#This Row],[Date]]=$A$5, $F6, EMA_Beta*$H5 + (1-EMA_Beta)*$F6)</f>
        <v>88.443937300000002</v>
      </c>
      <c r="I6" s="46" t="str">
        <f ca="1">IF(tbl_CVX[[#This Row],[RS]]= "", "", 100-(100/(1+tbl_CVX[[#This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IF(tbl_CVX[[#This Row],[BB_Mean]]="", "", tbl_CVX[[#This Row],[BB_Mean]]+(BB_Width*tbl_CVX[[#This Row],[BB_Stdev]]))</f>
        <v/>
      </c>
      <c r="L6" s="10" t="str">
        <f ca="1">IF(tbl_CVX[[#This Row],[BB_Mean]]="", "", tbl_CVX[[#This Row],[BB_Mean]]-(BB_Width*tbl_CVX[[#This Row],[BB_Stdev]]))</f>
        <v/>
      </c>
      <c r="M6" s="46">
        <f>IF(ROW(tbl_CVX[[#This Row],[Adj Close]])=5, 0, $F6-$F5)</f>
        <v>-0.10843699999999501</v>
      </c>
      <c r="N6" s="46">
        <f>MAX(tbl_CVX[[#This Row],[Move]],0)</f>
        <v>0</v>
      </c>
      <c r="O6" s="46">
        <f>MAX(-tbl_CVX[[#This Row],[Move]],0)</f>
        <v>0.10843699999999501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IF(tbl_CVX[[#This Row],[Avg_Upmove]]="", "", tbl_CVX[[#This Row],[Avg_Upmove]]/tbl_CVX[[#This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90.800003000000004</v>
      </c>
      <c r="C7" s="10">
        <v>91.660004000000001</v>
      </c>
      <c r="D7" s="10">
        <v>89.449996999999996</v>
      </c>
      <c r="E7" s="10">
        <v>90.720000999999996</v>
      </c>
      <c r="F7" s="10">
        <v>89.430710000000005</v>
      </c>
      <c r="G7">
        <v>9058000</v>
      </c>
      <c r="H7" s="10">
        <f>IF(tbl_CVX[[#This Row],[Date]]=$A$5, $F7, EMA_Beta*$H6 + (1-EMA_Beta)*$F7)</f>
        <v>88.542614570000012</v>
      </c>
      <c r="I7" s="46" t="str">
        <f ca="1">IF(tbl_CVX[[#This Row],[RS]]= "", "", 100-(100/(1+tbl_CVX[[#This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IF(tbl_CVX[[#This Row],[BB_Mean]]="", "", tbl_CVX[[#This Row],[BB_Mean]]+(BB_Width*tbl_CVX[[#This Row],[BB_Stdev]]))</f>
        <v/>
      </c>
      <c r="L7" s="10" t="str">
        <f ca="1">IF(tbl_CVX[[#This Row],[BB_Mean]]="", "", tbl_CVX[[#This Row],[BB_Mean]]-(BB_Width*tbl_CVX[[#This Row],[BB_Stdev]]))</f>
        <v/>
      </c>
      <c r="M7" s="46">
        <f>IF(ROW(tbl_CVX[[#This Row],[Adj Close]])=5, 0, $F7-$F6)</f>
        <v>1.0843660000000028</v>
      </c>
      <c r="N7" s="46">
        <f>MAX(tbl_CVX[[#This Row],[Move]],0)</f>
        <v>1.0843660000000028</v>
      </c>
      <c r="O7" s="46">
        <f>MAX(-tbl_CVX[[#This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IF(tbl_CVX[[#This Row],[Avg_Upmove]]="", "", tbl_CVX[[#This Row],[Avg_Upmove]]/tbl_CVX[[#This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89.870002999999997</v>
      </c>
      <c r="C8" s="10">
        <v>91.279999000000004</v>
      </c>
      <c r="D8" s="10">
        <v>89.760002</v>
      </c>
      <c r="E8" s="10">
        <v>89.82</v>
      </c>
      <c r="F8" s="10">
        <v>88.543494999999993</v>
      </c>
      <c r="G8">
        <v>7314600</v>
      </c>
      <c r="H8" s="10">
        <f>IF(tbl_CVX[[#This Row],[Date]]=$A$5, $F8, EMA_Beta*$H7 + (1-EMA_Beta)*$F8)</f>
        <v>88.542702613000017</v>
      </c>
      <c r="I8" s="46" t="str">
        <f ca="1">IF(tbl_CVX[[#This Row],[RS]]= "", "", 100-(100/(1+tbl_CVX[[#This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IF(tbl_CVX[[#This Row],[BB_Mean]]="", "", tbl_CVX[[#This Row],[BB_Mean]]+(BB_Width*tbl_CVX[[#This Row],[BB_Stdev]]))</f>
        <v/>
      </c>
      <c r="L8" s="10" t="str">
        <f ca="1">IF(tbl_CVX[[#This Row],[BB_Mean]]="", "", tbl_CVX[[#This Row],[BB_Mean]]-(BB_Width*tbl_CVX[[#This Row],[BB_Stdev]]))</f>
        <v/>
      </c>
      <c r="M8" s="46">
        <f>IF(ROW(tbl_CVX[[#This Row],[Adj Close]])=5, 0, $F8-$F7)</f>
        <v>-0.88721500000001186</v>
      </c>
      <c r="N8" s="46">
        <f>MAX(tbl_CVX[[#This Row],[Move]],0)</f>
        <v>0</v>
      </c>
      <c r="O8" s="46">
        <f>MAX(-tbl_CVX[[#This Row],[Move]],0)</f>
        <v>0.88721500000001186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IF(tbl_CVX[[#This Row],[Avg_Upmove]]="", "", tbl_CVX[[#This Row],[Avg_Upmove]]/tbl_CVX[[#This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89</v>
      </c>
      <c r="C9" s="10">
        <v>90.589995999999999</v>
      </c>
      <c r="D9" s="10">
        <v>88.849997999999999</v>
      </c>
      <c r="E9" s="10">
        <v>90.349997999999999</v>
      </c>
      <c r="F9" s="10">
        <v>89.065963999999994</v>
      </c>
      <c r="G9">
        <v>6343000</v>
      </c>
      <c r="H9" s="10">
        <f>IF(tbl_CVX[[#This Row],[Date]]=$A$5, $F9, EMA_Beta*$H8 + (1-EMA_Beta)*$F9)</f>
        <v>88.595028751700013</v>
      </c>
      <c r="I9" s="46" t="str">
        <f ca="1">IF(tbl_CVX[[#This Row],[RS]]= "", "", 100-(100/(1+tbl_CVX[[#This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IF(tbl_CVX[[#This Row],[BB_Mean]]="", "", tbl_CVX[[#This Row],[BB_Mean]]+(BB_Width*tbl_CVX[[#This Row],[BB_Stdev]]))</f>
        <v/>
      </c>
      <c r="L9" s="10" t="str">
        <f ca="1">IF(tbl_CVX[[#This Row],[BB_Mean]]="", "", tbl_CVX[[#This Row],[BB_Mean]]-(BB_Width*tbl_CVX[[#This Row],[BB_Stdev]]))</f>
        <v/>
      </c>
      <c r="M9" s="46">
        <f>IF(ROW(tbl_CVX[[#This Row],[Adj Close]])=5, 0, $F9-$F8)</f>
        <v>0.52246900000000096</v>
      </c>
      <c r="N9" s="46">
        <f>MAX(tbl_CVX[[#This Row],[Move]],0)</f>
        <v>0.52246900000000096</v>
      </c>
      <c r="O9" s="46">
        <f>MAX(-tbl_CVX[[#This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IF(tbl_CVX[[#This Row],[Avg_Upmove]]="", "", tbl_CVX[[#This Row],[Avg_Upmove]]/tbl_CVX[[#This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90.349997999999999</v>
      </c>
      <c r="C10" s="10">
        <v>91.580001999999993</v>
      </c>
      <c r="D10" s="10">
        <v>89.720000999999996</v>
      </c>
      <c r="E10" s="10">
        <v>90.769997000000004</v>
      </c>
      <c r="F10" s="10">
        <v>89.479996</v>
      </c>
      <c r="G10">
        <v>10473800</v>
      </c>
      <c r="H10" s="10">
        <f>IF(tbl_CVX[[#This Row],[Date]]=$A$5, $F10, EMA_Beta*$H9 + (1-EMA_Beta)*$F10)</f>
        <v>88.683525476530022</v>
      </c>
      <c r="I10" s="46" t="str">
        <f ca="1">IF(tbl_CVX[[#This Row],[RS]]= "", "", 100-(100/(1+tbl_CVX[[#This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IF(tbl_CVX[[#This Row],[BB_Mean]]="", "", tbl_CVX[[#This Row],[BB_Mean]]+(BB_Width*tbl_CVX[[#This Row],[BB_Stdev]]))</f>
        <v/>
      </c>
      <c r="L10" s="10" t="str">
        <f ca="1">IF(tbl_CVX[[#This Row],[BB_Mean]]="", "", tbl_CVX[[#This Row],[BB_Mean]]-(BB_Width*tbl_CVX[[#This Row],[BB_Stdev]]))</f>
        <v/>
      </c>
      <c r="M10" s="46">
        <f>IF(ROW(tbl_CVX[[#This Row],[Adj Close]])=5, 0, $F10-$F9)</f>
        <v>0.41403200000000595</v>
      </c>
      <c r="N10" s="46">
        <f>MAX(tbl_CVX[[#This Row],[Move]],0)</f>
        <v>0.41403200000000595</v>
      </c>
      <c r="O10" s="46">
        <f>MAX(-tbl_CVX[[#This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IF(tbl_CVX[[#This Row],[Avg_Upmove]]="", "", tbl_CVX[[#This Row],[Avg_Upmove]]/tbl_CVX[[#This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88.970000999999996</v>
      </c>
      <c r="C11" s="10">
        <v>89.370002999999997</v>
      </c>
      <c r="D11" s="10">
        <v>87.32</v>
      </c>
      <c r="E11" s="10">
        <v>87.629997000000003</v>
      </c>
      <c r="F11" s="10">
        <v>87.629997000000003</v>
      </c>
      <c r="G11">
        <v>7981500</v>
      </c>
      <c r="H11" s="10">
        <f>IF(tbl_CVX[[#This Row],[Date]]=$A$5, $F11, EMA_Beta*$H10 + (1-EMA_Beta)*$F11)</f>
        <v>88.578172628877013</v>
      </c>
      <c r="I11" s="46" t="str">
        <f ca="1">IF(tbl_CVX[[#This Row],[RS]]= "", "", 100-(100/(1+tbl_CVX[[#This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IF(tbl_CVX[[#This Row],[BB_Mean]]="", "", tbl_CVX[[#This Row],[BB_Mean]]+(BB_Width*tbl_CVX[[#This Row],[BB_Stdev]]))</f>
        <v/>
      </c>
      <c r="L11" s="10" t="str">
        <f ca="1">IF(tbl_CVX[[#This Row],[BB_Mean]]="", "", tbl_CVX[[#This Row],[BB_Mean]]-(BB_Width*tbl_CVX[[#This Row],[BB_Stdev]]))</f>
        <v/>
      </c>
      <c r="M11" s="46">
        <f>IF(ROW(tbl_CVX[[#This Row],[Adj Close]])=5, 0, $F11-$F10)</f>
        <v>-1.8499989999999968</v>
      </c>
      <c r="N11" s="46">
        <f>MAX(tbl_CVX[[#This Row],[Move]],0)</f>
        <v>0</v>
      </c>
      <c r="O11" s="46">
        <f>MAX(-tbl_CVX[[#This Row],[Move]],0)</f>
        <v>1.8499989999999968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IF(tbl_CVX[[#This Row],[Avg_Upmove]]="", "", tbl_CVX[[#This Row],[Avg_Upmove]]/tbl_CVX[[#This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87.300003000000004</v>
      </c>
      <c r="C12" s="10">
        <v>87.900002000000001</v>
      </c>
      <c r="D12" s="10">
        <v>86.199996999999996</v>
      </c>
      <c r="E12" s="10">
        <v>86.389999000000003</v>
      </c>
      <c r="F12" s="10">
        <v>86.389999000000003</v>
      </c>
      <c r="G12">
        <v>9120300</v>
      </c>
      <c r="H12" s="10">
        <f>IF(tbl_CVX[[#This Row],[Date]]=$A$5, $F12, EMA_Beta*$H11 + (1-EMA_Beta)*$F12)</f>
        <v>88.359355265989322</v>
      </c>
      <c r="I12" s="46" t="str">
        <f ca="1">IF(tbl_CVX[[#This Row],[RS]]= "", "", 100-(100/(1+tbl_CVX[[#This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IF(tbl_CVX[[#This Row],[BB_Mean]]="", "", tbl_CVX[[#This Row],[BB_Mean]]+(BB_Width*tbl_CVX[[#This Row],[BB_Stdev]]))</f>
        <v/>
      </c>
      <c r="L12" s="10" t="str">
        <f ca="1">IF(tbl_CVX[[#This Row],[BB_Mean]]="", "", tbl_CVX[[#This Row],[BB_Mean]]-(BB_Width*tbl_CVX[[#This Row],[BB_Stdev]]))</f>
        <v/>
      </c>
      <c r="M12" s="46">
        <f>IF(ROW(tbl_CVX[[#This Row],[Adj Close]])=5, 0, $F12-$F11)</f>
        <v>-1.2399979999999999</v>
      </c>
      <c r="N12" s="46">
        <f>MAX(tbl_CVX[[#This Row],[Move]],0)</f>
        <v>0</v>
      </c>
      <c r="O12" s="46">
        <f>MAX(-tbl_CVX[[#This Row],[Move]],0)</f>
        <v>1.2399979999999999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IF(tbl_CVX[[#This Row],[Avg_Upmove]]="", "", tbl_CVX[[#This Row],[Avg_Upmove]]/tbl_CVX[[#This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85.419998000000007</v>
      </c>
      <c r="C13" s="10">
        <v>86.889999000000003</v>
      </c>
      <c r="D13" s="10">
        <v>84.730002999999996</v>
      </c>
      <c r="E13" s="10">
        <v>84.809997999999993</v>
      </c>
      <c r="F13" s="10">
        <v>84.809997999999993</v>
      </c>
      <c r="G13">
        <v>7872300</v>
      </c>
      <c r="H13" s="10">
        <f>IF(tbl_CVX[[#This Row],[Date]]=$A$5, $F13, EMA_Beta*$H12 + (1-EMA_Beta)*$F13)</f>
        <v>88.004419539390383</v>
      </c>
      <c r="I13" s="46" t="str">
        <f ca="1">IF(tbl_CVX[[#This Row],[RS]]= "", "", 100-(100/(1+tbl_CVX[[#This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IF(tbl_CVX[[#This Row],[BB_Mean]]="", "", tbl_CVX[[#This Row],[BB_Mean]]+(BB_Width*tbl_CVX[[#This Row],[BB_Stdev]]))</f>
        <v/>
      </c>
      <c r="L13" s="10" t="str">
        <f ca="1">IF(tbl_CVX[[#This Row],[BB_Mean]]="", "", tbl_CVX[[#This Row],[BB_Mean]]-(BB_Width*tbl_CVX[[#This Row],[BB_Stdev]]))</f>
        <v/>
      </c>
      <c r="M13" s="46">
        <f>IF(ROW(tbl_CVX[[#This Row],[Adj Close]])=5, 0, $F13-$F12)</f>
        <v>-1.58000100000001</v>
      </c>
      <c r="N13" s="46">
        <f>MAX(tbl_CVX[[#This Row],[Move]],0)</f>
        <v>0</v>
      </c>
      <c r="O13" s="46">
        <f>MAX(-tbl_CVX[[#This Row],[Move]],0)</f>
        <v>1.58000100000001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IF(tbl_CVX[[#This Row],[Avg_Upmove]]="", "", tbl_CVX[[#This Row],[Avg_Upmove]]/tbl_CVX[[#This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84.669998000000007</v>
      </c>
      <c r="C14" s="10">
        <v>85.089995999999999</v>
      </c>
      <c r="D14" s="10">
        <v>83.510002</v>
      </c>
      <c r="E14" s="10">
        <v>85.080001999999993</v>
      </c>
      <c r="F14" s="10">
        <v>85.080001999999993</v>
      </c>
      <c r="G14">
        <v>9003600</v>
      </c>
      <c r="H14" s="10">
        <f>IF(tbl_CVX[[#This Row],[Date]]=$A$5, $F14, EMA_Beta*$H13 + (1-EMA_Beta)*$F14)</f>
        <v>87.711977785451339</v>
      </c>
      <c r="I14" s="46" t="str">
        <f ca="1">IF(tbl_CVX[[#This Row],[RS]]= "", "", 100-(100/(1+tbl_CVX[[#This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IF(tbl_CVX[[#This Row],[BB_Mean]]="", "", tbl_CVX[[#This Row],[BB_Mean]]+(BB_Width*tbl_CVX[[#This Row],[BB_Stdev]]))</f>
        <v/>
      </c>
      <c r="L14" s="10" t="str">
        <f ca="1">IF(tbl_CVX[[#This Row],[BB_Mean]]="", "", tbl_CVX[[#This Row],[BB_Mean]]-(BB_Width*tbl_CVX[[#This Row],[BB_Stdev]]))</f>
        <v/>
      </c>
      <c r="M14" s="46">
        <f>IF(ROW(tbl_CVX[[#This Row],[Adj Close]])=5, 0, $F14-$F13)</f>
        <v>0.27000400000000013</v>
      </c>
      <c r="N14" s="46">
        <f>MAX(tbl_CVX[[#This Row],[Move]],0)</f>
        <v>0.27000400000000013</v>
      </c>
      <c r="O14" s="46">
        <f>MAX(-tbl_CVX[[#This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IF(tbl_CVX[[#This Row],[Avg_Upmove]]="", "", tbl_CVX[[#This Row],[Avg_Upmove]]/tbl_CVX[[#This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85.599997999999999</v>
      </c>
      <c r="C15" s="10">
        <v>87.339995999999999</v>
      </c>
      <c r="D15" s="10">
        <v>84.889999000000003</v>
      </c>
      <c r="E15" s="10">
        <v>87.199996999999996</v>
      </c>
      <c r="F15" s="10">
        <v>87.199996999999996</v>
      </c>
      <c r="G15">
        <v>8738700</v>
      </c>
      <c r="H15" s="10">
        <f>IF(tbl_CVX[[#This Row],[Date]]=$A$5, $F15, EMA_Beta*$H14 + (1-EMA_Beta)*$F15)</f>
        <v>87.660779706906212</v>
      </c>
      <c r="I15" s="46" t="str">
        <f ca="1">IF(tbl_CVX[[#This Row],[RS]]= "", "", 100-(100/(1+tbl_CVX[[#This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IF(tbl_CVX[[#This Row],[BB_Mean]]="", "", tbl_CVX[[#This Row],[BB_Mean]]+(BB_Width*tbl_CVX[[#This Row],[BB_Stdev]]))</f>
        <v/>
      </c>
      <c r="L15" s="10" t="str">
        <f ca="1">IF(tbl_CVX[[#This Row],[BB_Mean]]="", "", tbl_CVX[[#This Row],[BB_Mean]]-(BB_Width*tbl_CVX[[#This Row],[BB_Stdev]]))</f>
        <v/>
      </c>
      <c r="M15" s="46">
        <f>IF(ROW(tbl_CVX[[#This Row],[Adj Close]])=5, 0, $F15-$F14)</f>
        <v>2.119995000000003</v>
      </c>
      <c r="N15" s="46">
        <f>MAX(tbl_CVX[[#This Row],[Move]],0)</f>
        <v>2.119995000000003</v>
      </c>
      <c r="O15" s="46">
        <f>MAX(-tbl_CVX[[#This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IF(tbl_CVX[[#This Row],[Avg_Upmove]]="", "", tbl_CVX[[#This Row],[Avg_Upmove]]/tbl_CVX[[#This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88.010002</v>
      </c>
      <c r="C16" s="10">
        <v>88.040001000000004</v>
      </c>
      <c r="D16" s="10">
        <v>85.760002</v>
      </c>
      <c r="E16" s="10">
        <v>86.129997000000003</v>
      </c>
      <c r="F16" s="10">
        <v>86.129997000000003</v>
      </c>
      <c r="G16">
        <v>6835800</v>
      </c>
      <c r="H16" s="10">
        <f>IF(tbl_CVX[[#This Row],[Date]]=$A$5, $F16, EMA_Beta*$H15 + (1-EMA_Beta)*$F16)</f>
        <v>87.507701436215598</v>
      </c>
      <c r="I16" s="46" t="str">
        <f ca="1">IF(tbl_CVX[[#This Row],[RS]]= "", "", 100-(100/(1+tbl_CVX[[#This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IF(tbl_CVX[[#This Row],[BB_Mean]]="", "", tbl_CVX[[#This Row],[BB_Mean]]+(BB_Width*tbl_CVX[[#This Row],[BB_Stdev]]))</f>
        <v/>
      </c>
      <c r="L16" s="10" t="str">
        <f ca="1">IF(tbl_CVX[[#This Row],[BB_Mean]]="", "", tbl_CVX[[#This Row],[BB_Mean]]-(BB_Width*tbl_CVX[[#This Row],[BB_Stdev]]))</f>
        <v/>
      </c>
      <c r="M16" s="46">
        <f>IF(ROW(tbl_CVX[[#This Row],[Adj Close]])=5, 0, $F16-$F15)</f>
        <v>-1.0699999999999932</v>
      </c>
      <c r="N16" s="46">
        <f>MAX(tbl_CVX[[#This Row],[Move]],0)</f>
        <v>0</v>
      </c>
      <c r="O16" s="46">
        <f>MAX(-tbl_CVX[[#This Row],[Move]],0)</f>
        <v>1.0699999999999932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IF(tbl_CVX[[#This Row],[Avg_Upmove]]="", "", tbl_CVX[[#This Row],[Avg_Upmove]]/tbl_CVX[[#This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85.709998999999996</v>
      </c>
      <c r="C17" s="10">
        <v>85.839995999999999</v>
      </c>
      <c r="D17" s="10">
        <v>84.660004000000001</v>
      </c>
      <c r="E17" s="10">
        <v>84.779999000000004</v>
      </c>
      <c r="F17" s="10">
        <v>84.779999000000004</v>
      </c>
      <c r="G17">
        <v>7486500</v>
      </c>
      <c r="H17" s="10">
        <f>IF(tbl_CVX[[#This Row],[Date]]=$A$5, $F17, EMA_Beta*$H16 + (1-EMA_Beta)*$F17)</f>
        <v>87.234931192594047</v>
      </c>
      <c r="I17" s="46" t="str">
        <f ca="1">IF(tbl_CVX[[#This Row],[RS]]= "", "", 100-(100/(1+tbl_CVX[[#This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IF(tbl_CVX[[#This Row],[BB_Mean]]="", "", tbl_CVX[[#This Row],[BB_Mean]]+(BB_Width*tbl_CVX[[#This Row],[BB_Stdev]]))</f>
        <v/>
      </c>
      <c r="L17" s="10" t="str">
        <f ca="1">IF(tbl_CVX[[#This Row],[BB_Mean]]="", "", tbl_CVX[[#This Row],[BB_Mean]]-(BB_Width*tbl_CVX[[#This Row],[BB_Stdev]]))</f>
        <v/>
      </c>
      <c r="M17" s="46">
        <f>IF(ROW(tbl_CVX[[#This Row],[Adj Close]])=5, 0, $F17-$F16)</f>
        <v>-1.3499979999999994</v>
      </c>
      <c r="N17" s="46">
        <f>MAX(tbl_CVX[[#This Row],[Move]],0)</f>
        <v>0</v>
      </c>
      <c r="O17" s="46">
        <f>MAX(-tbl_CVX[[#This Row],[Move]],0)</f>
        <v>1.3499979999999994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IF(tbl_CVX[[#This Row],[Avg_Upmove]]="", "", tbl_CVX[[#This Row],[Avg_Upmove]]/tbl_CVX[[#This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85.160004000000001</v>
      </c>
      <c r="C18" s="10">
        <v>85.629997000000003</v>
      </c>
      <c r="D18" s="10">
        <v>83.970000999999996</v>
      </c>
      <c r="E18" s="10">
        <v>84.910004000000001</v>
      </c>
      <c r="F18" s="10">
        <v>84.910004000000001</v>
      </c>
      <c r="G18">
        <v>7438200</v>
      </c>
      <c r="H18" s="10">
        <f>IF(tbl_CVX[[#This Row],[Date]]=$A$5, $F18, EMA_Beta*$H17 + (1-EMA_Beta)*$F18)</f>
        <v>87.002438473334649</v>
      </c>
      <c r="I18" s="46" t="str">
        <f ca="1">IF(tbl_CVX[[#This Row],[RS]]= "", "", 100-(100/(1+tbl_CVX[[#This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87.160805928571449</v>
      </c>
      <c r="K18" s="10">
        <f ca="1">IF(tbl_CVX[[#This Row],[BB_Mean]]="", "", tbl_CVX[[#This Row],[BB_Mean]]+(BB_Width*tbl_CVX[[#This Row],[BB_Stdev]]))</f>
        <v>90.739426885974964</v>
      </c>
      <c r="L18" s="10">
        <f ca="1">IF(tbl_CVX[[#This Row],[BB_Mean]]="", "", tbl_CVX[[#This Row],[BB_Mean]]-(BB_Width*tbl_CVX[[#This Row],[BB_Stdev]]))</f>
        <v>83.582184971167933</v>
      </c>
      <c r="M18" s="46">
        <f>IF(ROW(tbl_CVX[[#This Row],[Adj Close]])=5, 0, $F18-$F17)</f>
        <v>0.13000499999999704</v>
      </c>
      <c r="N18" s="46">
        <f>MAX(tbl_CVX[[#This Row],[Move]],0)</f>
        <v>0.13000499999999704</v>
      </c>
      <c r="O18" s="46">
        <f>MAX(-tbl_CVX[[#This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IF(tbl_CVX[[#This Row],[Avg_Upmove]]="", "", tbl_CVX[[#This Row],[Avg_Upmove]]/tbl_CVX[[#This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1.7893104787017589</v>
      </c>
    </row>
    <row r="19" spans="1:19" x14ac:dyDescent="0.35">
      <c r="A19" s="8">
        <v>44071</v>
      </c>
      <c r="B19" s="10">
        <v>85.050003000000004</v>
      </c>
      <c r="C19" s="10">
        <v>85.730002999999996</v>
      </c>
      <c r="D19" s="10">
        <v>84.32</v>
      </c>
      <c r="E19" s="10">
        <v>85.629997000000003</v>
      </c>
      <c r="F19" s="10">
        <v>85.629997000000003</v>
      </c>
      <c r="G19">
        <v>7307900</v>
      </c>
      <c r="H19" s="10">
        <f>IF(tbl_CVX[[#This Row],[Date]]=$A$5, $F19, EMA_Beta*$H18 + (1-EMA_Beta)*$F19)</f>
        <v>86.865194326001188</v>
      </c>
      <c r="I19" s="46">
        <f ca="1">IF(tbl_CVX[[#This Row],[RS]]= "", "", 100-(100/(1+tbl_CVX[[#This Row],[RS]])))</f>
        <v>39.417519723505329</v>
      </c>
      <c r="J19" s="10">
        <f ca="1">IF(ROW($N19)-4&lt;BB_Periods, "", AVERAGE(INDIRECT(ADDRESS(ROW($F19)-RSI_Periods +1, MATCH("Adj Close", Price_Header,0))): INDIRECT(ADDRESS(ROW($F19),MATCH("Adj Close", Price_Header,0)))))</f>
        <v>86.95903564285716</v>
      </c>
      <c r="K19" s="10">
        <f ca="1">IF(tbl_CVX[[#This Row],[BB_Mean]]="", "", tbl_CVX[[#This Row],[BB_Mean]]+(BB_Width*tbl_CVX[[#This Row],[BB_Stdev]]))</f>
        <v>90.541912135502926</v>
      </c>
      <c r="L19" s="10">
        <f ca="1">IF(tbl_CVX[[#This Row],[BB_Mean]]="", "", tbl_CVX[[#This Row],[BB_Mean]]-(BB_Width*tbl_CVX[[#This Row],[BB_Stdev]]))</f>
        <v>83.376159150211393</v>
      </c>
      <c r="M19" s="46">
        <f>IF(ROW(tbl_CVX[[#This Row],[Adj Close]])=5, 0, $F19-$F18)</f>
        <v>0.71999300000000233</v>
      </c>
      <c r="N19" s="46">
        <f>MAX(tbl_CVX[[#This Row],[Move]],0)</f>
        <v>0.71999300000000233</v>
      </c>
      <c r="O19" s="46">
        <f>MAX(-tbl_CVX[[#This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0.37577600000000089</v>
      </c>
      <c r="Q19" s="46">
        <f ca="1">IF(ROW($O19)-5&lt;RSI_Periods, "", AVERAGE(INDIRECT(ADDRESS(ROW($O19)-RSI_Periods +1, MATCH("Downmove", Price_Header,0))): INDIRECT(ADDRESS(ROW($O19),MATCH("Downmove", Price_Header,0)))))</f>
        <v>0.57754628571428612</v>
      </c>
      <c r="R19" s="46">
        <f ca="1">IF(tbl_CVX[[#This Row],[Avg_Upmove]]="", "", tbl_CVX[[#This Row],[Avg_Upmove]]/tbl_CVX[[#This Row],[Avg_Downmove]])</f>
        <v>0.65064222434615115</v>
      </c>
      <c r="S19" s="10">
        <f ca="1">IF(ROW($N19)-4&lt;BB_Periods, "", _xlfn.STDEV.S(INDIRECT(ADDRESS(ROW($F19)-RSI_Periods +1, MATCH("Adj Close", Price_Header,0))): INDIRECT(ADDRESS(ROW($F19),MATCH("Adj Close", Price_Header,0)))))</f>
        <v>1.7914382463228815</v>
      </c>
    </row>
    <row r="20" spans="1:19" x14ac:dyDescent="0.35">
      <c r="A20" s="8">
        <v>44074</v>
      </c>
      <c r="B20" s="10">
        <v>85.830001999999993</v>
      </c>
      <c r="C20" s="10">
        <v>85.900002000000001</v>
      </c>
      <c r="D20" s="10">
        <v>83.870002999999997</v>
      </c>
      <c r="E20" s="10">
        <v>83.93</v>
      </c>
      <c r="F20" s="10">
        <v>83.93</v>
      </c>
      <c r="G20">
        <v>9437500</v>
      </c>
      <c r="H20" s="10">
        <f>IF(tbl_CVX[[#This Row],[Date]]=$A$5, $F20, EMA_Beta*$H19 + (1-EMA_Beta)*$F20)</f>
        <v>86.571674893401067</v>
      </c>
      <c r="I20" s="46">
        <f ca="1">IF(tbl_CVX[[#This Row],[RS]]= "", "", 100-(100/(1+tbl_CVX[[#This Row],[RS]])))</f>
        <v>35.217824629577393</v>
      </c>
      <c r="J20" s="10">
        <f ca="1">IF(ROW($N20)-4&lt;BB_Periods, "", AVERAGE(INDIRECT(ADDRESS(ROW($F20)-RSI_Periods +1, MATCH("Adj Close", Price_Header,0))): INDIRECT(ADDRESS(ROW($F20),MATCH("Adj Close", Price_Header,0)))))</f>
        <v>86.643582499999994</v>
      </c>
      <c r="K20" s="10">
        <f ca="1">IF(tbl_CVX[[#This Row],[BB_Mean]]="", "", tbl_CVX[[#This Row],[BB_Mean]]+(BB_Width*tbl_CVX[[#This Row],[BB_Stdev]]))</f>
        <v>90.469709110483464</v>
      </c>
      <c r="L20" s="10">
        <f ca="1">IF(tbl_CVX[[#This Row],[BB_Mean]]="", "", tbl_CVX[[#This Row],[BB_Mean]]-(BB_Width*tbl_CVX[[#This Row],[BB_Stdev]]))</f>
        <v>82.817455889516523</v>
      </c>
      <c r="M20" s="46">
        <f>IF(ROW(tbl_CVX[[#This Row],[Adj Close]])=5, 0, $F20-$F19)</f>
        <v>-1.6999969999999962</v>
      </c>
      <c r="N20" s="46">
        <f>MAX(tbl_CVX[[#This Row],[Move]],0)</f>
        <v>0</v>
      </c>
      <c r="O20" s="46">
        <f>MAX(-tbl_CVX[[#This Row],[Move]],0)</f>
        <v>1.6999969999999962</v>
      </c>
      <c r="P20" s="46">
        <f ca="1">IF(ROW($N20)-5&lt;RSI_Periods, "", AVERAGE(INDIRECT(ADDRESS(ROW($N20)-RSI_Periods +1, MATCH("Upmove", Price_Header,0))): INDIRECT(ADDRESS(ROW($N20),MATCH("Upmove", Price_Header,0)))))</f>
        <v>0.37577600000000089</v>
      </c>
      <c r="Q20" s="46">
        <f ca="1">IF(ROW($O20)-5&lt;RSI_Periods, "", AVERAGE(INDIRECT(ADDRESS(ROW($O20)-RSI_Periods +1, MATCH("Downmove", Price_Header,0))): INDIRECT(ADDRESS(ROW($O20),MATCH("Downmove", Price_Header,0)))))</f>
        <v>0.69122914285714343</v>
      </c>
      <c r="R20" s="46">
        <f ca="1">IF(tbl_CVX[[#This Row],[Avg_Upmove]]="", "", tbl_CVX[[#This Row],[Avg_Upmove]]/tbl_CVX[[#This Row],[Avg_Downmove]])</f>
        <v>0.54363448631051514</v>
      </c>
      <c r="S20" s="10">
        <f ca="1">IF(ROW($N20)-4&lt;BB_Periods, "", _xlfn.STDEV.S(INDIRECT(ADDRESS(ROW($F20)-RSI_Periods +1, MATCH("Adj Close", Price_Header,0))): INDIRECT(ADDRESS(ROW($F20),MATCH("Adj Close", Price_Header,0)))))</f>
        <v>1.9130633052417318</v>
      </c>
    </row>
    <row r="21" spans="1:19" x14ac:dyDescent="0.35">
      <c r="A21" s="8">
        <v>44075</v>
      </c>
      <c r="B21" s="10">
        <v>83.260002</v>
      </c>
      <c r="C21" s="10">
        <v>83.629997000000003</v>
      </c>
      <c r="D21" s="10">
        <v>82.449996999999996</v>
      </c>
      <c r="E21" s="10">
        <v>83.080001999999993</v>
      </c>
      <c r="F21" s="10">
        <v>83.080001999999993</v>
      </c>
      <c r="G21">
        <v>8997200</v>
      </c>
      <c r="H21" s="10">
        <f>IF(tbl_CVX[[#This Row],[Date]]=$A$5, $F21, EMA_Beta*$H20 + (1-EMA_Beta)*$F21)</f>
        <v>86.222507604060951</v>
      </c>
      <c r="I21" s="46">
        <f ca="1">IF(tbl_CVX[[#This Row],[RS]]= "", "", 100-(100/(1+tbl_CVX[[#This Row],[RS]])))</f>
        <v>28.404393886057562</v>
      </c>
      <c r="J21" s="10">
        <f ca="1">IF(ROW($N21)-4&lt;BB_Periods, "", AVERAGE(INDIRECT(ADDRESS(ROW($F21)-RSI_Periods +1, MATCH("Adj Close", Price_Header,0))): INDIRECT(ADDRESS(ROW($F21),MATCH("Adj Close", Price_Header,0)))))</f>
        <v>86.189960499999998</v>
      </c>
      <c r="K21" s="10">
        <f ca="1">IF(tbl_CVX[[#This Row],[BB_Mean]]="", "", tbl_CVX[[#This Row],[BB_Mean]]+(BB_Width*tbl_CVX[[#This Row],[BB_Stdev]]))</f>
        <v>90.097655124024968</v>
      </c>
      <c r="L21" s="10">
        <f ca="1">IF(tbl_CVX[[#This Row],[BB_Mean]]="", "", tbl_CVX[[#This Row],[BB_Mean]]-(BB_Width*tbl_CVX[[#This Row],[BB_Stdev]]))</f>
        <v>82.282265875975028</v>
      </c>
      <c r="M21" s="46">
        <f>IF(ROW(tbl_CVX[[#This Row],[Adj Close]])=5, 0, $F21-$F20)</f>
        <v>-0.84999800000001358</v>
      </c>
      <c r="N21" s="46">
        <f>MAX(tbl_CVX[[#This Row],[Move]],0)</f>
        <v>0</v>
      </c>
      <c r="O21" s="46">
        <f>MAX(-tbl_CVX[[#This Row],[Move]],0)</f>
        <v>0.84999800000001358</v>
      </c>
      <c r="P21" s="46">
        <f ca="1">IF(ROW($N21)-5&lt;RSI_Periods, "", AVERAGE(INDIRECT(ADDRESS(ROW($N21)-RSI_Periods +1, MATCH("Upmove", Price_Header,0))): INDIRECT(ADDRESS(ROW($N21),MATCH("Upmove", Price_Header,0)))))</f>
        <v>0.2983212857142864</v>
      </c>
      <c r="Q21" s="46">
        <f ca="1">IF(ROW($O21)-5&lt;RSI_Periods, "", AVERAGE(INDIRECT(ADDRESS(ROW($O21)-RSI_Periods +1, MATCH("Downmove", Price_Header,0))): INDIRECT(ADDRESS(ROW($O21),MATCH("Downmove", Price_Header,0)))))</f>
        <v>0.75194328571428726</v>
      </c>
      <c r="R21" s="46">
        <f ca="1">IF(tbl_CVX[[#This Row],[Avg_Upmove]]="", "", tbl_CVX[[#This Row],[Avg_Upmove]]/tbl_CVX[[#This Row],[Avg_Downmove]])</f>
        <v>0.39673375822606693</v>
      </c>
      <c r="S21" s="10">
        <f ca="1">IF(ROW($N21)-4&lt;BB_Periods, "", _xlfn.STDEV.S(INDIRECT(ADDRESS(ROW($F21)-RSI_Periods +1, MATCH("Adj Close", Price_Header,0))): INDIRECT(ADDRESS(ROW($F21),MATCH("Adj Close", Price_Header,0)))))</f>
        <v>1.9538473120124868</v>
      </c>
    </row>
    <row r="22" spans="1:19" x14ac:dyDescent="0.35">
      <c r="A22" s="8">
        <v>44076</v>
      </c>
      <c r="B22" s="10">
        <v>83.059997999999993</v>
      </c>
      <c r="C22" s="10">
        <v>83.959998999999996</v>
      </c>
      <c r="D22" s="10">
        <v>82.699996999999996</v>
      </c>
      <c r="E22" s="10">
        <v>83.190002000000007</v>
      </c>
      <c r="F22" s="10">
        <v>83.190002000000007</v>
      </c>
      <c r="G22">
        <v>10821900</v>
      </c>
      <c r="H22" s="10">
        <f>IF(tbl_CVX[[#This Row],[Date]]=$A$5, $F22, EMA_Beta*$H21 + (1-EMA_Beta)*$F22)</f>
        <v>85.919257043654866</v>
      </c>
      <c r="I22" s="46">
        <f ca="1">IF(tbl_CVX[[#This Row],[RS]]= "", "", 100-(100/(1+tbl_CVX[[#This Row],[RS]])))</f>
        <v>30.779459201813282</v>
      </c>
      <c r="J22" s="10">
        <f ca="1">IF(ROW($N22)-4&lt;BB_Periods, "", AVERAGE(INDIRECT(ADDRESS(ROW($F22)-RSI_Periods +1, MATCH("Adj Close", Price_Header,0))): INDIRECT(ADDRESS(ROW($F22),MATCH("Adj Close", Price_Header,0)))))</f>
        <v>85.807568142857136</v>
      </c>
      <c r="K22" s="10">
        <f ca="1">IF(tbl_CVX[[#This Row],[BB_Mean]]="", "", tbl_CVX[[#This Row],[BB_Mean]]+(BB_Width*tbl_CVX[[#This Row],[BB_Stdev]]))</f>
        <v>89.770521303331648</v>
      </c>
      <c r="L22" s="10">
        <f ca="1">IF(tbl_CVX[[#This Row],[BB_Mean]]="", "", tbl_CVX[[#This Row],[BB_Mean]]-(BB_Width*tbl_CVX[[#This Row],[BB_Stdev]]))</f>
        <v>81.844614982382623</v>
      </c>
      <c r="M22" s="46">
        <f>IF(ROW(tbl_CVX[[#This Row],[Adj Close]])=5, 0, $F22-$F21)</f>
        <v>0.11000000000001364</v>
      </c>
      <c r="N22" s="46">
        <f>MAX(tbl_CVX[[#This Row],[Move]],0)</f>
        <v>0.11000000000001364</v>
      </c>
      <c r="O22" s="46">
        <f>MAX(-tbl_CVX[[#This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0.30617842857143024</v>
      </c>
      <c r="Q22" s="46">
        <f ca="1">IF(ROW($O22)-5&lt;RSI_Periods, "", AVERAGE(INDIRECT(ADDRESS(ROW($O22)-RSI_Periods +1, MATCH("Downmove", Price_Header,0))): INDIRECT(ADDRESS(ROW($O22),MATCH("Downmove", Price_Header,0)))))</f>
        <v>0.68857078571428632</v>
      </c>
      <c r="R22" s="46">
        <f ca="1">IF(tbl_CVX[[#This Row],[Avg_Upmove]]="", "", tbl_CVX[[#This Row],[Avg_Upmove]]/tbl_CVX[[#This Row],[Avg_Downmove]])</f>
        <v>0.44465788401669876</v>
      </c>
      <c r="S22" s="10">
        <f ca="1">IF(ROW($N22)-4&lt;BB_Periods, "", _xlfn.STDEV.S(INDIRECT(ADDRESS(ROW($F22)-RSI_Periods +1, MATCH("Adj Close", Price_Header,0))): INDIRECT(ADDRESS(ROW($F22),MATCH("Adj Close", Price_Header,0)))))</f>
        <v>1.9814765802372591</v>
      </c>
    </row>
    <row r="23" spans="1:19" x14ac:dyDescent="0.35">
      <c r="A23" s="8">
        <v>44077</v>
      </c>
      <c r="B23" s="10">
        <v>83.050003000000004</v>
      </c>
      <c r="C23" s="10">
        <v>84.489998</v>
      </c>
      <c r="D23" s="10">
        <v>81.709998999999996</v>
      </c>
      <c r="E23" s="10">
        <v>82.279999000000004</v>
      </c>
      <c r="F23" s="10">
        <v>82.279999000000004</v>
      </c>
      <c r="G23">
        <v>16179900</v>
      </c>
      <c r="H23" s="10">
        <f>IF(tbl_CVX[[#This Row],[Date]]=$A$5, $F23, EMA_Beta*$H22 + (1-EMA_Beta)*$F23)</f>
        <v>85.555331239289387</v>
      </c>
      <c r="I23" s="46">
        <f ca="1">IF(tbl_CVX[[#This Row],[RS]]= "", "", 100-(100/(1+tbl_CVX[[#This Row],[RS]])))</f>
        <v>26.296094396383268</v>
      </c>
      <c r="J23" s="10">
        <f ca="1">IF(ROW($N23)-4&lt;BB_Periods, "", AVERAGE(INDIRECT(ADDRESS(ROW($F23)-RSI_Periods +1, MATCH("Adj Close", Price_Header,0))): INDIRECT(ADDRESS(ROW($F23),MATCH("Adj Close", Price_Header,0)))))</f>
        <v>85.322856357142868</v>
      </c>
      <c r="K23" s="10">
        <f ca="1">IF(tbl_CVX[[#This Row],[BB_Mean]]="", "", tbl_CVX[[#This Row],[BB_Mean]]+(BB_Width*tbl_CVX[[#This Row],[BB_Stdev]]))</f>
        <v>89.228615654040055</v>
      </c>
      <c r="L23" s="10">
        <f ca="1">IF(tbl_CVX[[#This Row],[BB_Mean]]="", "", tbl_CVX[[#This Row],[BB_Mean]]-(BB_Width*tbl_CVX[[#This Row],[BB_Stdev]]))</f>
        <v>81.41709706024568</v>
      </c>
      <c r="M23" s="46">
        <f>IF(ROW(tbl_CVX[[#This Row],[Adj Close]])=5, 0, $F23-$F22)</f>
        <v>-0.91000300000000323</v>
      </c>
      <c r="N23" s="46">
        <f>MAX(tbl_CVX[[#This Row],[Move]],0)</f>
        <v>0</v>
      </c>
      <c r="O23" s="46">
        <f>MAX(-tbl_CVX[[#This Row],[Move]],0)</f>
        <v>0.91000300000000323</v>
      </c>
      <c r="P23" s="46">
        <f ca="1">IF(ROW($N23)-5&lt;RSI_Periods, "", AVERAGE(INDIRECT(ADDRESS(ROW($N23)-RSI_Periods +1, MATCH("Upmove", Price_Header,0))): INDIRECT(ADDRESS(ROW($N23),MATCH("Upmove", Price_Header,0)))))</f>
        <v>0.26885921428571585</v>
      </c>
      <c r="Q23" s="46">
        <f ca="1">IF(ROW($O23)-5&lt;RSI_Periods, "", AVERAGE(INDIRECT(ADDRESS(ROW($O23)-RSI_Periods +1, MATCH("Downmove", Price_Header,0))): INDIRECT(ADDRESS(ROW($O23),MATCH("Downmove", Price_Header,0)))))</f>
        <v>0.75357100000000088</v>
      </c>
      <c r="R23" s="46">
        <f ca="1">IF(tbl_CVX[[#This Row],[Avg_Upmove]]="", "", tbl_CVX[[#This Row],[Avg_Upmove]]/tbl_CVX[[#This Row],[Avg_Downmove]])</f>
        <v>0.35678020290817392</v>
      </c>
      <c r="S23" s="10">
        <f ca="1">IF(ROW($N23)-4&lt;BB_Periods, "", _xlfn.STDEV.S(INDIRECT(ADDRESS(ROW($F23)-RSI_Periods +1, MATCH("Adj Close", Price_Header,0))): INDIRECT(ADDRESS(ROW($F23),MATCH("Adj Close", Price_Header,0)))))</f>
        <v>1.9528796484485946</v>
      </c>
    </row>
    <row r="24" spans="1:19" x14ac:dyDescent="0.35">
      <c r="A24" s="8">
        <v>44078</v>
      </c>
      <c r="B24" s="10">
        <v>82.459998999999996</v>
      </c>
      <c r="C24" s="10">
        <v>83.639999000000003</v>
      </c>
      <c r="D24" s="10">
        <v>80.900002000000001</v>
      </c>
      <c r="E24" s="10">
        <v>81.93</v>
      </c>
      <c r="F24" s="10">
        <v>81.93</v>
      </c>
      <c r="G24">
        <v>10516600</v>
      </c>
      <c r="H24" s="10">
        <f>IF(tbl_CVX[[#This Row],[Date]]=$A$5, $F24, EMA_Beta*$H23 + (1-EMA_Beta)*$F24)</f>
        <v>85.192798115360446</v>
      </c>
      <c r="I24" s="46">
        <f ca="1">IF(tbl_CVX[[#This Row],[RS]]= "", "", 100-(100/(1+tbl_CVX[[#This Row],[RS]])))</f>
        <v>23.508767374573665</v>
      </c>
      <c r="J24" s="10">
        <f ca="1">IF(ROW($N24)-4&lt;BB_Periods, "", AVERAGE(INDIRECT(ADDRESS(ROW($F24)-RSI_Periods +1, MATCH("Adj Close", Price_Header,0))): INDIRECT(ADDRESS(ROW($F24),MATCH("Adj Close", Price_Header,0)))))</f>
        <v>84.783570928571436</v>
      </c>
      <c r="K24" s="10">
        <f ca="1">IF(tbl_CVX[[#This Row],[BB_Mean]]="", "", tbl_CVX[[#This Row],[BB_Mean]]+(BB_Width*tbl_CVX[[#This Row],[BB_Stdev]]))</f>
        <v>88.280236038628288</v>
      </c>
      <c r="L24" s="10">
        <f ca="1">IF(tbl_CVX[[#This Row],[BB_Mean]]="", "", tbl_CVX[[#This Row],[BB_Mean]]-(BB_Width*tbl_CVX[[#This Row],[BB_Stdev]]))</f>
        <v>81.286905818514583</v>
      </c>
      <c r="M24" s="46">
        <f>IF(ROW(tbl_CVX[[#This Row],[Adj Close]])=5, 0, $F24-$F23)</f>
        <v>-0.34999899999999684</v>
      </c>
      <c r="N24" s="46">
        <f>MAX(tbl_CVX[[#This Row],[Move]],0)</f>
        <v>0</v>
      </c>
      <c r="O24" s="46">
        <f>MAX(-tbl_CVX[[#This Row],[Move]],0)</f>
        <v>0.34999899999999684</v>
      </c>
      <c r="P24" s="46">
        <f ca="1">IF(ROW($N24)-5&lt;RSI_Periods, "", AVERAGE(INDIRECT(ADDRESS(ROW($N24)-RSI_Periods +1, MATCH("Upmove", Price_Header,0))): INDIRECT(ADDRESS(ROW($N24),MATCH("Upmove", Price_Header,0)))))</f>
        <v>0.23928550000000115</v>
      </c>
      <c r="Q24" s="46">
        <f ca="1">IF(ROW($O24)-5&lt;RSI_Periods, "", AVERAGE(INDIRECT(ADDRESS(ROW($O24)-RSI_Periods +1, MATCH("Downmove", Price_Header,0))): INDIRECT(ADDRESS(ROW($O24),MATCH("Downmove", Price_Header,0)))))</f>
        <v>0.77857092857142918</v>
      </c>
      <c r="R24" s="46">
        <f ca="1">IF(tbl_CVX[[#This Row],[Avg_Upmove]]="", "", tbl_CVX[[#This Row],[Avg_Upmove]]/tbl_CVX[[#This Row],[Avg_Downmove]])</f>
        <v>0.30733937168583625</v>
      </c>
      <c r="S24" s="10">
        <f ca="1">IF(ROW($N24)-4&lt;BB_Periods, "", _xlfn.STDEV.S(INDIRECT(ADDRESS(ROW($F24)-RSI_Periods +1, MATCH("Adj Close", Price_Header,0))): INDIRECT(ADDRESS(ROW($F24),MATCH("Adj Close", Price_Header,0)))))</f>
        <v>1.7483325550284252</v>
      </c>
    </row>
    <row r="25" spans="1:19" x14ac:dyDescent="0.35">
      <c r="A25" s="8">
        <v>44082</v>
      </c>
      <c r="B25" s="10">
        <v>80.5</v>
      </c>
      <c r="C25" s="10">
        <v>80.580001999999993</v>
      </c>
      <c r="D25" s="10">
        <v>78.040001000000004</v>
      </c>
      <c r="E25" s="10">
        <v>78.970000999999996</v>
      </c>
      <c r="F25" s="10">
        <v>78.970000999999996</v>
      </c>
      <c r="G25">
        <v>14942500</v>
      </c>
      <c r="H25" s="10">
        <f>IF(tbl_CVX[[#This Row],[Date]]=$A$5, $F25, EMA_Beta*$H24 + (1-EMA_Beta)*$F25)</f>
        <v>84.570518403824408</v>
      </c>
      <c r="I25" s="46">
        <f ca="1">IF(tbl_CVX[[#This Row],[RS]]= "", "", 100-(100/(1+tbl_CVX[[#This Row],[RS]])))</f>
        <v>21.809890501230839</v>
      </c>
      <c r="J25" s="10">
        <f ca="1">IF(ROW($N25)-4&lt;BB_Periods, "", AVERAGE(INDIRECT(ADDRESS(ROW($F25)-RSI_Periods +1, MATCH("Adj Close", Price_Header,0))): INDIRECT(ADDRESS(ROW($F25),MATCH("Adj Close", Price_Header,0)))))</f>
        <v>84.164999785714286</v>
      </c>
      <c r="K25" s="10">
        <f ca="1">IF(tbl_CVX[[#This Row],[BB_Mean]]="", "", tbl_CVX[[#This Row],[BB_Mean]]+(BB_Width*tbl_CVX[[#This Row],[BB_Stdev]]))</f>
        <v>88.464384275116402</v>
      </c>
      <c r="L25" s="10">
        <f ca="1">IF(tbl_CVX[[#This Row],[BB_Mean]]="", "", tbl_CVX[[#This Row],[BB_Mean]]-(BB_Width*tbl_CVX[[#This Row],[BB_Stdev]]))</f>
        <v>79.865615296312171</v>
      </c>
      <c r="M25" s="46">
        <f>IF(ROW(tbl_CVX[[#This Row],[Adj Close]])=5, 0, $F25-$F24)</f>
        <v>-2.9599990000000105</v>
      </c>
      <c r="N25" s="46">
        <f>MAX(tbl_CVX[[#This Row],[Move]],0)</f>
        <v>0</v>
      </c>
      <c r="O25" s="46">
        <f>MAX(-tbl_CVX[[#This Row],[Move]],0)</f>
        <v>2.9599990000000105</v>
      </c>
      <c r="P25" s="46">
        <f ca="1">IF(ROW($N25)-5&lt;RSI_Periods, "", AVERAGE(INDIRECT(ADDRESS(ROW($N25)-RSI_Periods +1, MATCH("Upmove", Price_Header,0))): INDIRECT(ADDRESS(ROW($N25),MATCH("Upmove", Price_Header,0)))))</f>
        <v>0.23928550000000115</v>
      </c>
      <c r="Q25" s="46">
        <f ca="1">IF(ROW($O25)-5&lt;RSI_Periods, "", AVERAGE(INDIRECT(ADDRESS(ROW($O25)-RSI_Periods +1, MATCH("Downmove", Price_Header,0))): INDIRECT(ADDRESS(ROW($O25),MATCH("Downmove", Price_Header,0)))))</f>
        <v>0.85785664285714447</v>
      </c>
      <c r="R25" s="46">
        <f ca="1">IF(tbl_CVX[[#This Row],[Avg_Upmove]]="", "", tbl_CVX[[#This Row],[Avg_Upmove]]/tbl_CVX[[#This Row],[Avg_Downmove]])</f>
        <v>0.27893413426635716</v>
      </c>
      <c r="S25" s="10">
        <f ca="1">IF(ROW($N25)-4&lt;BB_Periods, "", _xlfn.STDEV.S(INDIRECT(ADDRESS(ROW($F25)-RSI_Periods +1, MATCH("Adj Close", Price_Header,0))): INDIRECT(ADDRESS(ROW($F25),MATCH("Adj Close", Price_Header,0)))))</f>
        <v>2.149692244701058</v>
      </c>
    </row>
    <row r="26" spans="1:19" x14ac:dyDescent="0.35">
      <c r="A26" s="8">
        <v>44083</v>
      </c>
      <c r="B26" s="10">
        <v>79.970000999999996</v>
      </c>
      <c r="C26" s="10">
        <v>81.069999999999993</v>
      </c>
      <c r="D26" s="10">
        <v>79.680000000000007</v>
      </c>
      <c r="E26" s="10">
        <v>80.029999000000004</v>
      </c>
      <c r="F26" s="10">
        <v>80.029999000000004</v>
      </c>
      <c r="G26">
        <v>9269800</v>
      </c>
      <c r="H26" s="10">
        <f>IF(tbl_CVX[[#This Row],[Date]]=$A$5, $F26, EMA_Beta*$H25 + (1-EMA_Beta)*$F26)</f>
        <v>84.116466463441981</v>
      </c>
      <c r="I26" s="46">
        <f ca="1">IF(tbl_CVX[[#This Row],[RS]]= "", "", 100-(100/(1+tbl_CVX[[#This Row],[RS]])))</f>
        <v>29.051369599057779</v>
      </c>
      <c r="J26" s="10">
        <f ca="1">IF(ROW($N26)-4&lt;BB_Periods, "", AVERAGE(INDIRECT(ADDRESS(ROW($F26)-RSI_Periods +1, MATCH("Adj Close", Price_Header,0))): INDIRECT(ADDRESS(ROW($F26),MATCH("Adj Close", Price_Header,0)))))</f>
        <v>83.710714071428583</v>
      </c>
      <c r="K26" s="10">
        <f ca="1">IF(tbl_CVX[[#This Row],[BB_Mean]]="", "", tbl_CVX[[#This Row],[BB_Mean]]+(BB_Width*tbl_CVX[[#This Row],[BB_Stdev]]))</f>
        <v>88.329526791381326</v>
      </c>
      <c r="L26" s="10">
        <f ca="1">IF(tbl_CVX[[#This Row],[BB_Mean]]="", "", tbl_CVX[[#This Row],[BB_Mean]]-(BB_Width*tbl_CVX[[#This Row],[BB_Stdev]]))</f>
        <v>79.09190135147584</v>
      </c>
      <c r="M26" s="46">
        <f>IF(ROW(tbl_CVX[[#This Row],[Adj Close]])=5, 0, $F26-$F25)</f>
        <v>1.0599980000000073</v>
      </c>
      <c r="N26" s="46">
        <f>MAX(tbl_CVX[[#This Row],[Move]],0)</f>
        <v>1.0599980000000073</v>
      </c>
      <c r="O26" s="46">
        <f>MAX(-tbl_CVX[[#This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0.31499964285714455</v>
      </c>
      <c r="Q26" s="46">
        <f ca="1">IF(ROW($O26)-5&lt;RSI_Periods, "", AVERAGE(INDIRECT(ADDRESS(ROW($O26)-RSI_Periods +1, MATCH("Downmove", Price_Header,0))): INDIRECT(ADDRESS(ROW($O26),MATCH("Downmove", Price_Header,0)))))</f>
        <v>0.76928535714285873</v>
      </c>
      <c r="R26" s="46">
        <f ca="1">IF(tbl_CVX[[#This Row],[Avg_Upmove]]="", "", tbl_CVX[[#This Row],[Avg_Upmove]]/tbl_CVX[[#This Row],[Avg_Downmove]])</f>
        <v>0.40947047793429936</v>
      </c>
      <c r="S26" s="10">
        <f ca="1">IF(ROW($N26)-4&lt;BB_Periods, "", _xlfn.STDEV.S(INDIRECT(ADDRESS(ROW($F26)-RSI_Periods +1, MATCH("Adj Close", Price_Header,0))): INDIRECT(ADDRESS(ROW($F26),MATCH("Adj Close", Price_Header,0)))))</f>
        <v>2.3094063599763683</v>
      </c>
    </row>
    <row r="27" spans="1:19" x14ac:dyDescent="0.35">
      <c r="A27" s="8">
        <v>44084</v>
      </c>
      <c r="B27" s="10">
        <v>80.629997000000003</v>
      </c>
      <c r="C27" s="10">
        <v>80.889999000000003</v>
      </c>
      <c r="D27" s="10">
        <v>78.050003000000004</v>
      </c>
      <c r="E27" s="10">
        <v>78.150002000000001</v>
      </c>
      <c r="F27" s="10">
        <v>78.150002000000001</v>
      </c>
      <c r="G27">
        <v>11845900</v>
      </c>
      <c r="H27" s="10">
        <f>IF(tbl_CVX[[#This Row],[Date]]=$A$5, $F27, EMA_Beta*$H26 + (1-EMA_Beta)*$F27)</f>
        <v>83.519820017097786</v>
      </c>
      <c r="I27" s="46">
        <f ca="1">IF(tbl_CVX[[#This Row],[RS]]= "", "", 100-(100/(1+tbl_CVX[[#This Row],[RS]])))</f>
        <v>28.488365557953429</v>
      </c>
      <c r="J27" s="10">
        <f ca="1">IF(ROW($N27)-4&lt;BB_Periods, "", AVERAGE(INDIRECT(ADDRESS(ROW($F27)-RSI_Periods +1, MATCH("Adj Close", Price_Header,0))): INDIRECT(ADDRESS(ROW($F27),MATCH("Adj Close", Price_Header,0)))))</f>
        <v>83.235000071428587</v>
      </c>
      <c r="K27" s="10">
        <f ca="1">IF(tbl_CVX[[#This Row],[BB_Mean]]="", "", tbl_CVX[[#This Row],[BB_Mean]]+(BB_Width*tbl_CVX[[#This Row],[BB_Stdev]]))</f>
        <v>88.666489194625285</v>
      </c>
      <c r="L27" s="10">
        <f ca="1">IF(tbl_CVX[[#This Row],[BB_Mean]]="", "", tbl_CVX[[#This Row],[BB_Mean]]-(BB_Width*tbl_CVX[[#This Row],[BB_Stdev]]))</f>
        <v>77.803510948231889</v>
      </c>
      <c r="M27" s="46">
        <f>IF(ROW(tbl_CVX[[#This Row],[Adj Close]])=5, 0, $F27-$F26)</f>
        <v>-1.879997000000003</v>
      </c>
      <c r="N27" s="46">
        <f>MAX(tbl_CVX[[#This Row],[Move]],0)</f>
        <v>0</v>
      </c>
      <c r="O27" s="46">
        <f>MAX(-tbl_CVX[[#This Row],[Move]],0)</f>
        <v>1.879997000000003</v>
      </c>
      <c r="P27" s="46">
        <f ca="1">IF(ROW($N27)-5&lt;RSI_Periods, "", AVERAGE(INDIRECT(ADDRESS(ROW($N27)-RSI_Periods +1, MATCH("Upmove", Price_Header,0))): INDIRECT(ADDRESS(ROW($N27),MATCH("Upmove", Price_Header,0)))))</f>
        <v>0.31499964285714455</v>
      </c>
      <c r="Q27" s="46">
        <f ca="1">IF(ROW($O27)-5&lt;RSI_Periods, "", AVERAGE(INDIRECT(ADDRESS(ROW($O27)-RSI_Periods +1, MATCH("Downmove", Price_Header,0))): INDIRECT(ADDRESS(ROW($O27),MATCH("Downmove", Price_Header,0)))))</f>
        <v>0.79071364285714396</v>
      </c>
      <c r="R27" s="46">
        <f ca="1">IF(tbl_CVX[[#This Row],[Avg_Upmove]]="", "", tbl_CVX[[#This Row],[Avg_Upmove]]/tbl_CVX[[#This Row],[Avg_Downmove]])</f>
        <v>0.39837385594983932</v>
      </c>
      <c r="S27" s="10">
        <f ca="1">IF(ROW($N27)-4&lt;BB_Periods, "", _xlfn.STDEV.S(INDIRECT(ADDRESS(ROW($F27)-RSI_Periods +1, MATCH("Adj Close", Price_Header,0))): INDIRECT(ADDRESS(ROW($F27),MATCH("Adj Close", Price_Header,0)))))</f>
        <v>2.715744561598346</v>
      </c>
    </row>
    <row r="28" spans="1:19" x14ac:dyDescent="0.35">
      <c r="A28" s="8">
        <v>44085</v>
      </c>
      <c r="B28" s="10">
        <v>78.239998</v>
      </c>
      <c r="C28" s="10">
        <v>78.690002000000007</v>
      </c>
      <c r="D28" s="10">
        <v>77.069999999999993</v>
      </c>
      <c r="E28" s="10">
        <v>77.690002000000007</v>
      </c>
      <c r="F28" s="10">
        <v>77.690002000000007</v>
      </c>
      <c r="G28">
        <v>13732400</v>
      </c>
      <c r="H28" s="10">
        <f>IF(tbl_CVX[[#This Row],[Date]]=$A$5, $F28, EMA_Beta*$H27 + (1-EMA_Beta)*$F28)</f>
        <v>82.936838215388008</v>
      </c>
      <c r="I28" s="46">
        <f ca="1">IF(tbl_CVX[[#This Row],[RS]]= "", "", 100-(100/(1+tbl_CVX[[#This Row],[RS]])))</f>
        <v>26.41988357102143</v>
      </c>
      <c r="J28" s="10">
        <f ca="1">IF(ROW($N28)-4&lt;BB_Periods, "", AVERAGE(INDIRECT(ADDRESS(ROW($F28)-RSI_Periods +1, MATCH("Adj Close", Price_Header,0))): INDIRECT(ADDRESS(ROW($F28),MATCH("Adj Close", Price_Header,0)))))</f>
        <v>82.707142928571443</v>
      </c>
      <c r="K28" s="10">
        <f ca="1">IF(tbl_CVX[[#This Row],[BB_Mean]]="", "", tbl_CVX[[#This Row],[BB_Mean]]+(BB_Width*tbl_CVX[[#This Row],[BB_Stdev]]))</f>
        <v>88.766353286367192</v>
      </c>
      <c r="L28" s="10">
        <f ca="1">IF(tbl_CVX[[#This Row],[BB_Mean]]="", "", tbl_CVX[[#This Row],[BB_Mean]]-(BB_Width*tbl_CVX[[#This Row],[BB_Stdev]]))</f>
        <v>76.647932570775694</v>
      </c>
      <c r="M28" s="46">
        <f>IF(ROW(tbl_CVX[[#This Row],[Adj Close]])=5, 0, $F28-$F27)</f>
        <v>-0.45999999999999375</v>
      </c>
      <c r="N28" s="46">
        <f>MAX(tbl_CVX[[#This Row],[Move]],0)</f>
        <v>0</v>
      </c>
      <c r="O28" s="46">
        <f>MAX(-tbl_CVX[[#This Row],[Move]],0)</f>
        <v>0.45999999999999375</v>
      </c>
      <c r="P28" s="46">
        <f ca="1">IF(ROW($N28)-5&lt;RSI_Periods, "", AVERAGE(INDIRECT(ADDRESS(ROW($N28)-RSI_Periods +1, MATCH("Upmove", Price_Header,0))): INDIRECT(ADDRESS(ROW($N28),MATCH("Upmove", Price_Header,0)))))</f>
        <v>0.29571364285714452</v>
      </c>
      <c r="Q28" s="46">
        <f ca="1">IF(ROW($O28)-5&lt;RSI_Periods, "", AVERAGE(INDIRECT(ADDRESS(ROW($O28)-RSI_Periods +1, MATCH("Downmove", Price_Header,0))): INDIRECT(ADDRESS(ROW($O28),MATCH("Downmove", Price_Header,0)))))</f>
        <v>0.82357078571428644</v>
      </c>
      <c r="R28" s="46">
        <f ca="1">IF(tbl_CVX[[#This Row],[Avg_Upmove]]="", "", tbl_CVX[[#This Row],[Avg_Upmove]]/tbl_CVX[[#This Row],[Avg_Downmove]])</f>
        <v>0.35906281279838115</v>
      </c>
      <c r="S28" s="10">
        <f ca="1">IF(ROW($N28)-4&lt;BB_Periods, "", _xlfn.STDEV.S(INDIRECT(ADDRESS(ROW($F28)-RSI_Periods +1, MATCH("Adj Close", Price_Header,0))): INDIRECT(ADDRESS(ROW($F28),MATCH("Adj Close", Price_Header,0)))))</f>
        <v>3.0296051788978771</v>
      </c>
    </row>
    <row r="29" spans="1:19" x14ac:dyDescent="0.35">
      <c r="A29" s="8">
        <v>44088</v>
      </c>
      <c r="B29" s="10">
        <v>77.480002999999996</v>
      </c>
      <c r="C29" s="10">
        <v>77.980002999999996</v>
      </c>
      <c r="D29" s="10">
        <v>76.919998000000007</v>
      </c>
      <c r="E29" s="10">
        <v>77.290001000000004</v>
      </c>
      <c r="F29" s="10">
        <v>77.290001000000004</v>
      </c>
      <c r="G29">
        <v>8182800</v>
      </c>
      <c r="H29" s="10">
        <f>IF(tbl_CVX[[#This Row],[Date]]=$A$5, $F29, EMA_Beta*$H28 + (1-EMA_Beta)*$F29)</f>
        <v>82.372154493849209</v>
      </c>
      <c r="I29" s="46">
        <f ca="1">IF(tbl_CVX[[#This Row],[RS]]= "", "", 100-(100/(1+tbl_CVX[[#This Row],[RS]])))</f>
        <v>14.480270520662927</v>
      </c>
      <c r="J29" s="10">
        <f ca="1">IF(ROW($N29)-4&lt;BB_Periods, "", AVERAGE(INDIRECT(ADDRESS(ROW($F29)-RSI_Periods +1, MATCH("Adj Close", Price_Header,0))): INDIRECT(ADDRESS(ROW($F29),MATCH("Adj Close", Price_Header,0)))))</f>
        <v>81.999286071428557</v>
      </c>
      <c r="K29" s="10">
        <f ca="1">IF(tbl_CVX[[#This Row],[BB_Mean]]="", "", tbl_CVX[[#This Row],[BB_Mean]]+(BB_Width*tbl_CVX[[#This Row],[BB_Stdev]]))</f>
        <v>88.11271211238612</v>
      </c>
      <c r="L29" s="10">
        <f ca="1">IF(tbl_CVX[[#This Row],[BB_Mean]]="", "", tbl_CVX[[#This Row],[BB_Mean]]-(BB_Width*tbl_CVX[[#This Row],[BB_Stdev]]))</f>
        <v>75.885860030470994</v>
      </c>
      <c r="M29" s="46">
        <f>IF(ROW(tbl_CVX[[#This Row],[Adj Close]])=5, 0, $F29-$F28)</f>
        <v>-0.40000100000000316</v>
      </c>
      <c r="N29" s="46">
        <f>MAX(tbl_CVX[[#This Row],[Move]],0)</f>
        <v>0</v>
      </c>
      <c r="O29" s="46">
        <f>MAX(-tbl_CVX[[#This Row],[Move]],0)</f>
        <v>0.40000100000000316</v>
      </c>
      <c r="P29" s="46">
        <f ca="1">IF(ROW($N29)-5&lt;RSI_Periods, "", AVERAGE(INDIRECT(ADDRESS(ROW($N29)-RSI_Periods +1, MATCH("Upmove", Price_Header,0))): INDIRECT(ADDRESS(ROW($N29),MATCH("Upmove", Price_Header,0)))))</f>
        <v>0.14428542857143004</v>
      </c>
      <c r="Q29" s="46">
        <f ca="1">IF(ROW($O29)-5&lt;RSI_Periods, "", AVERAGE(INDIRECT(ADDRESS(ROW($O29)-RSI_Periods +1, MATCH("Downmove", Price_Header,0))): INDIRECT(ADDRESS(ROW($O29),MATCH("Downmove", Price_Header,0)))))</f>
        <v>0.85214228571428663</v>
      </c>
      <c r="R29" s="46">
        <f ca="1">IF(tbl_CVX[[#This Row],[Avg_Upmove]]="", "", tbl_CVX[[#This Row],[Avg_Upmove]]/tbl_CVX[[#This Row],[Avg_Downmove]])</f>
        <v>0.16932081765017262</v>
      </c>
      <c r="S29" s="10">
        <f ca="1">IF(ROW($N29)-4&lt;BB_Periods, "", _xlfn.STDEV.S(INDIRECT(ADDRESS(ROW($F29)-RSI_Periods +1, MATCH("Adj Close", Price_Header,0))): INDIRECT(ADDRESS(ROW($F29),MATCH("Adj Close", Price_Header,0)))))</f>
        <v>3.0567130204787847</v>
      </c>
    </row>
    <row r="30" spans="1:19" x14ac:dyDescent="0.35">
      <c r="A30" s="8">
        <v>44089</v>
      </c>
      <c r="B30" s="10">
        <v>77.559997999999993</v>
      </c>
      <c r="C30" s="10">
        <v>78.480002999999996</v>
      </c>
      <c r="D30" s="10">
        <v>75.959998999999996</v>
      </c>
      <c r="E30" s="10">
        <v>76.349997999999999</v>
      </c>
      <c r="F30" s="10">
        <v>76.349997999999999</v>
      </c>
      <c r="G30">
        <v>11732000</v>
      </c>
      <c r="H30" s="10">
        <f>IF(tbl_CVX[[#This Row],[Date]]=$A$5, $F30, EMA_Beta*$H29 + (1-EMA_Beta)*$F30)</f>
        <v>81.769938844464292</v>
      </c>
      <c r="I30" s="46">
        <f ca="1">IF(tbl_CVX[[#This Row],[RS]]= "", "", 100-(100/(1+tbl_CVX[[#This Row],[RS]])))</f>
        <v>14.616478404363747</v>
      </c>
      <c r="J30" s="10">
        <f ca="1">IF(ROW($N30)-4&lt;BB_Periods, "", AVERAGE(INDIRECT(ADDRESS(ROW($F30)-RSI_Periods +1, MATCH("Adj Close", Price_Header,0))): INDIRECT(ADDRESS(ROW($F30),MATCH("Adj Close", Price_Header,0)))))</f>
        <v>81.300714714285704</v>
      </c>
      <c r="K30" s="10">
        <f ca="1">IF(tbl_CVX[[#This Row],[BB_Mean]]="", "", tbl_CVX[[#This Row],[BB_Mean]]+(BB_Width*tbl_CVX[[#This Row],[BB_Stdev]]))</f>
        <v>87.612732168893018</v>
      </c>
      <c r="L30" s="10">
        <f ca="1">IF(tbl_CVX[[#This Row],[BB_Mean]]="", "", tbl_CVX[[#This Row],[BB_Mean]]-(BB_Width*tbl_CVX[[#This Row],[BB_Stdev]]))</f>
        <v>74.988697259678389</v>
      </c>
      <c r="M30" s="46">
        <f>IF(ROW(tbl_CVX[[#This Row],[Adj Close]])=5, 0, $F30-$F29)</f>
        <v>-0.94000300000000436</v>
      </c>
      <c r="N30" s="46">
        <f>MAX(tbl_CVX[[#This Row],[Move]],0)</f>
        <v>0</v>
      </c>
      <c r="O30" s="46">
        <f>MAX(-tbl_CVX[[#This Row],[Move]],0)</f>
        <v>0.94000300000000436</v>
      </c>
      <c r="P30" s="46">
        <f ca="1">IF(ROW($N30)-5&lt;RSI_Periods, "", AVERAGE(INDIRECT(ADDRESS(ROW($N30)-RSI_Periods +1, MATCH("Upmove", Price_Header,0))): INDIRECT(ADDRESS(ROW($N30),MATCH("Upmove", Price_Header,0)))))</f>
        <v>0.14428542857143004</v>
      </c>
      <c r="Q30" s="46">
        <f ca="1">IF(ROW($O30)-5&lt;RSI_Periods, "", AVERAGE(INDIRECT(ADDRESS(ROW($O30)-RSI_Periods +1, MATCH("Downmove", Price_Header,0))): INDIRECT(ADDRESS(ROW($O30),MATCH("Downmove", Price_Header,0)))))</f>
        <v>0.84285678571428746</v>
      </c>
      <c r="R30" s="46">
        <f ca="1">IF(tbl_CVX[[#This Row],[Avg_Upmove]]="", "", tbl_CVX[[#This Row],[Avg_Upmove]]/tbl_CVX[[#This Row],[Avg_Downmove]])</f>
        <v>0.17118617423143115</v>
      </c>
      <c r="S30" s="10">
        <f ca="1">IF(ROW($N30)-4&lt;BB_Periods, "", _xlfn.STDEV.S(INDIRECT(ADDRESS(ROW($F30)-RSI_Periods +1, MATCH("Adj Close", Price_Header,0))): INDIRECT(ADDRESS(ROW($F30),MATCH("Adj Close", Price_Header,0)))))</f>
        <v>3.1560087273036554</v>
      </c>
    </row>
    <row r="31" spans="1:19" x14ac:dyDescent="0.35">
      <c r="A31" s="8">
        <v>44090</v>
      </c>
      <c r="B31" s="10">
        <v>76.349997999999999</v>
      </c>
      <c r="C31" s="10">
        <v>79.480002999999996</v>
      </c>
      <c r="D31" s="10">
        <v>75.959998999999996</v>
      </c>
      <c r="E31" s="10">
        <v>78.559997999999993</v>
      </c>
      <c r="F31" s="10">
        <v>78.559997999999993</v>
      </c>
      <c r="G31">
        <v>13019000</v>
      </c>
      <c r="H31" s="10">
        <f>IF(tbl_CVX[[#This Row],[Date]]=$A$5, $F31, EMA_Beta*$H30 + (1-EMA_Beta)*$F31)</f>
        <v>81.448944760017852</v>
      </c>
      <c r="I31" s="46">
        <f ca="1">IF(tbl_CVX[[#This Row],[RS]]= "", "", 100-(100/(1+tbl_CVX[[#This Row],[RS]])))</f>
        <v>28.814700388481128</v>
      </c>
      <c r="J31" s="10">
        <f ca="1">IF(ROW($N31)-4&lt;BB_Periods, "", AVERAGE(INDIRECT(ADDRESS(ROW($F31)-RSI_Periods +1, MATCH("Adj Close", Price_Header,0))): INDIRECT(ADDRESS(ROW($F31),MATCH("Adj Close", Price_Header,0)))))</f>
        <v>80.856428928571418</v>
      </c>
      <c r="K31" s="10">
        <f ca="1">IF(tbl_CVX[[#This Row],[BB_Mean]]="", "", tbl_CVX[[#This Row],[BB_Mean]]+(BB_Width*tbl_CVX[[#This Row],[BB_Stdev]]))</f>
        <v>86.986499453058116</v>
      </c>
      <c r="L31" s="10">
        <f ca="1">IF(tbl_CVX[[#This Row],[BB_Mean]]="", "", tbl_CVX[[#This Row],[BB_Mean]]-(BB_Width*tbl_CVX[[#This Row],[BB_Stdev]]))</f>
        <v>74.726358404084721</v>
      </c>
      <c r="M31" s="46">
        <f>IF(ROW(tbl_CVX[[#This Row],[Adj Close]])=5, 0, $F31-$F30)</f>
        <v>2.2099999999999937</v>
      </c>
      <c r="N31" s="46">
        <f>MAX(tbl_CVX[[#This Row],[Move]],0)</f>
        <v>2.2099999999999937</v>
      </c>
      <c r="O31" s="46">
        <f>MAX(-tbl_CVX[[#This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0.30214257142857243</v>
      </c>
      <c r="Q31" s="46">
        <f ca="1">IF(ROW($O31)-5&lt;RSI_Periods, "", AVERAGE(INDIRECT(ADDRESS(ROW($O31)-RSI_Periods +1, MATCH("Downmove", Price_Header,0))): INDIRECT(ADDRESS(ROW($O31),MATCH("Downmove", Price_Header,0)))))</f>
        <v>0.74642835714285893</v>
      </c>
      <c r="R31" s="46">
        <f ca="1">IF(tbl_CVX[[#This Row],[Avg_Upmove]]="", "", tbl_CVX[[#This Row],[Avg_Upmove]]/tbl_CVX[[#This Row],[Avg_Downmove]])</f>
        <v>0.40478442242615037</v>
      </c>
      <c r="S31" s="10">
        <f ca="1">IF(ROW($N31)-4&lt;BB_Periods, "", _xlfn.STDEV.S(INDIRECT(ADDRESS(ROW($F31)-RSI_Periods +1, MATCH("Adj Close", Price_Header,0))): INDIRECT(ADDRESS(ROW($F31),MATCH("Adj Close", Price_Header,0)))))</f>
        <v>3.0650352622433488</v>
      </c>
    </row>
    <row r="32" spans="1:19" x14ac:dyDescent="0.35">
      <c r="A32" s="8">
        <v>44091</v>
      </c>
      <c r="B32" s="10">
        <v>77.529999000000004</v>
      </c>
      <c r="C32" s="10">
        <v>78.849997999999999</v>
      </c>
      <c r="D32" s="10">
        <v>76.370002999999997</v>
      </c>
      <c r="E32" s="10">
        <v>78.790001000000004</v>
      </c>
      <c r="F32" s="10">
        <v>78.790001000000004</v>
      </c>
      <c r="G32">
        <v>10515100</v>
      </c>
      <c r="H32" s="10">
        <f>IF(tbl_CVX[[#This Row],[Date]]=$A$5, $F32, EMA_Beta*$H31 + (1-EMA_Beta)*$F32)</f>
        <v>81.18305038401607</v>
      </c>
      <c r="I32" s="46">
        <f ca="1">IF(tbl_CVX[[#This Row],[RS]]= "", "", 100-(100/(1+tbl_CVX[[#This Row],[RS]])))</f>
        <v>29.296323658113266</v>
      </c>
      <c r="J32" s="10">
        <f ca="1">IF(ROW($N32)-4&lt;BB_Periods, "", AVERAGE(INDIRECT(ADDRESS(ROW($F32)-RSI_Periods +1, MATCH("Adj Close", Price_Header,0))): INDIRECT(ADDRESS(ROW($F32),MATCH("Adj Close", Price_Header,0)))))</f>
        <v>80.419285857142867</v>
      </c>
      <c r="K32" s="10">
        <f ca="1">IF(tbl_CVX[[#This Row],[BB_Mean]]="", "", tbl_CVX[[#This Row],[BB_Mean]]+(BB_Width*tbl_CVX[[#This Row],[BB_Stdev]]))</f>
        <v>86.164948346361285</v>
      </c>
      <c r="L32" s="10">
        <f ca="1">IF(tbl_CVX[[#This Row],[BB_Mean]]="", "", tbl_CVX[[#This Row],[BB_Mean]]-(BB_Width*tbl_CVX[[#This Row],[BB_Stdev]]))</f>
        <v>74.673623367924449</v>
      </c>
      <c r="M32" s="46">
        <f>IF(ROW(tbl_CVX[[#This Row],[Adj Close]])=5, 0, $F32-$F31)</f>
        <v>0.23000300000001062</v>
      </c>
      <c r="N32" s="46">
        <f>MAX(tbl_CVX[[#This Row],[Move]],0)</f>
        <v>0.23000300000001062</v>
      </c>
      <c r="O32" s="46">
        <f>MAX(-tbl_CVX[[#This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0.30928528571428771</v>
      </c>
      <c r="Q32" s="46">
        <f ca="1">IF(ROW($O32)-5&lt;RSI_Periods, "", AVERAGE(INDIRECT(ADDRESS(ROW($O32)-RSI_Periods +1, MATCH("Downmove", Price_Header,0))): INDIRECT(ADDRESS(ROW($O32),MATCH("Downmove", Price_Header,0)))))</f>
        <v>0.74642835714285893</v>
      </c>
      <c r="R32" s="46">
        <f ca="1">IF(tbl_CVX[[#This Row],[Avg_Upmove]]="", "", tbl_CVX[[#This Row],[Avg_Upmove]]/tbl_CVX[[#This Row],[Avg_Downmove]])</f>
        <v>0.41435361177615815</v>
      </c>
      <c r="S32" s="10">
        <f ca="1">IF(ROW($N32)-4&lt;BB_Periods, "", _xlfn.STDEV.S(INDIRECT(ADDRESS(ROW($F32)-RSI_Periods +1, MATCH("Adj Close", Price_Header,0))): INDIRECT(ADDRESS(ROW($F32),MATCH("Adj Close", Price_Header,0)))))</f>
        <v>2.8728312446092104</v>
      </c>
    </row>
    <row r="33" spans="1:19" x14ac:dyDescent="0.35">
      <c r="A33" s="8">
        <v>44092</v>
      </c>
      <c r="B33" s="10">
        <v>77.879997000000003</v>
      </c>
      <c r="C33" s="10">
        <v>79.150002000000001</v>
      </c>
      <c r="D33" s="10">
        <v>77.5</v>
      </c>
      <c r="E33" s="10">
        <v>78.209998999999996</v>
      </c>
      <c r="F33" s="10">
        <v>78.209998999999996</v>
      </c>
      <c r="G33">
        <v>14517800</v>
      </c>
      <c r="H33" s="10">
        <f>IF(tbl_CVX[[#This Row],[Date]]=$A$5, $F33, EMA_Beta*$H32 + (1-EMA_Beta)*$F33)</f>
        <v>80.885745245614473</v>
      </c>
      <c r="I33" s="46">
        <f ca="1">IF(tbl_CVX[[#This Row],[RS]]= "", "", 100-(100/(1+tbl_CVX[[#This Row],[RS]])))</f>
        <v>24.658476775956359</v>
      </c>
      <c r="J33" s="10">
        <f ca="1">IF(ROW($N33)-4&lt;BB_Periods, "", AVERAGE(INDIRECT(ADDRESS(ROW($F33)-RSI_Periods +1, MATCH("Adj Close", Price_Header,0))): INDIRECT(ADDRESS(ROW($F33),MATCH("Adj Close", Price_Header,0)))))</f>
        <v>79.889285999999984</v>
      </c>
      <c r="K33" s="10">
        <f ca="1">IF(tbl_CVX[[#This Row],[BB_Mean]]="", "", tbl_CVX[[#This Row],[BB_Mean]]+(BB_Width*tbl_CVX[[#This Row],[BB_Stdev]]))</f>
        <v>84.884296174868695</v>
      </c>
      <c r="L33" s="10">
        <f ca="1">IF(tbl_CVX[[#This Row],[BB_Mean]]="", "", tbl_CVX[[#This Row],[BB_Mean]]-(BB_Width*tbl_CVX[[#This Row],[BB_Stdev]]))</f>
        <v>74.894275825131274</v>
      </c>
      <c r="M33" s="46">
        <f>IF(ROW(tbl_CVX[[#This Row],[Adj Close]])=5, 0, $F33-$F32)</f>
        <v>-0.58000200000000746</v>
      </c>
      <c r="N33" s="46">
        <f>MAX(tbl_CVX[[#This Row],[Move]],0)</f>
        <v>0</v>
      </c>
      <c r="O33" s="46">
        <f>MAX(-tbl_CVX[[#This Row],[Move]],0)</f>
        <v>0.58000200000000746</v>
      </c>
      <c r="P33" s="46">
        <f ca="1">IF(ROW($N33)-5&lt;RSI_Periods, "", AVERAGE(INDIRECT(ADDRESS(ROW($N33)-RSI_Periods +1, MATCH("Upmove", Price_Header,0))): INDIRECT(ADDRESS(ROW($N33),MATCH("Upmove", Price_Header,0)))))</f>
        <v>0.25785721428571612</v>
      </c>
      <c r="Q33" s="46">
        <f ca="1">IF(ROW($O33)-5&lt;RSI_Periods, "", AVERAGE(INDIRECT(ADDRESS(ROW($O33)-RSI_Periods +1, MATCH("Downmove", Price_Header,0))): INDIRECT(ADDRESS(ROW($O33),MATCH("Downmove", Price_Header,0)))))</f>
        <v>0.78785707142857375</v>
      </c>
      <c r="R33" s="46">
        <f ca="1">IF(tbl_CVX[[#This Row],[Avg_Upmove]]="", "", tbl_CVX[[#This Row],[Avg_Upmove]]/tbl_CVX[[#This Row],[Avg_Downmove]])</f>
        <v>0.32728933157654999</v>
      </c>
      <c r="S33" s="10">
        <f ca="1">IF(ROW($N33)-4&lt;BB_Periods, "", _xlfn.STDEV.S(INDIRECT(ADDRESS(ROW($F33)-RSI_Periods +1, MATCH("Adj Close", Price_Header,0))): INDIRECT(ADDRESS(ROW($F33),MATCH("Adj Close", Price_Header,0)))))</f>
        <v>2.4975050874343521</v>
      </c>
    </row>
    <row r="34" spans="1:19" x14ac:dyDescent="0.35">
      <c r="A34" s="8">
        <v>44095</v>
      </c>
      <c r="B34" s="10">
        <v>76.239998</v>
      </c>
      <c r="C34" s="10">
        <v>76.650002000000001</v>
      </c>
      <c r="D34" s="10">
        <v>74.680000000000007</v>
      </c>
      <c r="E34" s="10">
        <v>76.300003000000004</v>
      </c>
      <c r="F34" s="10">
        <v>76.300003000000004</v>
      </c>
      <c r="G34">
        <v>16199100</v>
      </c>
      <c r="H34" s="10">
        <f>IF(tbl_CVX[[#This Row],[Date]]=$A$5, $F34, EMA_Beta*$H33 + (1-EMA_Beta)*$F34)</f>
        <v>80.427171021053027</v>
      </c>
      <c r="I34" s="46">
        <f ca="1">IF(tbl_CVX[[#This Row],[RS]]= "", "", 100-(100/(1+tbl_CVX[[#This Row],[RS]])))</f>
        <v>24.309772680792861</v>
      </c>
      <c r="J34" s="10">
        <f ca="1">IF(ROW($N34)-4&lt;BB_Periods, "", AVERAGE(INDIRECT(ADDRESS(ROW($F34)-RSI_Periods +1, MATCH("Adj Close", Price_Header,0))): INDIRECT(ADDRESS(ROW($F34),MATCH("Adj Close", Price_Header,0)))))</f>
        <v>79.344286214285717</v>
      </c>
      <c r="K34" s="10">
        <f ca="1">IF(tbl_CVX[[#This Row],[BB_Mean]]="", "", tbl_CVX[[#This Row],[BB_Mean]]+(BB_Width*tbl_CVX[[#This Row],[BB_Stdev]]))</f>
        <v>84.09936924994922</v>
      </c>
      <c r="L34" s="10">
        <f ca="1">IF(tbl_CVX[[#This Row],[BB_Mean]]="", "", tbl_CVX[[#This Row],[BB_Mean]]-(BB_Width*tbl_CVX[[#This Row],[BB_Stdev]]))</f>
        <v>74.589203178622213</v>
      </c>
      <c r="M34" s="46">
        <f>IF(ROW(tbl_CVX[[#This Row],[Adj Close]])=5, 0, $F34-$F33)</f>
        <v>-1.9099959999999925</v>
      </c>
      <c r="N34" s="46">
        <f>MAX(tbl_CVX[[#This Row],[Move]],0)</f>
        <v>0</v>
      </c>
      <c r="O34" s="46">
        <f>MAX(-tbl_CVX[[#This Row],[Move]],0)</f>
        <v>1.9099959999999925</v>
      </c>
      <c r="P34" s="46">
        <f ca="1">IF(ROW($N34)-5&lt;RSI_Periods, "", AVERAGE(INDIRECT(ADDRESS(ROW($N34)-RSI_Periods +1, MATCH("Upmove", Price_Header,0))): INDIRECT(ADDRESS(ROW($N34),MATCH("Upmove", Price_Header,0)))))</f>
        <v>0.25785721428571612</v>
      </c>
      <c r="Q34" s="46">
        <f ca="1">IF(ROW($O34)-5&lt;RSI_Periods, "", AVERAGE(INDIRECT(ADDRESS(ROW($O34)-RSI_Periods +1, MATCH("Downmove", Price_Header,0))): INDIRECT(ADDRESS(ROW($O34),MATCH("Downmove", Price_Header,0)))))</f>
        <v>0.80285700000000204</v>
      </c>
      <c r="R34" s="46">
        <f ca="1">IF(tbl_CVX[[#This Row],[Avg_Upmove]]="", "", tbl_CVX[[#This Row],[Avg_Upmove]]/tbl_CVX[[#This Row],[Avg_Downmove]])</f>
        <v>0.32117452334066399</v>
      </c>
      <c r="S34" s="10">
        <f ca="1">IF(ROW($N34)-4&lt;BB_Periods, "", _xlfn.STDEV.S(INDIRECT(ADDRESS(ROW($F34)-RSI_Periods +1, MATCH("Adj Close", Price_Header,0))): INDIRECT(ADDRESS(ROW($F34),MATCH("Adj Close", Price_Header,0)))))</f>
        <v>2.3775415178317543</v>
      </c>
    </row>
    <row r="35" spans="1:19" x14ac:dyDescent="0.35">
      <c r="A35" s="8">
        <v>44096</v>
      </c>
      <c r="B35" s="10">
        <v>76.150002000000001</v>
      </c>
      <c r="C35" s="10">
        <v>77.529999000000004</v>
      </c>
      <c r="D35" s="10">
        <v>75.349997999999999</v>
      </c>
      <c r="E35" s="10">
        <v>75.529999000000004</v>
      </c>
      <c r="F35" s="10">
        <v>75.529999000000004</v>
      </c>
      <c r="G35">
        <v>9155000</v>
      </c>
      <c r="H35" s="10">
        <f>IF(tbl_CVX[[#This Row],[Date]]=$A$5, $F35, EMA_Beta*$H34 + (1-EMA_Beta)*$F35)</f>
        <v>79.937453818947731</v>
      </c>
      <c r="I35" s="46">
        <f ca="1">IF(tbl_CVX[[#This Row],[RS]]= "", "", 100-(100/(1+tbl_CVX[[#This Row],[RS]])))</f>
        <v>24.441433838377279</v>
      </c>
      <c r="J35" s="10">
        <f ca="1">IF(ROW($N35)-4&lt;BB_Periods, "", AVERAGE(INDIRECT(ADDRESS(ROW($F35)-RSI_Periods +1, MATCH("Adj Close", Price_Header,0))): INDIRECT(ADDRESS(ROW($F35),MATCH("Adj Close", Price_Header,0)))))</f>
        <v>78.805000285714286</v>
      </c>
      <c r="K35" s="10">
        <f ca="1">IF(tbl_CVX[[#This Row],[BB_Mean]]="", "", tbl_CVX[[#This Row],[BB_Mean]]+(BB_Width*tbl_CVX[[#This Row],[BB_Stdev]]))</f>
        <v>83.446178910557663</v>
      </c>
      <c r="L35" s="10">
        <f ca="1">IF(tbl_CVX[[#This Row],[BB_Mean]]="", "", tbl_CVX[[#This Row],[BB_Mean]]-(BB_Width*tbl_CVX[[#This Row],[BB_Stdev]]))</f>
        <v>74.163821660870909</v>
      </c>
      <c r="M35" s="46">
        <f>IF(ROW(tbl_CVX[[#This Row],[Adj Close]])=5, 0, $F35-$F34)</f>
        <v>-0.77000400000000013</v>
      </c>
      <c r="N35" s="46">
        <f>MAX(tbl_CVX[[#This Row],[Move]],0)</f>
        <v>0</v>
      </c>
      <c r="O35" s="46">
        <f>MAX(-tbl_CVX[[#This Row],[Move]],0)</f>
        <v>0.77000400000000013</v>
      </c>
      <c r="P35" s="46">
        <f ca="1">IF(ROW($N35)-5&lt;RSI_Periods, "", AVERAGE(INDIRECT(ADDRESS(ROW($N35)-RSI_Periods +1, MATCH("Upmove", Price_Header,0))): INDIRECT(ADDRESS(ROW($N35),MATCH("Upmove", Price_Header,0)))))</f>
        <v>0.25785721428571612</v>
      </c>
      <c r="Q35" s="46">
        <f ca="1">IF(ROW($O35)-5&lt;RSI_Periods, "", AVERAGE(INDIRECT(ADDRESS(ROW($O35)-RSI_Periods +1, MATCH("Downmove", Price_Header,0))): INDIRECT(ADDRESS(ROW($O35),MATCH("Downmove", Price_Header,0)))))</f>
        <v>0.79714314285714394</v>
      </c>
      <c r="R35" s="46">
        <f ca="1">IF(tbl_CVX[[#This Row],[Avg_Upmove]]="", "", tbl_CVX[[#This Row],[Avg_Upmove]]/tbl_CVX[[#This Row],[Avg_Downmove]])</f>
        <v>0.32347667617323622</v>
      </c>
      <c r="S35" s="10">
        <f ca="1">IF(ROW($N35)-4&lt;BB_Periods, "", _xlfn.STDEV.S(INDIRECT(ADDRESS(ROW($F35)-RSI_Periods +1, MATCH("Adj Close", Price_Header,0))): INDIRECT(ADDRESS(ROW($F35),MATCH("Adj Close", Price_Header,0)))))</f>
        <v>2.3205893124216881</v>
      </c>
    </row>
    <row r="36" spans="1:19" x14ac:dyDescent="0.35">
      <c r="A36" s="8">
        <v>44097</v>
      </c>
      <c r="B36" s="10">
        <v>75.589995999999999</v>
      </c>
      <c r="C36" s="10">
        <v>75.910004000000001</v>
      </c>
      <c r="D36" s="10">
        <v>71.849997999999999</v>
      </c>
      <c r="E36" s="10">
        <v>71.949996999999996</v>
      </c>
      <c r="F36" s="10">
        <v>71.949996999999996</v>
      </c>
      <c r="G36">
        <v>16649200</v>
      </c>
      <c r="H36" s="10">
        <f>IF(tbl_CVX[[#This Row],[Date]]=$A$5, $F36, EMA_Beta*$H35 + (1-EMA_Beta)*$F36)</f>
        <v>79.138708137052959</v>
      </c>
      <c r="I36" s="46">
        <f ca="1">IF(tbl_CVX[[#This Row],[RS]]= "", "", 100-(100/(1+tbl_CVX[[#This Row],[RS]])))</f>
        <v>19.188594609640262</v>
      </c>
      <c r="J36" s="10">
        <f ca="1">IF(ROW($N36)-4&lt;BB_Periods, "", AVERAGE(INDIRECT(ADDRESS(ROW($F36)-RSI_Periods +1, MATCH("Adj Close", Price_Header,0))): INDIRECT(ADDRESS(ROW($F36),MATCH("Adj Close", Price_Header,0)))))</f>
        <v>78.002142785714298</v>
      </c>
      <c r="K36" s="10">
        <f ca="1">IF(tbl_CVX[[#This Row],[BB_Mean]]="", "", tbl_CVX[[#This Row],[BB_Mean]]+(BB_Width*tbl_CVX[[#This Row],[BB_Stdev]]))</f>
        <v>83.227685364494988</v>
      </c>
      <c r="L36" s="10">
        <f ca="1">IF(tbl_CVX[[#This Row],[BB_Mean]]="", "", tbl_CVX[[#This Row],[BB_Mean]]-(BB_Width*tbl_CVX[[#This Row],[BB_Stdev]]))</f>
        <v>72.776600206933608</v>
      </c>
      <c r="M36" s="46">
        <f>IF(ROW(tbl_CVX[[#This Row],[Adj Close]])=5, 0, $F36-$F35)</f>
        <v>-3.5800020000000075</v>
      </c>
      <c r="N36" s="46">
        <f>MAX(tbl_CVX[[#This Row],[Move]],0)</f>
        <v>0</v>
      </c>
      <c r="O36" s="46">
        <f>MAX(-tbl_CVX[[#This Row],[Move]],0)</f>
        <v>3.5800020000000075</v>
      </c>
      <c r="P36" s="46">
        <f ca="1">IF(ROW($N36)-5&lt;RSI_Periods, "", AVERAGE(INDIRECT(ADDRESS(ROW($N36)-RSI_Periods +1, MATCH("Upmove", Price_Header,0))): INDIRECT(ADDRESS(ROW($N36),MATCH("Upmove", Price_Header,0)))))</f>
        <v>0.25000007142857228</v>
      </c>
      <c r="Q36" s="46">
        <f ca="1">IF(ROW($O36)-5&lt;RSI_Periods, "", AVERAGE(INDIRECT(ADDRESS(ROW($O36)-RSI_Periods +1, MATCH("Downmove", Price_Header,0))): INDIRECT(ADDRESS(ROW($O36),MATCH("Downmove", Price_Header,0)))))</f>
        <v>1.0528575714285731</v>
      </c>
      <c r="R36" s="46">
        <f ca="1">IF(tbl_CVX[[#This Row],[Avg_Upmove]]="", "", tbl_CVX[[#This Row],[Avg_Upmove]]/tbl_CVX[[#This Row],[Avg_Downmove]])</f>
        <v>0.23744908923374974</v>
      </c>
      <c r="S36" s="10">
        <f ca="1">IF(ROW($N36)-4&lt;BB_Periods, "", _xlfn.STDEV.S(INDIRECT(ADDRESS(ROW($F36)-RSI_Periods +1, MATCH("Adj Close", Price_Header,0))): INDIRECT(ADDRESS(ROW($F36),MATCH("Adj Close", Price_Header,0)))))</f>
        <v>2.6127712893903468</v>
      </c>
    </row>
    <row r="37" spans="1:19" x14ac:dyDescent="0.35">
      <c r="A37" s="8">
        <v>44098</v>
      </c>
      <c r="B37" s="10">
        <v>71.25</v>
      </c>
      <c r="C37" s="10">
        <v>73.029999000000004</v>
      </c>
      <c r="D37" s="10">
        <v>70.5</v>
      </c>
      <c r="E37" s="10">
        <v>71.800003000000004</v>
      </c>
      <c r="F37" s="10">
        <v>71.800003000000004</v>
      </c>
      <c r="G37">
        <v>15203500</v>
      </c>
      <c r="H37" s="10">
        <f>IF(tbl_CVX[[#This Row],[Date]]=$A$5, $F37, EMA_Beta*$H36 + (1-EMA_Beta)*$F37)</f>
        <v>78.404837623347674</v>
      </c>
      <c r="I37" s="46">
        <f ca="1">IF(tbl_CVX[[#This Row],[RS]]= "", "", 100-(100/(1+tbl_CVX[[#This Row],[RS]])))</f>
        <v>20.022891306967011</v>
      </c>
      <c r="J37" s="10">
        <f ca="1">IF(ROW($N37)-4&lt;BB_Periods, "", AVERAGE(INDIRECT(ADDRESS(ROW($F37)-RSI_Periods +1, MATCH("Adj Close", Price_Header,0))): INDIRECT(ADDRESS(ROW($F37),MATCH("Adj Close", Price_Header,0)))))</f>
        <v>77.253571642857153</v>
      </c>
      <c r="K37" s="10">
        <f ca="1">IF(tbl_CVX[[#This Row],[BB_Mean]]="", "", tbl_CVX[[#This Row],[BB_Mean]]+(BB_Width*tbl_CVX[[#This Row],[BB_Stdev]]))</f>
        <v>82.830086161862212</v>
      </c>
      <c r="L37" s="10">
        <f ca="1">IF(tbl_CVX[[#This Row],[BB_Mean]]="", "", tbl_CVX[[#This Row],[BB_Mean]]-(BB_Width*tbl_CVX[[#This Row],[BB_Stdev]]))</f>
        <v>71.677057123852094</v>
      </c>
      <c r="M37" s="46">
        <f>IF(ROW(tbl_CVX[[#This Row],[Adj Close]])=5, 0, $F37-$F36)</f>
        <v>-0.14999399999999241</v>
      </c>
      <c r="N37" s="46">
        <f>MAX(tbl_CVX[[#This Row],[Move]],0)</f>
        <v>0</v>
      </c>
      <c r="O37" s="46">
        <f>MAX(-tbl_CVX[[#This Row],[Move]],0)</f>
        <v>0.14999399999999241</v>
      </c>
      <c r="P37" s="46">
        <f ca="1">IF(ROW($N37)-5&lt;RSI_Periods, "", AVERAGE(INDIRECT(ADDRESS(ROW($N37)-RSI_Periods +1, MATCH("Upmove", Price_Header,0))): INDIRECT(ADDRESS(ROW($N37),MATCH("Upmove", Price_Header,0)))))</f>
        <v>0.25000007142857228</v>
      </c>
      <c r="Q37" s="46">
        <f ca="1">IF(ROW($O37)-5&lt;RSI_Periods, "", AVERAGE(INDIRECT(ADDRESS(ROW($O37)-RSI_Periods +1, MATCH("Downmove", Price_Header,0))): INDIRECT(ADDRESS(ROW($O37),MATCH("Downmove", Price_Header,0)))))</f>
        <v>0.99857121428571516</v>
      </c>
      <c r="R37" s="46">
        <f ca="1">IF(tbl_CVX[[#This Row],[Avg_Upmove]]="", "", tbl_CVX[[#This Row],[Avg_Upmove]]/tbl_CVX[[#This Row],[Avg_Downmove]])</f>
        <v>0.25035777904673434</v>
      </c>
      <c r="S37" s="10">
        <f ca="1">IF(ROW($N37)-4&lt;BB_Periods, "", _xlfn.STDEV.S(INDIRECT(ADDRESS(ROW($F37)-RSI_Periods +1, MATCH("Adj Close", Price_Header,0))): INDIRECT(ADDRESS(ROW($F37),MATCH("Adj Close", Price_Header,0)))))</f>
        <v>2.7882572595025299</v>
      </c>
    </row>
    <row r="38" spans="1:19" x14ac:dyDescent="0.35">
      <c r="A38" s="8">
        <v>44099</v>
      </c>
      <c r="B38" s="10">
        <v>71.010002</v>
      </c>
      <c r="C38" s="10">
        <v>72.480002999999996</v>
      </c>
      <c r="D38" s="10">
        <v>70.769997000000004</v>
      </c>
      <c r="E38" s="10">
        <v>71.830001999999993</v>
      </c>
      <c r="F38" s="10">
        <v>71.830001999999993</v>
      </c>
      <c r="G38">
        <v>11070500</v>
      </c>
      <c r="H38" s="10">
        <f>IF(tbl_CVX[[#This Row],[Date]]=$A$5, $F38, EMA_Beta*$H37 + (1-EMA_Beta)*$F38)</f>
        <v>77.747354061012899</v>
      </c>
      <c r="I38" s="46">
        <f ca="1">IF(tbl_CVX[[#This Row],[RS]]= "", "", 100-(100/(1+tbl_CVX[[#This Row],[RS]])))</f>
        <v>20.571097968659416</v>
      </c>
      <c r="J38" s="10">
        <f ca="1">IF(ROW($N38)-4&lt;BB_Periods, "", AVERAGE(INDIRECT(ADDRESS(ROW($F38)-RSI_Periods +1, MATCH("Adj Close", Price_Header,0))): INDIRECT(ADDRESS(ROW($F38),MATCH("Adj Close", Price_Header,0)))))</f>
        <v>76.532143214285711</v>
      </c>
      <c r="K38" s="10">
        <f ca="1">IF(tbl_CVX[[#This Row],[BB_Mean]]="", "", tbl_CVX[[#This Row],[BB_Mean]]+(BB_Width*tbl_CVX[[#This Row],[BB_Stdev]]))</f>
        <v>82.115817794094482</v>
      </c>
      <c r="L38" s="10">
        <f ca="1">IF(tbl_CVX[[#This Row],[BB_Mean]]="", "", tbl_CVX[[#This Row],[BB_Mean]]-(BB_Width*tbl_CVX[[#This Row],[BB_Stdev]]))</f>
        <v>70.948468634476939</v>
      </c>
      <c r="M38" s="46">
        <f>IF(ROW(tbl_CVX[[#This Row],[Adj Close]])=5, 0, $F38-$F37)</f>
        <v>2.9998999999989451E-2</v>
      </c>
      <c r="N38" s="46">
        <f>MAX(tbl_CVX[[#This Row],[Move]],0)</f>
        <v>2.9998999999989451E-2</v>
      </c>
      <c r="O38" s="46">
        <f>MAX(-tbl_CVX[[#This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0.25214285714285722</v>
      </c>
      <c r="Q38" s="46">
        <f ca="1">IF(ROW($O38)-5&lt;RSI_Periods, "", AVERAGE(INDIRECT(ADDRESS(ROW($O38)-RSI_Periods +1, MATCH("Downmove", Price_Header,0))): INDIRECT(ADDRESS(ROW($O38),MATCH("Downmove", Price_Header,0)))))</f>
        <v>0.97357128571428675</v>
      </c>
      <c r="R38" s="46">
        <f ca="1">IF(tbl_CVX[[#This Row],[Avg_Upmove]]="", "", tbl_CVX[[#This Row],[Avg_Upmove]]/tbl_CVX[[#This Row],[Avg_Downmove]])</f>
        <v>0.25898756551541663</v>
      </c>
      <c r="S38" s="10">
        <f ca="1">IF(ROW($N38)-4&lt;BB_Periods, "", _xlfn.STDEV.S(INDIRECT(ADDRESS(ROW($F38)-RSI_Periods +1, MATCH("Adj Close", Price_Header,0))): INDIRECT(ADDRESS(ROW($F38),MATCH("Adj Close", Price_Header,0)))))</f>
        <v>2.7918372899043824</v>
      </c>
    </row>
    <row r="39" spans="1:19" x14ac:dyDescent="0.35">
      <c r="A39" s="8">
        <v>44102</v>
      </c>
      <c r="B39" s="10">
        <v>73.639999000000003</v>
      </c>
      <c r="C39" s="10">
        <v>74.760002</v>
      </c>
      <c r="D39" s="10">
        <v>73.150002000000001</v>
      </c>
      <c r="E39" s="10">
        <v>73.930000000000007</v>
      </c>
      <c r="F39" s="10">
        <v>73.930000000000007</v>
      </c>
      <c r="G39">
        <v>12863800</v>
      </c>
      <c r="H39" s="10">
        <f>IF(tbl_CVX[[#This Row],[Date]]=$A$5, $F39, EMA_Beta*$H38 + (1-EMA_Beta)*$F39)</f>
        <v>77.365618654911614</v>
      </c>
      <c r="I39" s="46">
        <f ca="1">IF(tbl_CVX[[#This Row],[RS]]= "", "", 100-(100/(1+tbl_CVX[[#This Row],[RS]])))</f>
        <v>34.539871387706441</v>
      </c>
      <c r="J39" s="10">
        <f ca="1">IF(ROW($N39)-4&lt;BB_Periods, "", AVERAGE(INDIRECT(ADDRESS(ROW($F39)-RSI_Periods +1, MATCH("Adj Close", Price_Header,0))): INDIRECT(ADDRESS(ROW($F39),MATCH("Adj Close", Price_Header,0)))))</f>
        <v>76.172143142857152</v>
      </c>
      <c r="K39" s="10">
        <f ca="1">IF(tbl_CVX[[#This Row],[BB_Mean]]="", "", tbl_CVX[[#This Row],[BB_Mean]]+(BB_Width*tbl_CVX[[#This Row],[BB_Stdev]]))</f>
        <v>81.728573067442625</v>
      </c>
      <c r="L39" s="10">
        <f ca="1">IF(tbl_CVX[[#This Row],[BB_Mean]]="", "", tbl_CVX[[#This Row],[BB_Mean]]-(BB_Width*tbl_CVX[[#This Row],[BB_Stdev]]))</f>
        <v>70.615713218271679</v>
      </c>
      <c r="M39" s="46">
        <f>IF(ROW(tbl_CVX[[#This Row],[Adj Close]])=5, 0, $F39-$F38)</f>
        <v>2.0999980000000136</v>
      </c>
      <c r="N39" s="46">
        <f>MAX(tbl_CVX[[#This Row],[Move]],0)</f>
        <v>2.0999980000000136</v>
      </c>
      <c r="O39" s="46">
        <f>MAX(-tbl_CVX[[#This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0.40214271428571535</v>
      </c>
      <c r="Q39" s="46">
        <f ca="1">IF(ROW($O39)-5&lt;RSI_Periods, "", AVERAGE(INDIRECT(ADDRESS(ROW($O39)-RSI_Periods +1, MATCH("Downmove", Price_Header,0))): INDIRECT(ADDRESS(ROW($O39),MATCH("Downmove", Price_Header,0)))))</f>
        <v>0.76214278571428606</v>
      </c>
      <c r="R39" s="46">
        <f ca="1">IF(tbl_CVX[[#This Row],[Avg_Upmove]]="", "", tbl_CVX[[#This Row],[Avg_Upmove]]/tbl_CVX[[#This Row],[Avg_Downmove]])</f>
        <v>0.52764747213191043</v>
      </c>
      <c r="S39" s="10">
        <f ca="1">IF(ROW($N39)-4&lt;BB_Periods, "", _xlfn.STDEV.S(INDIRECT(ADDRESS(ROW($F39)-RSI_Periods +1, MATCH("Adj Close", Price_Header,0))): INDIRECT(ADDRESS(ROW($F39),MATCH("Adj Close", Price_Header,0)))))</f>
        <v>2.7782149622927332</v>
      </c>
    </row>
    <row r="40" spans="1:19" x14ac:dyDescent="0.35">
      <c r="A40" s="8">
        <v>44103</v>
      </c>
      <c r="B40" s="10">
        <v>74</v>
      </c>
      <c r="C40" s="10">
        <v>74.139999000000003</v>
      </c>
      <c r="D40" s="10">
        <v>71.110000999999997</v>
      </c>
      <c r="E40" s="10">
        <v>71.900002000000001</v>
      </c>
      <c r="F40" s="10">
        <v>71.900002000000001</v>
      </c>
      <c r="G40">
        <v>10553000</v>
      </c>
      <c r="H40" s="10">
        <f>IF(tbl_CVX[[#This Row],[Date]]=$A$5, $F40, EMA_Beta*$H39 + (1-EMA_Beta)*$F40)</f>
        <v>76.81905698942046</v>
      </c>
      <c r="I40" s="46">
        <f ca="1">IF(tbl_CVX[[#This Row],[RS]]= "", "", 100-(100/(1+tbl_CVX[[#This Row],[RS]])))</f>
        <v>26.462077555659107</v>
      </c>
      <c r="J40" s="10">
        <f ca="1">IF(ROW($N40)-4&lt;BB_Periods, "", AVERAGE(INDIRECT(ADDRESS(ROW($F40)-RSI_Periods +1, MATCH("Adj Close", Price_Header,0))): INDIRECT(ADDRESS(ROW($F40),MATCH("Adj Close", Price_Header,0)))))</f>
        <v>75.591429071428593</v>
      </c>
      <c r="K40" s="10">
        <f ca="1">IF(tbl_CVX[[#This Row],[BB_Mean]]="", "", tbl_CVX[[#This Row],[BB_Mean]]+(BB_Width*tbl_CVX[[#This Row],[BB_Stdev]]))</f>
        <v>81.110268229429479</v>
      </c>
      <c r="L40" s="10">
        <f ca="1">IF(tbl_CVX[[#This Row],[BB_Mean]]="", "", tbl_CVX[[#This Row],[BB_Mean]]-(BB_Width*tbl_CVX[[#This Row],[BB_Stdev]]))</f>
        <v>70.072589913427706</v>
      </c>
      <c r="M40" s="46">
        <f>IF(ROW(tbl_CVX[[#This Row],[Adj Close]])=5, 0, $F40-$F39)</f>
        <v>-2.0299980000000062</v>
      </c>
      <c r="N40" s="46">
        <f>MAX(tbl_CVX[[#This Row],[Move]],0)</f>
        <v>0</v>
      </c>
      <c r="O40" s="46">
        <f>MAX(-tbl_CVX[[#This Row],[Move]],0)</f>
        <v>2.0299980000000062</v>
      </c>
      <c r="P40" s="46">
        <f ca="1">IF(ROW($N40)-5&lt;RSI_Periods, "", AVERAGE(INDIRECT(ADDRESS(ROW($N40)-RSI_Periods +1, MATCH("Upmove", Price_Header,0))): INDIRECT(ADDRESS(ROW($N40),MATCH("Upmove", Price_Header,0)))))</f>
        <v>0.32642857142857196</v>
      </c>
      <c r="Q40" s="46">
        <f ca="1">IF(ROW($O40)-5&lt;RSI_Periods, "", AVERAGE(INDIRECT(ADDRESS(ROW($O40)-RSI_Periods +1, MATCH("Downmove", Price_Header,0))): INDIRECT(ADDRESS(ROW($O40),MATCH("Downmove", Price_Header,0)))))</f>
        <v>0.90714264285714363</v>
      </c>
      <c r="R40" s="46">
        <f ca="1">IF(tbl_CVX[[#This Row],[Avg_Upmove]]="", "", tbl_CVX[[#This Row],[Avg_Upmove]]/tbl_CVX[[#This Row],[Avg_Downmove]])</f>
        <v>0.35984260468722973</v>
      </c>
      <c r="S40" s="10">
        <f ca="1">IF(ROW($N40)-4&lt;BB_Periods, "", _xlfn.STDEV.S(INDIRECT(ADDRESS(ROW($F40)-RSI_Periods +1, MATCH("Adj Close", Price_Header,0))): INDIRECT(ADDRESS(ROW($F40),MATCH("Adj Close", Price_Header,0)))))</f>
        <v>2.7594195790004461</v>
      </c>
    </row>
    <row r="41" spans="1:19" x14ac:dyDescent="0.35">
      <c r="A41" s="8">
        <v>44104</v>
      </c>
      <c r="B41" s="10">
        <v>72.25</v>
      </c>
      <c r="C41" s="10">
        <v>72.889999000000003</v>
      </c>
      <c r="D41" s="10">
        <v>71.610000999999997</v>
      </c>
      <c r="E41" s="10">
        <v>72</v>
      </c>
      <c r="F41" s="10">
        <v>72</v>
      </c>
      <c r="G41">
        <v>10454300</v>
      </c>
      <c r="H41" s="10">
        <f>IF(tbl_CVX[[#This Row],[Date]]=$A$5, $F41, EMA_Beta*$H40 + (1-EMA_Beta)*$F41)</f>
        <v>76.337151290478417</v>
      </c>
      <c r="I41" s="46">
        <f ca="1">IF(tbl_CVX[[#This Row],[RS]]= "", "", 100-(100/(1+tbl_CVX[[#This Row],[RS]])))</f>
        <v>30.148473873269722</v>
      </c>
      <c r="J41" s="10">
        <f ca="1">IF(ROW($N41)-4&lt;BB_Periods, "", AVERAGE(INDIRECT(ADDRESS(ROW($F41)-RSI_Periods +1, MATCH("Adj Close", Price_Header,0))): INDIRECT(ADDRESS(ROW($F41),MATCH("Adj Close", Price_Header,0)))))</f>
        <v>75.152143214285715</v>
      </c>
      <c r="K41" s="10">
        <f ca="1">IF(tbl_CVX[[#This Row],[BB_Mean]]="", "", tbl_CVX[[#This Row],[BB_Mean]]+(BB_Width*tbl_CVX[[#This Row],[BB_Stdev]]))</f>
        <v>80.771823243855053</v>
      </c>
      <c r="L41" s="10">
        <f ca="1">IF(tbl_CVX[[#This Row],[BB_Mean]]="", "", tbl_CVX[[#This Row],[BB_Mean]]-(BB_Width*tbl_CVX[[#This Row],[BB_Stdev]]))</f>
        <v>69.532463184716377</v>
      </c>
      <c r="M41" s="46">
        <f>IF(ROW(tbl_CVX[[#This Row],[Adj Close]])=5, 0, $F41-$F40)</f>
        <v>9.9997999999999365E-2</v>
      </c>
      <c r="N41" s="46">
        <f>MAX(tbl_CVX[[#This Row],[Move]],0)</f>
        <v>9.9997999999999365E-2</v>
      </c>
      <c r="O41" s="46">
        <f>MAX(-tbl_CVX[[#This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0.33357128571428618</v>
      </c>
      <c r="Q41" s="46">
        <f ca="1">IF(ROW($O41)-5&lt;RSI_Periods, "", AVERAGE(INDIRECT(ADDRESS(ROW($O41)-RSI_Periods +1, MATCH("Downmove", Price_Header,0))): INDIRECT(ADDRESS(ROW($O41),MATCH("Downmove", Price_Header,0)))))</f>
        <v>0.77285714285714335</v>
      </c>
      <c r="R41" s="46">
        <f ca="1">IF(tbl_CVX[[#This Row],[Avg_Upmove]]="", "", tbl_CVX[[#This Row],[Avg_Upmove]]/tbl_CVX[[#This Row],[Avg_Downmove]])</f>
        <v>0.43160794824399296</v>
      </c>
      <c r="S41" s="10">
        <f ca="1">IF(ROW($N41)-4&lt;BB_Periods, "", _xlfn.STDEV.S(INDIRECT(ADDRESS(ROW($F41)-RSI_Periods +1, MATCH("Adj Close", Price_Header,0))): INDIRECT(ADDRESS(ROW($F41),MATCH("Adj Close", Price_Header,0)))))</f>
        <v>2.8098400147846689</v>
      </c>
    </row>
    <row r="42" spans="1:19" x14ac:dyDescent="0.35">
      <c r="A42" s="8">
        <v>44105</v>
      </c>
      <c r="B42" s="10">
        <v>71.510002</v>
      </c>
      <c r="C42" s="10">
        <v>71.879997000000003</v>
      </c>
      <c r="D42" s="10">
        <v>70.029999000000004</v>
      </c>
      <c r="E42" s="10">
        <v>70.419998000000007</v>
      </c>
      <c r="F42" s="10">
        <v>70.419998000000007</v>
      </c>
      <c r="G42">
        <v>14930700</v>
      </c>
      <c r="H42" s="10">
        <f>IF(tbl_CVX[[#This Row],[Date]]=$A$5, $F42, EMA_Beta*$H41 + (1-EMA_Beta)*$F42)</f>
        <v>75.745435961430573</v>
      </c>
      <c r="I42" s="46">
        <f ca="1">IF(tbl_CVX[[#This Row],[RS]]= "", "", 100-(100/(1+tbl_CVX[[#This Row],[RS]])))</f>
        <v>28.115580975316078</v>
      </c>
      <c r="J42" s="10">
        <f ca="1">IF(ROW($N42)-4&lt;BB_Periods, "", AVERAGE(INDIRECT(ADDRESS(ROW($F42)-RSI_Periods +1, MATCH("Adj Close", Price_Header,0))): INDIRECT(ADDRESS(ROW($F42),MATCH("Adj Close", Price_Header,0)))))</f>
        <v>74.632857214285721</v>
      </c>
      <c r="K42" s="10">
        <f ca="1">IF(tbl_CVX[[#This Row],[BB_Mean]]="", "", tbl_CVX[[#This Row],[BB_Mean]]+(BB_Width*tbl_CVX[[#This Row],[BB_Stdev]]))</f>
        <v>80.576564206458784</v>
      </c>
      <c r="L42" s="10">
        <f ca="1">IF(tbl_CVX[[#This Row],[BB_Mean]]="", "", tbl_CVX[[#This Row],[BB_Mean]]-(BB_Width*tbl_CVX[[#This Row],[BB_Stdev]]))</f>
        <v>68.689150222112659</v>
      </c>
      <c r="M42" s="46">
        <f>IF(ROW(tbl_CVX[[#This Row],[Adj Close]])=5, 0, $F42-$F41)</f>
        <v>-1.5800019999999932</v>
      </c>
      <c r="N42" s="46">
        <f>MAX(tbl_CVX[[#This Row],[Move]],0)</f>
        <v>0</v>
      </c>
      <c r="O42" s="46">
        <f>MAX(-tbl_CVX[[#This Row],[Move]],0)</f>
        <v>1.5800019999999932</v>
      </c>
      <c r="P42" s="46">
        <f ca="1">IF(ROW($N42)-5&lt;RSI_Periods, "", AVERAGE(INDIRECT(ADDRESS(ROW($N42)-RSI_Periods +1, MATCH("Upmove", Price_Header,0))): INDIRECT(ADDRESS(ROW($N42),MATCH("Upmove", Price_Header,0)))))</f>
        <v>0.33357128571428618</v>
      </c>
      <c r="Q42" s="46">
        <f ca="1">IF(ROW($O42)-5&lt;RSI_Periods, "", AVERAGE(INDIRECT(ADDRESS(ROW($O42)-RSI_Periods +1, MATCH("Downmove", Price_Header,0))): INDIRECT(ADDRESS(ROW($O42),MATCH("Downmove", Price_Header,0)))))</f>
        <v>0.85285728571428621</v>
      </c>
      <c r="R42" s="46">
        <f ca="1">IF(tbl_CVX[[#This Row],[Avg_Upmove]]="", "", tbl_CVX[[#This Row],[Avg_Upmove]]/tbl_CVX[[#This Row],[Avg_Downmove]])</f>
        <v>0.39112204503818371</v>
      </c>
      <c r="S42" s="10">
        <f ca="1">IF(ROW($N42)-4&lt;BB_Periods, "", _xlfn.STDEV.S(INDIRECT(ADDRESS(ROW($F42)-RSI_Periods +1, MATCH("Adj Close", Price_Header,0))): INDIRECT(ADDRESS(ROW($F42),MATCH("Adj Close", Price_Header,0)))))</f>
        <v>2.9718534960865277</v>
      </c>
    </row>
    <row r="43" spans="1:19" x14ac:dyDescent="0.35">
      <c r="A43" s="8">
        <v>44106</v>
      </c>
      <c r="B43" s="10">
        <v>68.919998000000007</v>
      </c>
      <c r="C43" s="10">
        <v>71.669998000000007</v>
      </c>
      <c r="D43" s="10">
        <v>68.819999999999993</v>
      </c>
      <c r="E43" s="10">
        <v>71.190002000000007</v>
      </c>
      <c r="F43" s="10">
        <v>71.190002000000007</v>
      </c>
      <c r="G43">
        <v>9854800</v>
      </c>
      <c r="H43" s="10">
        <f>IF(tbl_CVX[[#This Row],[Date]]=$A$5, $F43, EMA_Beta*$H42 + (1-EMA_Beta)*$F43)</f>
        <v>75.289892565287516</v>
      </c>
      <c r="I43" s="46">
        <f ca="1">IF(tbl_CVX[[#This Row],[RS]]= "", "", 100-(100/(1+tbl_CVX[[#This Row],[RS]])))</f>
        <v>32.037697519841444</v>
      </c>
      <c r="J43" s="10">
        <f ca="1">IF(ROW($N43)-4&lt;BB_Periods, "", AVERAGE(INDIRECT(ADDRESS(ROW($F43)-RSI_Periods +1, MATCH("Adj Close", Price_Header,0))): INDIRECT(ADDRESS(ROW($F43),MATCH("Adj Close", Price_Header,0)))))</f>
        <v>74.197142999999997</v>
      </c>
      <c r="K43" s="10">
        <f ca="1">IF(tbl_CVX[[#This Row],[BB_Mean]]="", "", tbl_CVX[[#This Row],[BB_Mean]]+(BB_Width*tbl_CVX[[#This Row],[BB_Stdev]]))</f>
        <v>80.195857074655251</v>
      </c>
      <c r="L43" s="10">
        <f ca="1">IF(tbl_CVX[[#This Row],[BB_Mean]]="", "", tbl_CVX[[#This Row],[BB_Mean]]-(BB_Width*tbl_CVX[[#This Row],[BB_Stdev]]))</f>
        <v>68.198428925344743</v>
      </c>
      <c r="M43" s="46">
        <f>IF(ROW(tbl_CVX[[#This Row],[Adj Close]])=5, 0, $F43-$F42)</f>
        <v>0.77000400000000013</v>
      </c>
      <c r="N43" s="46">
        <f>MAX(tbl_CVX[[#This Row],[Move]],0)</f>
        <v>0.77000400000000013</v>
      </c>
      <c r="O43" s="46">
        <f>MAX(-tbl_CVX[[#This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0.3885715714285719</v>
      </c>
      <c r="Q43" s="46">
        <f ca="1">IF(ROW($O43)-5&lt;RSI_Periods, "", AVERAGE(INDIRECT(ADDRESS(ROW($O43)-RSI_Periods +1, MATCH("Downmove", Price_Header,0))): INDIRECT(ADDRESS(ROW($O43),MATCH("Downmove", Price_Header,0)))))</f>
        <v>0.82428578571428601</v>
      </c>
      <c r="R43" s="46">
        <f ca="1">IF(tbl_CVX[[#This Row],[Avg_Upmove]]="", "", tbl_CVX[[#This Row],[Avg_Upmove]]/tbl_CVX[[#This Row],[Avg_Downmove]])</f>
        <v>0.47140394528562041</v>
      </c>
      <c r="S43" s="10">
        <f ca="1">IF(ROW($N43)-4&lt;BB_Periods, "", _xlfn.STDEV.S(INDIRECT(ADDRESS(ROW($F43)-RSI_Periods +1, MATCH("Adj Close", Price_Header,0))): INDIRECT(ADDRESS(ROW($F43),MATCH("Adj Close", Price_Header,0)))))</f>
        <v>2.999357037327627</v>
      </c>
    </row>
    <row r="44" spans="1:19" x14ac:dyDescent="0.35">
      <c r="A44" s="8">
        <v>44109</v>
      </c>
      <c r="B44" s="10">
        <v>71.519997000000004</v>
      </c>
      <c r="C44" s="10">
        <v>72.730002999999996</v>
      </c>
      <c r="D44" s="10">
        <v>70.709998999999996</v>
      </c>
      <c r="E44" s="10">
        <v>72.699996999999996</v>
      </c>
      <c r="F44" s="10">
        <v>72.699996999999996</v>
      </c>
      <c r="G44">
        <v>12049800</v>
      </c>
      <c r="H44" s="10">
        <f>IF(tbl_CVX[[#This Row],[Date]]=$A$5, $F44, EMA_Beta*$H43 + (1-EMA_Beta)*$F44)</f>
        <v>75.03090300875877</v>
      </c>
      <c r="I44" s="46">
        <f ca="1">IF(tbl_CVX[[#This Row],[RS]]= "", "", 100-(100/(1+tbl_CVX[[#This Row],[RS]])))</f>
        <v>39.601133789496799</v>
      </c>
      <c r="J44" s="10">
        <f ca="1">IF(ROW($N44)-4&lt;BB_Periods, "", AVERAGE(INDIRECT(ADDRESS(ROW($F44)-RSI_Periods +1, MATCH("Adj Close", Price_Header,0))): INDIRECT(ADDRESS(ROW($F44),MATCH("Adj Close", Price_Header,0)))))</f>
        <v>73.936428642857138</v>
      </c>
      <c r="K44" s="10">
        <f ca="1">IF(tbl_CVX[[#This Row],[BB_Mean]]="", "", tbl_CVX[[#This Row],[BB_Mean]]+(BB_Width*tbl_CVX[[#This Row],[BB_Stdev]]))</f>
        <v>79.848734144378085</v>
      </c>
      <c r="L44" s="10">
        <f ca="1">IF(tbl_CVX[[#This Row],[BB_Mean]]="", "", tbl_CVX[[#This Row],[BB_Mean]]-(BB_Width*tbl_CVX[[#This Row],[BB_Stdev]]))</f>
        <v>68.02412314133619</v>
      </c>
      <c r="M44" s="46">
        <f>IF(ROW(tbl_CVX[[#This Row],[Adj Close]])=5, 0, $F44-$F43)</f>
        <v>1.5099949999999893</v>
      </c>
      <c r="N44" s="46">
        <f>MAX(tbl_CVX[[#This Row],[Move]],0)</f>
        <v>1.5099949999999893</v>
      </c>
      <c r="O44" s="46">
        <f>MAX(-tbl_CVX[[#This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0.49642835714285688</v>
      </c>
      <c r="Q44" s="46">
        <f ca="1">IF(ROW($O44)-5&lt;RSI_Periods, "", AVERAGE(INDIRECT(ADDRESS(ROW($O44)-RSI_Periods +1, MATCH("Downmove", Price_Header,0))): INDIRECT(ADDRESS(ROW($O44),MATCH("Downmove", Price_Header,0)))))</f>
        <v>0.75714271428571422</v>
      </c>
      <c r="R44" s="46">
        <f ca="1">IF(tbl_CVX[[#This Row],[Avg_Upmove]]="", "", tbl_CVX[[#This Row],[Avg_Upmove]]/tbl_CVX[[#This Row],[Avg_Downmove]])</f>
        <v>0.65566021804909747</v>
      </c>
      <c r="S44" s="10">
        <f ca="1">IF(ROW($N44)-4&lt;BB_Periods, "", _xlfn.STDEV.S(INDIRECT(ADDRESS(ROW($F44)-RSI_Periods +1, MATCH("Adj Close", Price_Header,0))): INDIRECT(ADDRESS(ROW($F44),MATCH("Adj Close", Price_Header,0)))))</f>
        <v>2.9561527507604715</v>
      </c>
    </row>
    <row r="45" spans="1:19" x14ac:dyDescent="0.35">
      <c r="A45" s="8">
        <v>44110</v>
      </c>
      <c r="B45" s="10">
        <v>73.839995999999999</v>
      </c>
      <c r="C45" s="10">
        <v>74.319999999999993</v>
      </c>
      <c r="D45" s="10">
        <v>72.25</v>
      </c>
      <c r="E45" s="10">
        <v>72.300003000000004</v>
      </c>
      <c r="F45" s="10">
        <v>72.300003000000004</v>
      </c>
      <c r="G45">
        <v>15294500</v>
      </c>
      <c r="H45" s="10">
        <f>IF(tbl_CVX[[#This Row],[Date]]=$A$5, $F45, EMA_Beta*$H44 + (1-EMA_Beta)*$F45)</f>
        <v>74.757813007882902</v>
      </c>
      <c r="I45" s="46">
        <f ca="1">IF(tbl_CVX[[#This Row],[RS]]= "", "", 100-(100/(1+tbl_CVX[[#This Row],[RS]])))</f>
        <v>30.114360308638098</v>
      </c>
      <c r="J45" s="10">
        <f ca="1">IF(ROW($N45)-4&lt;BB_Periods, "", AVERAGE(INDIRECT(ADDRESS(ROW($F45)-RSI_Periods +1, MATCH("Adj Close", Price_Header,0))): INDIRECT(ADDRESS(ROW($F45),MATCH("Adj Close", Price_Header,0)))))</f>
        <v>73.489286142857154</v>
      </c>
      <c r="K45" s="10">
        <f ca="1">IF(tbl_CVX[[#This Row],[BB_Mean]]="", "", tbl_CVX[[#This Row],[BB_Mean]]+(BB_Width*tbl_CVX[[#This Row],[BB_Stdev]]))</f>
        <v>78.812856188079863</v>
      </c>
      <c r="L45" s="10">
        <f ca="1">IF(tbl_CVX[[#This Row],[BB_Mean]]="", "", tbl_CVX[[#This Row],[BB_Mean]]-(BB_Width*tbl_CVX[[#This Row],[BB_Stdev]]))</f>
        <v>68.165716097634444</v>
      </c>
      <c r="M45" s="46">
        <f>IF(ROW(tbl_CVX[[#This Row],[Adj Close]])=5, 0, $F45-$F44)</f>
        <v>-0.39999399999999241</v>
      </c>
      <c r="N45" s="46">
        <f>MAX(tbl_CVX[[#This Row],[Move]],0)</f>
        <v>0</v>
      </c>
      <c r="O45" s="46">
        <f>MAX(-tbl_CVX[[#This Row],[Move]],0)</f>
        <v>0.39999399999999241</v>
      </c>
      <c r="P45" s="46">
        <f ca="1">IF(ROW($N45)-5&lt;RSI_Periods, "", AVERAGE(INDIRECT(ADDRESS(ROW($N45)-RSI_Periods +1, MATCH("Upmove", Price_Header,0))): INDIRECT(ADDRESS(ROW($N45),MATCH("Upmove", Price_Header,0)))))</f>
        <v>0.33857121428571446</v>
      </c>
      <c r="Q45" s="46">
        <f ca="1">IF(ROW($O45)-5&lt;RSI_Periods, "", AVERAGE(INDIRECT(ADDRESS(ROW($O45)-RSI_Periods +1, MATCH("Downmove", Price_Header,0))): INDIRECT(ADDRESS(ROW($O45),MATCH("Downmove", Price_Header,0)))))</f>
        <v>0.78571371428571368</v>
      </c>
      <c r="R45" s="46">
        <f ca="1">IF(tbl_CVX[[#This Row],[Avg_Upmove]]="", "", tbl_CVX[[#This Row],[Avg_Upmove]]/tbl_CVX[[#This Row],[Avg_Downmove]])</f>
        <v>0.43090913157027805</v>
      </c>
      <c r="S45" s="10">
        <f ca="1">IF(ROW($N45)-4&lt;BB_Periods, "", _xlfn.STDEV.S(INDIRECT(ADDRESS(ROW($F45)-RSI_Periods +1, MATCH("Adj Close", Price_Header,0))): INDIRECT(ADDRESS(ROW($F45),MATCH("Adj Close", Price_Header,0)))))</f>
        <v>2.6617850226113551</v>
      </c>
    </row>
    <row r="46" spans="1:19" x14ac:dyDescent="0.35">
      <c r="A46" s="8">
        <v>44111</v>
      </c>
      <c r="B46" s="10">
        <v>72.169998000000007</v>
      </c>
      <c r="C46" s="10">
        <v>73.919998000000007</v>
      </c>
      <c r="D46" s="10">
        <v>71.559997999999993</v>
      </c>
      <c r="E46" s="10">
        <v>73.779999000000004</v>
      </c>
      <c r="F46" s="10">
        <v>73.779999000000004</v>
      </c>
      <c r="G46">
        <v>15410300</v>
      </c>
      <c r="H46" s="10">
        <f>IF(tbl_CVX[[#This Row],[Date]]=$A$5, $F46, EMA_Beta*$H45 + (1-EMA_Beta)*$F46)</f>
        <v>74.660031607094623</v>
      </c>
      <c r="I46" s="46">
        <f ca="1">IF(tbl_CVX[[#This Row],[RS]]= "", "", 100-(100/(1+tbl_CVX[[#This Row],[RS]])))</f>
        <v>35.256011454279346</v>
      </c>
      <c r="J46" s="10">
        <f ca="1">IF(ROW($N46)-4&lt;BB_Periods, "", AVERAGE(INDIRECT(ADDRESS(ROW($F46)-RSI_Periods +1, MATCH("Adj Close", Price_Header,0))): INDIRECT(ADDRESS(ROW($F46),MATCH("Adj Close", Price_Header,0)))))</f>
        <v>73.131428857142865</v>
      </c>
      <c r="K46" s="10">
        <f ca="1">IF(tbl_CVX[[#This Row],[BB_Mean]]="", "", tbl_CVX[[#This Row],[BB_Mean]]+(BB_Width*tbl_CVX[[#This Row],[BB_Stdev]]))</f>
        <v>77.509709652059996</v>
      </c>
      <c r="L46" s="10">
        <f ca="1">IF(tbl_CVX[[#This Row],[BB_Mean]]="", "", tbl_CVX[[#This Row],[BB_Mean]]-(BB_Width*tbl_CVX[[#This Row],[BB_Stdev]]))</f>
        <v>68.753148062225733</v>
      </c>
      <c r="M46" s="46">
        <f>IF(ROW(tbl_CVX[[#This Row],[Adj Close]])=5, 0, $F46-$F45)</f>
        <v>1.4799959999999999</v>
      </c>
      <c r="N46" s="46">
        <f>MAX(tbl_CVX[[#This Row],[Move]],0)</f>
        <v>1.4799959999999999</v>
      </c>
      <c r="O46" s="46">
        <f>MAX(-tbl_CVX[[#This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0.42785642857142797</v>
      </c>
      <c r="Q46" s="46">
        <f ca="1">IF(ROW($O46)-5&lt;RSI_Periods, "", AVERAGE(INDIRECT(ADDRESS(ROW($O46)-RSI_Periods +1, MATCH("Downmove", Price_Header,0))): INDIRECT(ADDRESS(ROW($O46),MATCH("Downmove", Price_Header,0)))))</f>
        <v>0.78571371428571368</v>
      </c>
      <c r="R46" s="46">
        <f ca="1">IF(tbl_CVX[[#This Row],[Avg_Upmove]]="", "", tbl_CVX[[#This Row],[Avg_Upmove]]/tbl_CVX[[#This Row],[Avg_Downmove]])</f>
        <v>0.54454494148722987</v>
      </c>
      <c r="S46" s="10">
        <f ca="1">IF(ROW($N46)-4&lt;BB_Periods, "", _xlfn.STDEV.S(INDIRECT(ADDRESS(ROW($F46)-RSI_Periods +1, MATCH("Adj Close", Price_Header,0))): INDIRECT(ADDRESS(ROW($F46),MATCH("Adj Close", Price_Header,0)))))</f>
        <v>2.189140397458567</v>
      </c>
    </row>
    <row r="47" spans="1:19" x14ac:dyDescent="0.35">
      <c r="A47" s="8">
        <v>44112</v>
      </c>
      <c r="B47" s="10">
        <v>74.389999000000003</v>
      </c>
      <c r="C47" s="10">
        <v>75.550003000000004</v>
      </c>
      <c r="D47" s="10">
        <v>73.989998</v>
      </c>
      <c r="E47" s="10">
        <v>75.220000999999996</v>
      </c>
      <c r="F47" s="10">
        <v>75.220000999999996</v>
      </c>
      <c r="G47">
        <v>11590900</v>
      </c>
      <c r="H47" s="10">
        <f>IF(tbl_CVX[[#This Row],[Date]]=$A$5, $F47, EMA_Beta*$H46 + (1-EMA_Beta)*$F47)</f>
        <v>74.716028546385161</v>
      </c>
      <c r="I47" s="46">
        <f ca="1">IF(tbl_CVX[[#This Row],[RS]]= "", "", 100-(100/(1+tbl_CVX[[#This Row],[RS]])))</f>
        <v>41.624647016450758</v>
      </c>
      <c r="J47" s="10">
        <f ca="1">IF(ROW($N47)-4&lt;BB_Periods, "", AVERAGE(INDIRECT(ADDRESS(ROW($F47)-RSI_Periods +1, MATCH("Adj Close", Price_Header,0))): INDIRECT(ADDRESS(ROW($F47),MATCH("Adj Close", Price_Header,0)))))</f>
        <v>72.917857571428584</v>
      </c>
      <c r="K47" s="10">
        <f ca="1">IF(tbl_CVX[[#This Row],[BB_Mean]]="", "", tbl_CVX[[#This Row],[BB_Mean]]+(BB_Width*tbl_CVX[[#This Row],[BB_Stdev]]))</f>
        <v>76.43625078075064</v>
      </c>
      <c r="L47" s="10">
        <f ca="1">IF(tbl_CVX[[#This Row],[BB_Mean]]="", "", tbl_CVX[[#This Row],[BB_Mean]]-(BB_Width*tbl_CVX[[#This Row],[BB_Stdev]]))</f>
        <v>69.399464362106528</v>
      </c>
      <c r="M47" s="46">
        <f>IF(ROW(tbl_CVX[[#This Row],[Adj Close]])=5, 0, $F47-$F46)</f>
        <v>1.4400019999999927</v>
      </c>
      <c r="N47" s="46">
        <f>MAX(tbl_CVX[[#This Row],[Move]],0)</f>
        <v>1.4400019999999927</v>
      </c>
      <c r="O47" s="46">
        <f>MAX(-tbl_CVX[[#This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0.53071371428571312</v>
      </c>
      <c r="Q47" s="46">
        <f ca="1">IF(ROW($O47)-5&lt;RSI_Periods, "", AVERAGE(INDIRECT(ADDRESS(ROW($O47)-RSI_Periods +1, MATCH("Downmove", Price_Header,0))): INDIRECT(ADDRESS(ROW($O47),MATCH("Downmove", Price_Header,0)))))</f>
        <v>0.74428499999999886</v>
      </c>
      <c r="R47" s="46">
        <f ca="1">IF(tbl_CVX[[#This Row],[Avg_Upmove]]="", "", tbl_CVX[[#This Row],[Avg_Upmove]]/tbl_CVX[[#This Row],[Avg_Downmove]])</f>
        <v>0.71305173997287863</v>
      </c>
      <c r="S47" s="10">
        <f ca="1">IF(ROW($N47)-4&lt;BB_Periods, "", _xlfn.STDEV.S(INDIRECT(ADDRESS(ROW($F47)-RSI_Periods +1, MATCH("Adj Close", Price_Header,0))): INDIRECT(ADDRESS(ROW($F47),MATCH("Adj Close", Price_Header,0)))))</f>
        <v>1.7591966046610252</v>
      </c>
    </row>
    <row r="48" spans="1:19" x14ac:dyDescent="0.35">
      <c r="A48" s="8">
        <v>44113</v>
      </c>
      <c r="B48" s="10">
        <v>75.860000999999997</v>
      </c>
      <c r="C48" s="10">
        <v>76.089995999999999</v>
      </c>
      <c r="D48" s="10">
        <v>73.980002999999996</v>
      </c>
      <c r="E48" s="10">
        <v>74</v>
      </c>
      <c r="F48" s="10">
        <v>74</v>
      </c>
      <c r="G48">
        <v>12260900</v>
      </c>
      <c r="H48" s="10">
        <f>IF(tbl_CVX[[#This Row],[Date]]=$A$5, $F48, EMA_Beta*$H47 + (1-EMA_Beta)*$F48)</f>
        <v>74.644425691746648</v>
      </c>
      <c r="I48" s="46">
        <f ca="1">IF(tbl_CVX[[#This Row],[RS]]= "", "", 100-(100/(1+tbl_CVX[[#This Row],[RS]])))</f>
        <v>43.298354480105353</v>
      </c>
      <c r="J48" s="10">
        <f ca="1">IF(ROW($N48)-4&lt;BB_Periods, "", AVERAGE(INDIRECT(ADDRESS(ROW($F48)-RSI_Periods +1, MATCH("Adj Close", Price_Header,0))): INDIRECT(ADDRESS(ROW($F48),MATCH("Adj Close", Price_Header,0)))))</f>
        <v>72.753571642857153</v>
      </c>
      <c r="K48" s="10">
        <f ca="1">IF(tbl_CVX[[#This Row],[BB_Mean]]="", "", tbl_CVX[[#This Row],[BB_Mean]]+(BB_Width*tbl_CVX[[#This Row],[BB_Stdev]]))</f>
        <v>75.770769090678158</v>
      </c>
      <c r="L48" s="10">
        <f ca="1">IF(tbl_CVX[[#This Row],[BB_Mean]]="", "", tbl_CVX[[#This Row],[BB_Mean]]-(BB_Width*tbl_CVX[[#This Row],[BB_Stdev]]))</f>
        <v>69.736374195036149</v>
      </c>
      <c r="M48" s="46">
        <f>IF(ROW(tbl_CVX[[#This Row],[Adj Close]])=5, 0, $F48-$F47)</f>
        <v>-1.2200009999999963</v>
      </c>
      <c r="N48" s="46">
        <f>MAX(tbl_CVX[[#This Row],[Move]],0)</f>
        <v>0</v>
      </c>
      <c r="O48" s="46">
        <f>MAX(-tbl_CVX[[#This Row],[Move]],0)</f>
        <v>1.2200009999999963</v>
      </c>
      <c r="P48" s="46">
        <f ca="1">IF(ROW($N48)-5&lt;RSI_Periods, "", AVERAGE(INDIRECT(ADDRESS(ROW($N48)-RSI_Periods +1, MATCH("Upmove", Price_Header,0))): INDIRECT(ADDRESS(ROW($N48),MATCH("Upmove", Price_Header,0)))))</f>
        <v>0.53071371428571312</v>
      </c>
      <c r="Q48" s="46">
        <f ca="1">IF(ROW($O48)-5&lt;RSI_Periods, "", AVERAGE(INDIRECT(ADDRESS(ROW($O48)-RSI_Periods +1, MATCH("Downmove", Price_Header,0))): INDIRECT(ADDRESS(ROW($O48),MATCH("Downmove", Price_Header,0)))))</f>
        <v>0.694999642857142</v>
      </c>
      <c r="R48" s="46">
        <f ca="1">IF(tbl_CVX[[#This Row],[Avg_Upmove]]="", "", tbl_CVX[[#This Row],[Avg_Upmove]]/tbl_CVX[[#This Row],[Avg_Downmove]])</f>
        <v>0.76361724749087667</v>
      </c>
      <c r="S48" s="10">
        <f ca="1">IF(ROW($N48)-4&lt;BB_Periods, "", _xlfn.STDEV.S(INDIRECT(ADDRESS(ROW($F48)-RSI_Periods +1, MATCH("Adj Close", Price_Header,0))): INDIRECT(ADDRESS(ROW($F48),MATCH("Adj Close", Price_Header,0)))))</f>
        <v>1.5085987239105034</v>
      </c>
    </row>
    <row r="49" spans="1:19" x14ac:dyDescent="0.35">
      <c r="A49" s="8">
        <v>44116</v>
      </c>
      <c r="B49" s="10">
        <v>73.629997000000003</v>
      </c>
      <c r="C49" s="10">
        <v>74.949996999999996</v>
      </c>
      <c r="D49" s="10">
        <v>73.199996999999996</v>
      </c>
      <c r="E49" s="10">
        <v>74.510002</v>
      </c>
      <c r="F49" s="10">
        <v>74.510002</v>
      </c>
      <c r="G49">
        <v>9056900</v>
      </c>
      <c r="H49" s="10">
        <f>IF(tbl_CVX[[#This Row],[Date]]=$A$5, $F49, EMA_Beta*$H48 + (1-EMA_Beta)*$F49)</f>
        <v>74.630983322571979</v>
      </c>
      <c r="I49" s="46">
        <f ca="1">IF(tbl_CVX[[#This Row],[RS]]= "", "", 100-(100/(1+tbl_CVX[[#This Row],[RS]])))</f>
        <v>46.982254717977547</v>
      </c>
      <c r="J49" s="10">
        <f ca="1">IF(ROW($N49)-4&lt;BB_Periods, "", AVERAGE(INDIRECT(ADDRESS(ROW($F49)-RSI_Periods +1, MATCH("Adj Close", Price_Header,0))): INDIRECT(ADDRESS(ROW($F49),MATCH("Adj Close", Price_Header,0)))))</f>
        <v>72.680714714285713</v>
      </c>
      <c r="K49" s="10">
        <f ca="1">IF(tbl_CVX[[#This Row],[BB_Mean]]="", "", tbl_CVX[[#This Row],[BB_Mean]]+(BB_Width*tbl_CVX[[#This Row],[BB_Stdev]]))</f>
        <v>75.448023671412273</v>
      </c>
      <c r="L49" s="10">
        <f ca="1">IF(tbl_CVX[[#This Row],[BB_Mean]]="", "", tbl_CVX[[#This Row],[BB_Mean]]-(BB_Width*tbl_CVX[[#This Row],[BB_Stdev]]))</f>
        <v>69.913405757159154</v>
      </c>
      <c r="M49" s="46">
        <f>IF(ROW(tbl_CVX[[#This Row],[Adj Close]])=5, 0, $F49-$F48)</f>
        <v>0.51000200000000007</v>
      </c>
      <c r="N49" s="46">
        <f>MAX(tbl_CVX[[#This Row],[Move]],0)</f>
        <v>0.51000200000000007</v>
      </c>
      <c r="O49" s="46">
        <f>MAX(-tbl_CVX[[#This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0.56714242857142749</v>
      </c>
      <c r="Q49" s="46">
        <f ca="1">IF(ROW($O49)-5&lt;RSI_Periods, "", AVERAGE(INDIRECT(ADDRESS(ROW($O49)-RSI_Periods +1, MATCH("Downmove", Price_Header,0))): INDIRECT(ADDRESS(ROW($O49),MATCH("Downmove", Price_Header,0)))))</f>
        <v>0.63999935714285627</v>
      </c>
      <c r="R49" s="46">
        <f ca="1">IF(tbl_CVX[[#This Row],[Avg_Upmove]]="", "", tbl_CVX[[#This Row],[Avg_Upmove]]/tbl_CVX[[#This Row],[Avg_Downmove]])</f>
        <v>0.88616093475986701</v>
      </c>
      <c r="S49" s="10">
        <f ca="1">IF(ROW($N49)-4&lt;BB_Periods, "", _xlfn.STDEV.S(INDIRECT(ADDRESS(ROW($F49)-RSI_Periods +1, MATCH("Adj Close", Price_Header,0))): INDIRECT(ADDRESS(ROW($F49),MATCH("Adj Close", Price_Header,0)))))</f>
        <v>1.3836544785632781</v>
      </c>
    </row>
    <row r="50" spans="1:19" x14ac:dyDescent="0.35">
      <c r="A50" s="8">
        <v>44117</v>
      </c>
      <c r="B50" s="10">
        <v>74.739998</v>
      </c>
      <c r="C50" s="10">
        <v>74.739998</v>
      </c>
      <c r="D50" s="10">
        <v>72.779999000000004</v>
      </c>
      <c r="E50" s="10">
        <v>73.400002000000001</v>
      </c>
      <c r="F50" s="10">
        <v>73.400002000000001</v>
      </c>
      <c r="G50">
        <v>10440300</v>
      </c>
      <c r="H50" s="10">
        <f>IF(tbl_CVX[[#This Row],[Date]]=$A$5, $F50, EMA_Beta*$H49 + (1-EMA_Beta)*$F50)</f>
        <v>74.507885190314795</v>
      </c>
      <c r="I50" s="46">
        <f ca="1">IF(tbl_CVX[[#This Row],[RS]]= "", "", 100-(100/(1+tbl_CVX[[#This Row],[RS]])))</f>
        <v>55.02427826838052</v>
      </c>
      <c r="J50" s="10">
        <f ca="1">IF(ROW($N50)-4&lt;BB_Periods, "", AVERAGE(INDIRECT(ADDRESS(ROW($F50)-RSI_Periods +1, MATCH("Adj Close", Price_Header,0))): INDIRECT(ADDRESS(ROW($F50),MATCH("Adj Close", Price_Header,0)))))</f>
        <v>72.784286499999993</v>
      </c>
      <c r="K50" s="10">
        <f ca="1">IF(tbl_CVX[[#This Row],[BB_Mean]]="", "", tbl_CVX[[#This Row],[BB_Mean]]+(BB_Width*tbl_CVX[[#This Row],[BB_Stdev]]))</f>
        <v>75.542309343822467</v>
      </c>
      <c r="L50" s="10">
        <f ca="1">IF(tbl_CVX[[#This Row],[BB_Mean]]="", "", tbl_CVX[[#This Row],[BB_Mean]]-(BB_Width*tbl_CVX[[#This Row],[BB_Stdev]]))</f>
        <v>70.02626365617752</v>
      </c>
      <c r="M50" s="46">
        <f>IF(ROW(tbl_CVX[[#This Row],[Adj Close]])=5, 0, $F50-$F49)</f>
        <v>-1.1099999999999994</v>
      </c>
      <c r="N50" s="46">
        <f>MAX(tbl_CVX[[#This Row],[Move]],0)</f>
        <v>0</v>
      </c>
      <c r="O50" s="46">
        <f>MAX(-tbl_CVX[[#This Row],[Move]],0)</f>
        <v>1.1099999999999994</v>
      </c>
      <c r="P50" s="46">
        <f ca="1">IF(ROW($N50)-5&lt;RSI_Periods, "", AVERAGE(INDIRECT(ADDRESS(ROW($N50)-RSI_Periods +1, MATCH("Upmove", Price_Header,0))): INDIRECT(ADDRESS(ROW($N50),MATCH("Upmove", Price_Header,0)))))</f>
        <v>0.56714242857142749</v>
      </c>
      <c r="Q50" s="46">
        <f ca="1">IF(ROW($O50)-5&lt;RSI_Periods, "", AVERAGE(INDIRECT(ADDRESS(ROW($O50)-RSI_Periods +1, MATCH("Downmove", Price_Header,0))): INDIRECT(ADDRESS(ROW($O50),MATCH("Downmove", Price_Header,0)))))</f>
        <v>0.46357064285714145</v>
      </c>
      <c r="R50" s="46">
        <f ca="1">IF(tbl_CVX[[#This Row],[Avg_Upmove]]="", "", tbl_CVX[[#This Row],[Avg_Upmove]]/tbl_CVX[[#This Row],[Avg_Downmove]])</f>
        <v>1.2234217962464973</v>
      </c>
      <c r="S50" s="10">
        <f ca="1">IF(ROW($N50)-4&lt;BB_Periods, "", _xlfn.STDEV.S(INDIRECT(ADDRESS(ROW($F50)-RSI_Periods +1, MATCH("Adj Close", Price_Header,0))): INDIRECT(ADDRESS(ROW($F50),MATCH("Adj Close", Price_Header,0)))))</f>
        <v>1.3790114219112364</v>
      </c>
    </row>
    <row r="51" spans="1:19" x14ac:dyDescent="0.35">
      <c r="A51" s="8">
        <v>44118</v>
      </c>
      <c r="B51" s="10">
        <v>73.279999000000004</v>
      </c>
      <c r="C51" s="10">
        <v>74.430000000000007</v>
      </c>
      <c r="D51" s="10">
        <v>72.910004000000001</v>
      </c>
      <c r="E51" s="10">
        <v>72.949996999999996</v>
      </c>
      <c r="F51" s="10">
        <v>72.949996999999996</v>
      </c>
      <c r="G51">
        <v>7058100</v>
      </c>
      <c r="H51" s="10">
        <f>IF(tbl_CVX[[#This Row],[Date]]=$A$5, $F51, EMA_Beta*$H50 + (1-EMA_Beta)*$F51)</f>
        <v>74.352096371283324</v>
      </c>
      <c r="I51" s="46">
        <f ca="1">IF(tbl_CVX[[#This Row],[RS]]= "", "", 100-(100/(1+tbl_CVX[[#This Row],[RS]])))</f>
        <v>53.903579322571325</v>
      </c>
      <c r="J51" s="10">
        <f ca="1">IF(ROW($N51)-4&lt;BB_Periods, "", AVERAGE(INDIRECT(ADDRESS(ROW($F51)-RSI_Periods +1, MATCH("Adj Close", Price_Header,0))): INDIRECT(ADDRESS(ROW($F51),MATCH("Adj Close", Price_Header,0)))))</f>
        <v>72.866428928571423</v>
      </c>
      <c r="K51" s="10">
        <f ca="1">IF(tbl_CVX[[#This Row],[BB_Mean]]="", "", tbl_CVX[[#This Row],[BB_Mean]]+(BB_Width*tbl_CVX[[#This Row],[BB_Stdev]]))</f>
        <v>75.566054269205921</v>
      </c>
      <c r="L51" s="10">
        <f ca="1">IF(tbl_CVX[[#This Row],[BB_Mean]]="", "", tbl_CVX[[#This Row],[BB_Mean]]-(BB_Width*tbl_CVX[[#This Row],[BB_Stdev]]))</f>
        <v>70.166803587936926</v>
      </c>
      <c r="M51" s="46">
        <f>IF(ROW(tbl_CVX[[#This Row],[Adj Close]])=5, 0, $F51-$F50)</f>
        <v>-0.45000500000000443</v>
      </c>
      <c r="N51" s="46">
        <f>MAX(tbl_CVX[[#This Row],[Move]],0)</f>
        <v>0</v>
      </c>
      <c r="O51" s="46">
        <f>MAX(-tbl_CVX[[#This Row],[Move]],0)</f>
        <v>0.45000500000000443</v>
      </c>
      <c r="P51" s="46">
        <f ca="1">IF(ROW($N51)-5&lt;RSI_Periods, "", AVERAGE(INDIRECT(ADDRESS(ROW($N51)-RSI_Periods +1, MATCH("Upmove", Price_Header,0))): INDIRECT(ADDRESS(ROW($N51),MATCH("Upmove", Price_Header,0)))))</f>
        <v>0.56714242857142749</v>
      </c>
      <c r="Q51" s="46">
        <f ca="1">IF(ROW($O51)-5&lt;RSI_Periods, "", AVERAGE(INDIRECT(ADDRESS(ROW($O51)-RSI_Periods +1, MATCH("Downmove", Price_Header,0))): INDIRECT(ADDRESS(ROW($O51),MATCH("Downmove", Price_Header,0)))))</f>
        <v>0.48499999999999943</v>
      </c>
      <c r="R51" s="46">
        <f ca="1">IF(tbl_CVX[[#This Row],[Avg_Upmove]]="", "", tbl_CVX[[#This Row],[Avg_Upmove]]/tbl_CVX[[#This Row],[Avg_Downmove]])</f>
        <v>1.1693658321060374</v>
      </c>
      <c r="S51" s="10">
        <f ca="1">IF(ROW($N51)-4&lt;BB_Periods, "", _xlfn.STDEV.S(INDIRECT(ADDRESS(ROW($F51)-RSI_Periods +1, MATCH("Adj Close", Price_Header,0))): INDIRECT(ADDRESS(ROW($F51),MATCH("Adj Close", Price_Header,0)))))</f>
        <v>1.3498126703172524</v>
      </c>
    </row>
    <row r="52" spans="1:19" x14ac:dyDescent="0.35">
      <c r="A52" s="8">
        <v>44119</v>
      </c>
      <c r="B52" s="10">
        <v>71.819999999999993</v>
      </c>
      <c r="C52" s="10">
        <v>73.720000999999996</v>
      </c>
      <c r="D52" s="10">
        <v>71.389999000000003</v>
      </c>
      <c r="E52" s="10">
        <v>73.510002</v>
      </c>
      <c r="F52" s="10">
        <v>73.510002</v>
      </c>
      <c r="G52">
        <v>10052100</v>
      </c>
      <c r="H52" s="10">
        <f>IF(tbl_CVX[[#This Row],[Date]]=$A$5, $F52, EMA_Beta*$H51 + (1-EMA_Beta)*$F52)</f>
        <v>74.267886934155001</v>
      </c>
      <c r="I52" s="46">
        <f ca="1">IF(tbl_CVX[[#This Row],[RS]]= "", "", 100-(100/(1+tbl_CVX[[#This Row],[RS]])))</f>
        <v>55.504587155963321</v>
      </c>
      <c r="J52" s="10">
        <f ca="1">IF(ROW($N52)-4&lt;BB_Periods, "", AVERAGE(INDIRECT(ADDRESS(ROW($F52)-RSI_Periods +1, MATCH("Adj Close", Price_Header,0))): INDIRECT(ADDRESS(ROW($F52),MATCH("Adj Close", Price_Header,0)))))</f>
        <v>72.986428928571428</v>
      </c>
      <c r="K52" s="10">
        <f ca="1">IF(tbl_CVX[[#This Row],[BB_Mean]]="", "", tbl_CVX[[#This Row],[BB_Mean]]+(BB_Width*tbl_CVX[[#This Row],[BB_Stdev]]))</f>
        <v>75.636498924996019</v>
      </c>
      <c r="L52" s="10">
        <f ca="1">IF(tbl_CVX[[#This Row],[BB_Mean]]="", "", tbl_CVX[[#This Row],[BB_Mean]]-(BB_Width*tbl_CVX[[#This Row],[BB_Stdev]]))</f>
        <v>70.336358932146837</v>
      </c>
      <c r="M52" s="46">
        <f>IF(ROW(tbl_CVX[[#This Row],[Adj Close]])=5, 0, $F52-$F51)</f>
        <v>0.56000500000000386</v>
      </c>
      <c r="N52" s="46">
        <f>MAX(tbl_CVX[[#This Row],[Move]],0)</f>
        <v>0.56000500000000386</v>
      </c>
      <c r="O52" s="46">
        <f>MAX(-tbl_CVX[[#This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0.60499999999999987</v>
      </c>
      <c r="Q52" s="46">
        <f ca="1">IF(ROW($O52)-5&lt;RSI_Periods, "", AVERAGE(INDIRECT(ADDRESS(ROW($O52)-RSI_Periods +1, MATCH("Downmove", Price_Header,0))): INDIRECT(ADDRESS(ROW($O52),MATCH("Downmove", Price_Header,0)))))</f>
        <v>0.48499999999999943</v>
      </c>
      <c r="R52" s="46">
        <f ca="1">IF(tbl_CVX[[#This Row],[Avg_Upmove]]="", "", tbl_CVX[[#This Row],[Avg_Upmove]]/tbl_CVX[[#This Row],[Avg_Downmove]])</f>
        <v>1.2474226804123723</v>
      </c>
      <c r="S52" s="10">
        <f ca="1">IF(ROW($N52)-4&lt;BB_Periods, "", _xlfn.STDEV.S(INDIRECT(ADDRESS(ROW($F52)-RSI_Periods +1, MATCH("Adj Close", Price_Header,0))): INDIRECT(ADDRESS(ROW($F52),MATCH("Adj Close", Price_Header,0)))))</f>
        <v>1.3250349982122931</v>
      </c>
    </row>
    <row r="53" spans="1:19" x14ac:dyDescent="0.35">
      <c r="A53" s="8">
        <v>44120</v>
      </c>
      <c r="B53" s="10">
        <v>73.519997000000004</v>
      </c>
      <c r="C53" s="10">
        <v>74.029999000000004</v>
      </c>
      <c r="D53" s="10">
        <v>72.269997000000004</v>
      </c>
      <c r="E53" s="10">
        <v>72.889999000000003</v>
      </c>
      <c r="F53" s="10">
        <v>72.889999000000003</v>
      </c>
      <c r="G53">
        <v>9305600</v>
      </c>
      <c r="H53" s="10">
        <f>IF(tbl_CVX[[#This Row],[Date]]=$A$5, $F53, EMA_Beta*$H52 + (1-EMA_Beta)*$F53)</f>
        <v>74.130098140739491</v>
      </c>
      <c r="I53" s="46">
        <f ca="1">IF(tbl_CVX[[#This Row],[RS]]= "", "", 100-(100/(1+tbl_CVX[[#This Row],[RS]])))</f>
        <v>46.226412835118694</v>
      </c>
      <c r="J53" s="10">
        <f ca="1">IF(ROW($N53)-4&lt;BB_Periods, "", AVERAGE(INDIRECT(ADDRESS(ROW($F53)-RSI_Periods +1, MATCH("Adj Close", Price_Header,0))): INDIRECT(ADDRESS(ROW($F53),MATCH("Adj Close", Price_Header,0)))))</f>
        <v>72.912143142857147</v>
      </c>
      <c r="K53" s="10">
        <f ca="1">IF(tbl_CVX[[#This Row],[BB_Mean]]="", "", tbl_CVX[[#This Row],[BB_Mean]]+(BB_Width*tbl_CVX[[#This Row],[BB_Stdev]]))</f>
        <v>75.505984711899288</v>
      </c>
      <c r="L53" s="10">
        <f ca="1">IF(tbl_CVX[[#This Row],[BB_Mean]]="", "", tbl_CVX[[#This Row],[BB_Mean]]-(BB_Width*tbl_CVX[[#This Row],[BB_Stdev]]))</f>
        <v>70.318301573815006</v>
      </c>
      <c r="M53" s="46">
        <f>IF(ROW(tbl_CVX[[#This Row],[Adj Close]])=5, 0, $F53-$F52)</f>
        <v>-0.62000299999999697</v>
      </c>
      <c r="N53" s="46">
        <f>MAX(tbl_CVX[[#This Row],[Move]],0)</f>
        <v>0</v>
      </c>
      <c r="O53" s="46">
        <f>MAX(-tbl_CVX[[#This Row],[Move]],0)</f>
        <v>0.62000299999999697</v>
      </c>
      <c r="P53" s="46">
        <f ca="1">IF(ROW($N53)-5&lt;RSI_Periods, "", AVERAGE(INDIRECT(ADDRESS(ROW($N53)-RSI_Periods +1, MATCH("Upmove", Price_Header,0))): INDIRECT(ADDRESS(ROW($N53),MATCH("Upmove", Price_Header,0)))))</f>
        <v>0.4550001428571418</v>
      </c>
      <c r="Q53" s="46">
        <f ca="1">IF(ROW($O53)-5&lt;RSI_Periods, "", AVERAGE(INDIRECT(ADDRESS(ROW($O53)-RSI_Periods +1, MATCH("Downmove", Price_Header,0))): INDIRECT(ADDRESS(ROW($O53),MATCH("Downmove", Price_Header,0)))))</f>
        <v>0.52928592857142776</v>
      </c>
      <c r="R53" s="46">
        <f ca="1">IF(tbl_CVX[[#This Row],[Avg_Upmove]]="", "", tbl_CVX[[#This Row],[Avg_Upmove]]/tbl_CVX[[#This Row],[Avg_Downmove]])</f>
        <v>0.8596490446764995</v>
      </c>
      <c r="S53" s="10">
        <f ca="1">IF(ROW($N53)-4&lt;BB_Periods, "", _xlfn.STDEV.S(INDIRECT(ADDRESS(ROW($F53)-RSI_Periods +1, MATCH("Adj Close", Price_Header,0))): INDIRECT(ADDRESS(ROW($F53),MATCH("Adj Close", Price_Header,0)))))</f>
        <v>1.2969207845210677</v>
      </c>
    </row>
    <row r="54" spans="1:19" x14ac:dyDescent="0.35">
      <c r="A54" s="8">
        <v>44123</v>
      </c>
      <c r="B54" s="10">
        <v>73.110000999999997</v>
      </c>
      <c r="C54" s="10">
        <v>73.339995999999999</v>
      </c>
      <c r="D54" s="10">
        <v>71.190002000000007</v>
      </c>
      <c r="E54" s="10">
        <v>71.279999000000004</v>
      </c>
      <c r="F54" s="10">
        <v>71.279999000000004</v>
      </c>
      <c r="G54">
        <v>8357100</v>
      </c>
      <c r="H54" s="10">
        <f>IF(tbl_CVX[[#This Row],[Date]]=$A$5, $F54, EMA_Beta*$H53 + (1-EMA_Beta)*$F54)</f>
        <v>73.845088226665553</v>
      </c>
      <c r="I54" s="46">
        <f ca="1">IF(tbl_CVX[[#This Row],[RS]]= "", "", 100-(100/(1+tbl_CVX[[#This Row],[RS]])))</f>
        <v>47.679630706780323</v>
      </c>
      <c r="J54" s="10">
        <f ca="1">IF(ROW($N54)-4&lt;BB_Periods, "", AVERAGE(INDIRECT(ADDRESS(ROW($F54)-RSI_Periods +1, MATCH("Adj Close", Price_Header,0))): INDIRECT(ADDRESS(ROW($F54),MATCH("Adj Close", Price_Header,0)))))</f>
        <v>72.867857214285706</v>
      </c>
      <c r="K54" s="10">
        <f ca="1">IF(tbl_CVX[[#This Row],[BB_Mean]]="", "", tbl_CVX[[#This Row],[BB_Mean]]+(BB_Width*tbl_CVX[[#This Row],[BB_Stdev]]))</f>
        <v>75.555610246588529</v>
      </c>
      <c r="L54" s="10">
        <f ca="1">IF(tbl_CVX[[#This Row],[BB_Mean]]="", "", tbl_CVX[[#This Row],[BB_Mean]]-(BB_Width*tbl_CVX[[#This Row],[BB_Stdev]]))</f>
        <v>70.180104181982884</v>
      </c>
      <c r="M54" s="46">
        <f>IF(ROW(tbl_CVX[[#This Row],[Adj Close]])=5, 0, $F54-$F53)</f>
        <v>-1.6099999999999994</v>
      </c>
      <c r="N54" s="46">
        <f>MAX(tbl_CVX[[#This Row],[Move]],0)</f>
        <v>0</v>
      </c>
      <c r="O54" s="46">
        <f>MAX(-tbl_CVX[[#This Row],[Move]],0)</f>
        <v>1.6099999999999994</v>
      </c>
      <c r="P54" s="46">
        <f ca="1">IF(ROW($N54)-5&lt;RSI_Periods, "", AVERAGE(INDIRECT(ADDRESS(ROW($N54)-RSI_Periods +1, MATCH("Upmove", Price_Header,0))): INDIRECT(ADDRESS(ROW($N54),MATCH("Upmove", Price_Header,0)))))</f>
        <v>0.4550001428571418</v>
      </c>
      <c r="Q54" s="46">
        <f ca="1">IF(ROW($O54)-5&lt;RSI_Periods, "", AVERAGE(INDIRECT(ADDRESS(ROW($O54)-RSI_Periods +1, MATCH("Downmove", Price_Header,0))): INDIRECT(ADDRESS(ROW($O54),MATCH("Downmove", Price_Header,0)))))</f>
        <v>0.49928607142857018</v>
      </c>
      <c r="R54" s="46">
        <f ca="1">IF(tbl_CVX[[#This Row],[Avg_Upmove]]="", "", tbl_CVX[[#This Row],[Avg_Upmove]]/tbl_CVX[[#This Row],[Avg_Downmove]])</f>
        <v>0.91130149406187855</v>
      </c>
      <c r="S54" s="10">
        <f ca="1">IF(ROW($N54)-4&lt;BB_Periods, "", _xlfn.STDEV.S(INDIRECT(ADDRESS(ROW($F54)-RSI_Periods +1, MATCH("Adj Close", Price_Header,0))): INDIRECT(ADDRESS(ROW($F54),MATCH("Adj Close", Price_Header,0)))))</f>
        <v>1.3438765161514103</v>
      </c>
    </row>
    <row r="55" spans="1:19" x14ac:dyDescent="0.35">
      <c r="A55" s="8">
        <v>44124</v>
      </c>
      <c r="B55" s="10">
        <v>71.91</v>
      </c>
      <c r="C55" s="10">
        <v>72.290000000000006</v>
      </c>
      <c r="D55" s="10">
        <v>71.040000000000006</v>
      </c>
      <c r="E55" s="10">
        <v>71.680000000000007</v>
      </c>
      <c r="F55" s="10">
        <v>71.680000000000007</v>
      </c>
      <c r="G55">
        <v>7753200</v>
      </c>
      <c r="H55" s="10">
        <f>IF(tbl_CVX[[#This Row],[Date]]=$A$5, $F55, EMA_Beta*$H54 + (1-EMA_Beta)*$F55)</f>
        <v>73.628579403998998</v>
      </c>
      <c r="I55" s="46">
        <f ca="1">IF(tbl_CVX[[#This Row],[RS]]= "", "", 100-(100/(1+tbl_CVX[[#This Row],[RS]])))</f>
        <v>48.82869778279813</v>
      </c>
      <c r="J55" s="10">
        <f ca="1">IF(ROW($N55)-4&lt;BB_Periods, "", AVERAGE(INDIRECT(ADDRESS(ROW($F55)-RSI_Periods +1, MATCH("Adj Close", Price_Header,0))): INDIRECT(ADDRESS(ROW($F55),MATCH("Adj Close", Price_Header,0)))))</f>
        <v>72.845000071428558</v>
      </c>
      <c r="K55" s="10">
        <f ca="1">IF(tbl_CVX[[#This Row],[BB_Mean]]="", "", tbl_CVX[[#This Row],[BB_Mean]]+(BB_Width*tbl_CVX[[#This Row],[BB_Stdev]]))</f>
        <v>75.569733933382267</v>
      </c>
      <c r="L55" s="10">
        <f ca="1">IF(tbl_CVX[[#This Row],[BB_Mean]]="", "", tbl_CVX[[#This Row],[BB_Mean]]-(BB_Width*tbl_CVX[[#This Row],[BB_Stdev]]))</f>
        <v>70.120266209474849</v>
      </c>
      <c r="M55" s="46">
        <f>IF(ROW(tbl_CVX[[#This Row],[Adj Close]])=5, 0, $F55-$F54)</f>
        <v>0.40000100000000316</v>
      </c>
      <c r="N55" s="46">
        <f>MAX(tbl_CVX[[#This Row],[Move]],0)</f>
        <v>0.40000100000000316</v>
      </c>
      <c r="O55" s="46">
        <f>MAX(-tbl_CVX[[#This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0.47642892857142777</v>
      </c>
      <c r="Q55" s="46">
        <f ca="1">IF(ROW($O55)-5&lt;RSI_Periods, "", AVERAGE(INDIRECT(ADDRESS(ROW($O55)-RSI_Periods +1, MATCH("Downmove", Price_Header,0))): INDIRECT(ADDRESS(ROW($O55),MATCH("Downmove", Price_Header,0)))))</f>
        <v>0.49928607142857018</v>
      </c>
      <c r="R55" s="46">
        <f ca="1">IF(tbl_CVX[[#This Row],[Avg_Upmove]]="", "", tbl_CVX[[#This Row],[Avg_Upmove]]/tbl_CVX[[#This Row],[Avg_Downmove]])</f>
        <v>0.95422034748186957</v>
      </c>
      <c r="S55" s="10">
        <f ca="1">IF(ROW($N55)-4&lt;BB_Periods, "", _xlfn.STDEV.S(INDIRECT(ADDRESS(ROW($F55)-RSI_Periods +1, MATCH("Adj Close", Price_Header,0))): INDIRECT(ADDRESS(ROW($F55),MATCH("Adj Close", Price_Header,0)))))</f>
        <v>1.3623669309768551</v>
      </c>
    </row>
    <row r="56" spans="1:19" x14ac:dyDescent="0.35">
      <c r="A56" s="8">
        <v>44125</v>
      </c>
      <c r="B56" s="10">
        <v>71.13</v>
      </c>
      <c r="C56" s="10">
        <v>71.58</v>
      </c>
      <c r="D56" s="10">
        <v>70.73</v>
      </c>
      <c r="E56" s="10">
        <v>70.87</v>
      </c>
      <c r="F56" s="10">
        <v>70.87</v>
      </c>
      <c r="G56">
        <v>9800600</v>
      </c>
      <c r="H56" s="10">
        <f>IF(tbl_CVX[[#This Row],[Date]]=$A$5, $F56, EMA_Beta*$H55 + (1-EMA_Beta)*$F56)</f>
        <v>73.35272146359911</v>
      </c>
      <c r="I56" s="46">
        <f ca="1">IF(tbl_CVX[[#This Row],[RS]]= "", "", 100-(100/(1+tbl_CVX[[#This Row],[RS]])))</f>
        <v>51.745545852260129</v>
      </c>
      <c r="J56" s="10">
        <f ca="1">IF(ROW($N56)-4&lt;BB_Periods, "", AVERAGE(INDIRECT(ADDRESS(ROW($F56)-RSI_Periods +1, MATCH("Adj Close", Price_Header,0))): INDIRECT(ADDRESS(ROW($F56),MATCH("Adj Close", Price_Header,0)))))</f>
        <v>72.877143071428563</v>
      </c>
      <c r="K56" s="10">
        <f ca="1">IF(tbl_CVX[[#This Row],[BB_Mean]]="", "", tbl_CVX[[#This Row],[BB_Mean]]+(BB_Width*tbl_CVX[[#This Row],[BB_Stdev]]))</f>
        <v>75.486834673100759</v>
      </c>
      <c r="L56" s="10">
        <f ca="1">IF(tbl_CVX[[#This Row],[BB_Mean]]="", "", tbl_CVX[[#This Row],[BB_Mean]]-(BB_Width*tbl_CVX[[#This Row],[BB_Stdev]]))</f>
        <v>70.267451469756367</v>
      </c>
      <c r="M56" s="46">
        <f>IF(ROW(tbl_CVX[[#This Row],[Adj Close]])=5, 0, $F56-$F55)</f>
        <v>-0.81000000000000227</v>
      </c>
      <c r="N56" s="46">
        <f>MAX(tbl_CVX[[#This Row],[Move]],0)</f>
        <v>0</v>
      </c>
      <c r="O56" s="46">
        <f>MAX(-tbl_CVX[[#This Row],[Move]],0)</f>
        <v>0.81000000000000227</v>
      </c>
      <c r="P56" s="46">
        <f ca="1">IF(ROW($N56)-5&lt;RSI_Periods, "", AVERAGE(INDIRECT(ADDRESS(ROW($N56)-RSI_Periods +1, MATCH("Upmove", Price_Header,0))): INDIRECT(ADDRESS(ROW($N56),MATCH("Upmove", Price_Header,0)))))</f>
        <v>0.47642892857142777</v>
      </c>
      <c r="Q56" s="46">
        <f ca="1">IF(ROW($O56)-5&lt;RSI_Periods, "", AVERAGE(INDIRECT(ADDRESS(ROW($O56)-RSI_Periods +1, MATCH("Downmove", Price_Header,0))): INDIRECT(ADDRESS(ROW($O56),MATCH("Downmove", Price_Header,0)))))</f>
        <v>0.44428592857142796</v>
      </c>
      <c r="R56" s="46">
        <f ca="1">IF(tbl_CVX[[#This Row],[Avg_Upmove]]="", "", tbl_CVX[[#This Row],[Avg_Upmove]]/tbl_CVX[[#This Row],[Avg_Downmove]])</f>
        <v>1.0723475535301186</v>
      </c>
      <c r="S56" s="10">
        <f ca="1">IF(ROW($N56)-4&lt;BB_Periods, "", _xlfn.STDEV.S(INDIRECT(ADDRESS(ROW($F56)-RSI_Periods +1, MATCH("Adj Close", Price_Header,0))): INDIRECT(ADDRESS(ROW($F56),MATCH("Adj Close", Price_Header,0)))))</f>
        <v>1.3048458008361001</v>
      </c>
    </row>
    <row r="57" spans="1:19" x14ac:dyDescent="0.35">
      <c r="A57" s="8">
        <v>44126</v>
      </c>
      <c r="B57" s="10">
        <v>70.88</v>
      </c>
      <c r="C57" s="10">
        <v>73.489999999999995</v>
      </c>
      <c r="D57" s="10">
        <v>70.569999999999993</v>
      </c>
      <c r="E57" s="10">
        <v>73.400000000000006</v>
      </c>
      <c r="F57" s="10">
        <v>73.400000000000006</v>
      </c>
      <c r="G57">
        <v>9810100</v>
      </c>
      <c r="H57" s="10">
        <f>IF(tbl_CVX[[#This Row],[Date]]=$A$5, $F57, EMA_Beta*$H56 + (1-EMA_Beta)*$F57)</f>
        <v>73.357449317239201</v>
      </c>
      <c r="I57" s="46">
        <f ca="1">IF(tbl_CVX[[#This Row],[RS]]= "", "", 100-(100/(1+tbl_CVX[[#This Row],[RS]])))</f>
        <v>57.542653230674894</v>
      </c>
      <c r="J57" s="10">
        <f ca="1">IF(ROW($N57)-4&lt;BB_Periods, "", AVERAGE(INDIRECT(ADDRESS(ROW($F57)-RSI_Periods +1, MATCH("Adj Close", Price_Header,0))): INDIRECT(ADDRESS(ROW($F57),MATCH("Adj Close", Price_Header,0)))))</f>
        <v>73.03500007142857</v>
      </c>
      <c r="K57" s="10">
        <f ca="1">IF(tbl_CVX[[#This Row],[BB_Mean]]="", "", tbl_CVX[[#This Row],[BB_Mean]]+(BB_Width*tbl_CVX[[#This Row],[BB_Stdev]]))</f>
        <v>75.466344368791837</v>
      </c>
      <c r="L57" s="10">
        <f ca="1">IF(tbl_CVX[[#This Row],[BB_Mean]]="", "", tbl_CVX[[#This Row],[BB_Mean]]-(BB_Width*tbl_CVX[[#This Row],[BB_Stdev]]))</f>
        <v>70.603655774065302</v>
      </c>
      <c r="M57" s="46">
        <f>IF(ROW(tbl_CVX[[#This Row],[Adj Close]])=5, 0, $F57-$F56)</f>
        <v>2.5300000000000011</v>
      </c>
      <c r="N57" s="46">
        <f>MAX(tbl_CVX[[#This Row],[Move]],0)</f>
        <v>2.5300000000000011</v>
      </c>
      <c r="O57" s="46">
        <f>MAX(-tbl_CVX[[#This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0.60214292857142782</v>
      </c>
      <c r="Q57" s="46">
        <f ca="1">IF(ROW($O57)-5&lt;RSI_Periods, "", AVERAGE(INDIRECT(ADDRESS(ROW($O57)-RSI_Periods +1, MATCH("Downmove", Price_Header,0))): INDIRECT(ADDRESS(ROW($O57),MATCH("Downmove", Price_Header,0)))))</f>
        <v>0.44428592857142796</v>
      </c>
      <c r="R57" s="46">
        <f ca="1">IF(tbl_CVX[[#This Row],[Avg_Upmove]]="", "", tbl_CVX[[#This Row],[Avg_Upmove]]/tbl_CVX[[#This Row],[Avg_Downmove]])</f>
        <v>1.3553049733255758</v>
      </c>
      <c r="S57" s="10">
        <f ca="1">IF(ROW($N57)-4&lt;BB_Periods, "", _xlfn.STDEV.S(INDIRECT(ADDRESS(ROW($F57)-RSI_Periods +1, MATCH("Adj Close", Price_Header,0))): INDIRECT(ADDRESS(ROW($F57),MATCH("Adj Close", Price_Header,0)))))</f>
        <v>1.215672148681634</v>
      </c>
    </row>
    <row r="58" spans="1:19" x14ac:dyDescent="0.35">
      <c r="A58" s="8">
        <v>44127</v>
      </c>
      <c r="B58" s="10">
        <v>73.930000000000007</v>
      </c>
      <c r="C58" s="10">
        <v>74.36</v>
      </c>
      <c r="D58" s="10">
        <v>71.83</v>
      </c>
      <c r="E58" s="10">
        <v>72.569999999999993</v>
      </c>
      <c r="F58" s="10">
        <v>72.569999999999993</v>
      </c>
      <c r="G58">
        <v>8727200</v>
      </c>
      <c r="H58" s="10">
        <f>IF(tbl_CVX[[#This Row],[Date]]=$A$5, $F58, EMA_Beta*$H57 + (1-EMA_Beta)*$F58)</f>
        <v>73.278704385515283</v>
      </c>
      <c r="I58" s="46">
        <f ca="1">IF(tbl_CVX[[#This Row],[RS]]= "", "", 100-(100/(1+tbl_CVX[[#This Row],[RS]])))</f>
        <v>49.534728288292428</v>
      </c>
      <c r="J58" s="10">
        <f ca="1">IF(ROW($N58)-4&lt;BB_Periods, "", AVERAGE(INDIRECT(ADDRESS(ROW($F58)-RSI_Periods +1, MATCH("Adj Close", Price_Header,0))): INDIRECT(ADDRESS(ROW($F58),MATCH("Adj Close", Price_Header,0)))))</f>
        <v>73.025714571428566</v>
      </c>
      <c r="K58" s="10">
        <f ca="1">IF(tbl_CVX[[#This Row],[BB_Mean]]="", "", tbl_CVX[[#This Row],[BB_Mean]]+(BB_Width*tbl_CVX[[#This Row],[BB_Stdev]]))</f>
        <v>75.463554407870234</v>
      </c>
      <c r="L58" s="10">
        <f ca="1">IF(tbl_CVX[[#This Row],[BB_Mean]]="", "", tbl_CVX[[#This Row],[BB_Mean]]-(BB_Width*tbl_CVX[[#This Row],[BB_Stdev]]))</f>
        <v>70.587874734986897</v>
      </c>
      <c r="M58" s="46">
        <f>IF(ROW(tbl_CVX[[#This Row],[Adj Close]])=5, 0, $F58-$F57)</f>
        <v>-0.83000000000001251</v>
      </c>
      <c r="N58" s="46">
        <f>MAX(tbl_CVX[[#This Row],[Move]],0)</f>
        <v>0</v>
      </c>
      <c r="O58" s="46">
        <f>MAX(-tbl_CVX[[#This Row],[Move]],0)</f>
        <v>0.83000000000001251</v>
      </c>
      <c r="P58" s="46">
        <f ca="1">IF(ROW($N58)-5&lt;RSI_Periods, "", AVERAGE(INDIRECT(ADDRESS(ROW($N58)-RSI_Periods +1, MATCH("Upmove", Price_Header,0))): INDIRECT(ADDRESS(ROW($N58),MATCH("Upmove", Price_Header,0)))))</f>
        <v>0.4942861428571429</v>
      </c>
      <c r="Q58" s="46">
        <f ca="1">IF(ROW($O58)-5&lt;RSI_Periods, "", AVERAGE(INDIRECT(ADDRESS(ROW($O58)-RSI_Periods +1, MATCH("Downmove", Price_Header,0))): INDIRECT(ADDRESS(ROW($O58),MATCH("Downmove", Price_Header,0)))))</f>
        <v>0.50357164285714318</v>
      </c>
      <c r="R58" s="46">
        <f ca="1">IF(tbl_CVX[[#This Row],[Avg_Upmove]]="", "", tbl_CVX[[#This Row],[Avg_Upmove]]/tbl_CVX[[#This Row],[Avg_Downmove]])</f>
        <v>0.98156071706636094</v>
      </c>
      <c r="S58" s="10">
        <f ca="1">IF(ROW($N58)-4&lt;BB_Periods, "", _xlfn.STDEV.S(INDIRECT(ADDRESS(ROW($F58)-RSI_Periods +1, MATCH("Adj Close", Price_Header,0))): INDIRECT(ADDRESS(ROW($F58),MATCH("Adj Close", Price_Header,0)))))</f>
        <v>1.2189199182208363</v>
      </c>
    </row>
    <row r="59" spans="1:19" x14ac:dyDescent="0.35">
      <c r="A59" s="8">
        <v>44130</v>
      </c>
      <c r="B59" s="10">
        <v>71.73</v>
      </c>
      <c r="C59" s="10">
        <v>71.89</v>
      </c>
      <c r="D59" s="10">
        <v>70.239999999999995</v>
      </c>
      <c r="E59" s="10">
        <v>70.94</v>
      </c>
      <c r="F59" s="10">
        <v>70.94</v>
      </c>
      <c r="G59">
        <v>9710900</v>
      </c>
      <c r="H59" s="10">
        <f>IF(tbl_CVX[[#This Row],[Date]]=$A$5, $F59, EMA_Beta*$H58 + (1-EMA_Beta)*$F59)</f>
        <v>73.044833946963749</v>
      </c>
      <c r="I59" s="46">
        <f ca="1">IF(tbl_CVX[[#This Row],[RS]]= "", "", 100-(100/(1+tbl_CVX[[#This Row],[RS]])))</f>
        <v>45.526310335877938</v>
      </c>
      <c r="J59" s="10">
        <f ca="1">IF(ROW($N59)-4&lt;BB_Periods, "", AVERAGE(INDIRECT(ADDRESS(ROW($F59)-RSI_Periods +1, MATCH("Adj Close", Price_Header,0))): INDIRECT(ADDRESS(ROW($F59),MATCH("Adj Close", Price_Header,0)))))</f>
        <v>72.92857149999999</v>
      </c>
      <c r="K59" s="10">
        <f ca="1">IF(tbl_CVX[[#This Row],[BB_Mean]]="", "", tbl_CVX[[#This Row],[BB_Mean]]+(BB_Width*tbl_CVX[[#This Row],[BB_Stdev]]))</f>
        <v>75.589189594263829</v>
      </c>
      <c r="L59" s="10">
        <f ca="1">IF(tbl_CVX[[#This Row],[BB_Mean]]="", "", tbl_CVX[[#This Row],[BB_Mean]]-(BB_Width*tbl_CVX[[#This Row],[BB_Stdev]]))</f>
        <v>70.267953405736151</v>
      </c>
      <c r="M59" s="46">
        <f>IF(ROW(tbl_CVX[[#This Row],[Adj Close]])=5, 0, $F59-$F58)</f>
        <v>-1.6299999999999955</v>
      </c>
      <c r="N59" s="46">
        <f>MAX(tbl_CVX[[#This Row],[Move]],0)</f>
        <v>0</v>
      </c>
      <c r="O59" s="46">
        <f>MAX(-tbl_CVX[[#This Row],[Move]],0)</f>
        <v>1.6299999999999955</v>
      </c>
      <c r="P59" s="46">
        <f ca="1">IF(ROW($N59)-5&lt;RSI_Periods, "", AVERAGE(INDIRECT(ADDRESS(ROW($N59)-RSI_Periods +1, MATCH("Upmove", Price_Header,0))): INDIRECT(ADDRESS(ROW($N59),MATCH("Upmove", Price_Header,0)))))</f>
        <v>0.4942861428571429</v>
      </c>
      <c r="Q59" s="46">
        <f ca="1">IF(ROW($O59)-5&lt;RSI_Periods, "", AVERAGE(INDIRECT(ADDRESS(ROW($O59)-RSI_Periods +1, MATCH("Downmove", Price_Header,0))): INDIRECT(ADDRESS(ROW($O59),MATCH("Downmove", Price_Header,0)))))</f>
        <v>0.59142921428571482</v>
      </c>
      <c r="R59" s="46">
        <f ca="1">IF(tbl_CVX[[#This Row],[Avg_Upmove]]="", "", tbl_CVX[[#This Row],[Avg_Upmove]]/tbl_CVX[[#This Row],[Avg_Downmove]])</f>
        <v>0.83574860848581134</v>
      </c>
      <c r="S59" s="10">
        <f ca="1">IF(ROW($N59)-4&lt;BB_Periods, "", _xlfn.STDEV.S(INDIRECT(ADDRESS(ROW($F59)-RSI_Periods +1, MATCH("Adj Close", Price_Header,0))): INDIRECT(ADDRESS(ROW($F59),MATCH("Adj Close", Price_Header,0)))))</f>
        <v>1.3303090471319192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J60" s="61"/>
      <c r="K60" s="61"/>
      <c r="L60" s="61"/>
      <c r="S60" s="61">
        <f ca="1">SUBTOTAL(103,tbl_CVX[BB_Stdev])</f>
        <v>55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60"/>
  <sheetViews>
    <sheetView topLeftCell="A41" workbookViewId="0">
      <selection activeCell="D60" sqref="D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329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108.599998</v>
      </c>
      <c r="C5" s="10">
        <v>108.989998</v>
      </c>
      <c r="D5" s="10">
        <v>105.720001</v>
      </c>
      <c r="E5" s="10">
        <v>106.360001</v>
      </c>
      <c r="F5" s="10">
        <v>105.793381</v>
      </c>
      <c r="G5">
        <v>10087100</v>
      </c>
      <c r="H5" s="10">
        <f>IF(tbl_QCOM[[#This Row],[Date]]=$A$5, $F5, EMA_Beta*$H4 + (1-EMA_Beta)*$F5)</f>
        <v>105.793381</v>
      </c>
      <c r="I5" s="46" t="str">
        <f ca="1">IF(tbl_QCOM[[#This Row],[RS]]= "", "", 100-(100/(1+tbl_QCOM[[#This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IF(tbl_QCOM[[#This Row],[BB_Mean]]="", "", tbl_QCOM[[#This Row],[BB_Mean]]+(BB_Width*tbl_QCOM[[#This Row],[BB_Stdev]]))</f>
        <v/>
      </c>
      <c r="L5" s="10" t="str">
        <f ca="1">IF(tbl_QCOM[[#This Row],[BB_Mean]]="", "", tbl_QCOM[[#This Row],[BB_Mean]]-(BB_Width*tbl_QCOM[[#This Row],[BB_Stdev]]))</f>
        <v/>
      </c>
      <c r="M5" s="46">
        <f>IF(ROW(tbl_QCOM[[#This Row],[Adj Close]])=5, 0, $F5-$F4)</f>
        <v>0</v>
      </c>
      <c r="N5" s="46">
        <f>MAX(tbl_QCOM[[#This Row],[Move]],0)</f>
        <v>0</v>
      </c>
      <c r="O5" s="46">
        <f>MAX(-tbl_QCOM[[#This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IF(tbl_QCOM[[#This Row],[Avg_Upmove]]="", "", tbl_QCOM[[#This Row],[Avg_Upmove]]/tbl_QCOM[[#This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106.199997</v>
      </c>
      <c r="C6" s="10">
        <v>112.010002</v>
      </c>
      <c r="D6" s="10">
        <v>104.739998</v>
      </c>
      <c r="E6" s="10">
        <v>108.83000199999999</v>
      </c>
      <c r="F6" s="10">
        <v>108.250221</v>
      </c>
      <c r="G6">
        <v>17803000</v>
      </c>
      <c r="H6" s="10">
        <f>IF(tbl_QCOM[[#This Row],[Date]]=$A$5, $F6, EMA_Beta*$H5 + (1-EMA_Beta)*$F6)</f>
        <v>106.03906499999999</v>
      </c>
      <c r="I6" s="46" t="str">
        <f ca="1">IF(tbl_QCOM[[#This Row],[RS]]= "", "", 100-(100/(1+tbl_QCOM[[#This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IF(tbl_QCOM[[#This Row],[BB_Mean]]="", "", tbl_QCOM[[#This Row],[BB_Mean]]+(BB_Width*tbl_QCOM[[#This Row],[BB_Stdev]]))</f>
        <v/>
      </c>
      <c r="L6" s="10" t="str">
        <f ca="1">IF(tbl_QCOM[[#This Row],[BB_Mean]]="", "", tbl_QCOM[[#This Row],[BB_Mean]]-(BB_Width*tbl_QCOM[[#This Row],[BB_Stdev]]))</f>
        <v/>
      </c>
      <c r="M6" s="46">
        <f>IF(ROW(tbl_QCOM[[#This Row],[Adj Close]])=5, 0, $F6-$F5)</f>
        <v>2.4568399999999997</v>
      </c>
      <c r="N6" s="46">
        <f>MAX(tbl_QCOM[[#This Row],[Move]],0)</f>
        <v>2.4568399999999997</v>
      </c>
      <c r="O6" s="46">
        <f>MAX(-tbl_QCOM[[#This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IF(tbl_QCOM[[#This Row],[Avg_Upmove]]="", "", tbl_QCOM[[#This Row],[Avg_Upmove]]/tbl_QCOM[[#This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110.389999</v>
      </c>
      <c r="C7" s="10">
        <v>116.25</v>
      </c>
      <c r="D7" s="10">
        <v>109.650002</v>
      </c>
      <c r="E7" s="10">
        <v>115.790001</v>
      </c>
      <c r="F7" s="10">
        <v>115.173141</v>
      </c>
      <c r="G7">
        <v>18672300</v>
      </c>
      <c r="H7" s="10">
        <f>IF(tbl_QCOM[[#This Row],[Date]]=$A$5, $F7, EMA_Beta*$H6 + (1-EMA_Beta)*$F7)</f>
        <v>106.95247259999999</v>
      </c>
      <c r="I7" s="46" t="str">
        <f ca="1">IF(tbl_QCOM[[#This Row],[RS]]= "", "", 100-(100/(1+tbl_QCOM[[#This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IF(tbl_QCOM[[#This Row],[BB_Mean]]="", "", tbl_QCOM[[#This Row],[BB_Mean]]+(BB_Width*tbl_QCOM[[#This Row],[BB_Stdev]]))</f>
        <v/>
      </c>
      <c r="L7" s="10" t="str">
        <f ca="1">IF(tbl_QCOM[[#This Row],[BB_Mean]]="", "", tbl_QCOM[[#This Row],[BB_Mean]]-(BB_Width*tbl_QCOM[[#This Row],[BB_Stdev]]))</f>
        <v/>
      </c>
      <c r="M7" s="46">
        <f>IF(ROW(tbl_QCOM[[#This Row],[Adj Close]])=5, 0, $F7-$F6)</f>
        <v>6.9229200000000048</v>
      </c>
      <c r="N7" s="46">
        <f>MAX(tbl_QCOM[[#This Row],[Move]],0)</f>
        <v>6.9229200000000048</v>
      </c>
      <c r="O7" s="46">
        <f>MAX(-tbl_QCOM[[#This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IF(tbl_QCOM[[#This Row],[Avg_Upmove]]="", "", tbl_QCOM[[#This Row],[Avg_Upmove]]/tbl_QCOM[[#This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116.199997</v>
      </c>
      <c r="C8" s="10">
        <v>116.199997</v>
      </c>
      <c r="D8" s="10">
        <v>112.769997</v>
      </c>
      <c r="E8" s="10">
        <v>113.410004</v>
      </c>
      <c r="F8" s="10">
        <v>112.805824</v>
      </c>
      <c r="G8">
        <v>9958400</v>
      </c>
      <c r="H8" s="10">
        <f>IF(tbl_QCOM[[#This Row],[Date]]=$A$5, $F8, EMA_Beta*$H7 + (1-EMA_Beta)*$F8)</f>
        <v>107.53780773999999</v>
      </c>
      <c r="I8" s="46" t="str">
        <f ca="1">IF(tbl_QCOM[[#This Row],[RS]]= "", "", 100-(100/(1+tbl_QCOM[[#This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IF(tbl_QCOM[[#This Row],[BB_Mean]]="", "", tbl_QCOM[[#This Row],[BB_Mean]]+(BB_Width*tbl_QCOM[[#This Row],[BB_Stdev]]))</f>
        <v/>
      </c>
      <c r="L8" s="10" t="str">
        <f ca="1">IF(tbl_QCOM[[#This Row],[BB_Mean]]="", "", tbl_QCOM[[#This Row],[BB_Mean]]-(BB_Width*tbl_QCOM[[#This Row],[BB_Stdev]]))</f>
        <v/>
      </c>
      <c r="M8" s="46">
        <f>IF(ROW(tbl_QCOM[[#This Row],[Adj Close]])=5, 0, $F8-$F7)</f>
        <v>-2.3673169999999999</v>
      </c>
      <c r="N8" s="46">
        <f>MAX(tbl_QCOM[[#This Row],[Move]],0)</f>
        <v>0</v>
      </c>
      <c r="O8" s="46">
        <f>MAX(-tbl_QCOM[[#This Row],[Move]],0)</f>
        <v>2.3673169999999999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IF(tbl_QCOM[[#This Row],[Avg_Upmove]]="", "", tbl_QCOM[[#This Row],[Avg_Upmove]]/tbl_QCOM[[#This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113.300003</v>
      </c>
      <c r="C9" s="10">
        <v>114.519997</v>
      </c>
      <c r="D9" s="10">
        <v>112.57</v>
      </c>
      <c r="E9" s="10">
        <v>113.739998</v>
      </c>
      <c r="F9" s="10">
        <v>113.134056</v>
      </c>
      <c r="G9">
        <v>6641000</v>
      </c>
      <c r="H9" s="10">
        <f>IF(tbl_QCOM[[#This Row],[Date]]=$A$5, $F9, EMA_Beta*$H8 + (1-EMA_Beta)*$F9)</f>
        <v>108.09743256599999</v>
      </c>
      <c r="I9" s="46" t="str">
        <f ca="1">IF(tbl_QCOM[[#This Row],[RS]]= "", "", 100-(100/(1+tbl_QCOM[[#This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IF(tbl_QCOM[[#This Row],[BB_Mean]]="", "", tbl_QCOM[[#This Row],[BB_Mean]]+(BB_Width*tbl_QCOM[[#This Row],[BB_Stdev]]))</f>
        <v/>
      </c>
      <c r="L9" s="10" t="str">
        <f ca="1">IF(tbl_QCOM[[#This Row],[BB_Mean]]="", "", tbl_QCOM[[#This Row],[BB_Mean]]-(BB_Width*tbl_QCOM[[#This Row],[BB_Stdev]]))</f>
        <v/>
      </c>
      <c r="M9" s="46">
        <f>IF(ROW(tbl_QCOM[[#This Row],[Adj Close]])=5, 0, $F9-$F8)</f>
        <v>0.32823199999999986</v>
      </c>
      <c r="N9" s="46">
        <f>MAX(tbl_QCOM[[#This Row],[Move]],0)</f>
        <v>0.32823199999999986</v>
      </c>
      <c r="O9" s="46">
        <f>MAX(-tbl_QCOM[[#This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IF(tbl_QCOM[[#This Row],[Avg_Upmove]]="", "", tbl_QCOM[[#This Row],[Avg_Upmove]]/tbl_QCOM[[#This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113.290001</v>
      </c>
      <c r="C10" s="10">
        <v>114.489998</v>
      </c>
      <c r="D10" s="10">
        <v>110.629997</v>
      </c>
      <c r="E10" s="10">
        <v>112.18</v>
      </c>
      <c r="F10" s="10">
        <v>111.582375</v>
      </c>
      <c r="G10">
        <v>10283000</v>
      </c>
      <c r="H10" s="10">
        <f>IF(tbl_QCOM[[#This Row],[Date]]=$A$5, $F10, EMA_Beta*$H9 + (1-EMA_Beta)*$F10)</f>
        <v>108.44592680939999</v>
      </c>
      <c r="I10" s="46" t="str">
        <f ca="1">IF(tbl_QCOM[[#This Row],[RS]]= "", "", 100-(100/(1+tbl_QCOM[[#This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IF(tbl_QCOM[[#This Row],[BB_Mean]]="", "", tbl_QCOM[[#This Row],[BB_Mean]]+(BB_Width*tbl_QCOM[[#This Row],[BB_Stdev]]))</f>
        <v/>
      </c>
      <c r="L10" s="10" t="str">
        <f ca="1">IF(tbl_QCOM[[#This Row],[BB_Mean]]="", "", tbl_QCOM[[#This Row],[BB_Mean]]-(BB_Width*tbl_QCOM[[#This Row],[BB_Stdev]]))</f>
        <v/>
      </c>
      <c r="M10" s="46">
        <f>IF(ROW(tbl_QCOM[[#This Row],[Adj Close]])=5, 0, $F10-$F9)</f>
        <v>-1.5516810000000021</v>
      </c>
      <c r="N10" s="46">
        <f>MAX(tbl_QCOM[[#This Row],[Move]],0)</f>
        <v>0</v>
      </c>
      <c r="O10" s="46">
        <f>MAX(-tbl_QCOM[[#This Row],[Move]],0)</f>
        <v>1.5516810000000021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IF(tbl_QCOM[[#This Row],[Avg_Upmove]]="", "", tbl_QCOM[[#This Row],[Avg_Upmove]]/tbl_QCOM[[#This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112.910004</v>
      </c>
      <c r="C11" s="10">
        <v>113.379997</v>
      </c>
      <c r="D11" s="10">
        <v>111.519997</v>
      </c>
      <c r="E11" s="10">
        <v>112.029999</v>
      </c>
      <c r="F11" s="10">
        <v>111.433167</v>
      </c>
      <c r="G11">
        <v>6387000</v>
      </c>
      <c r="H11" s="10">
        <f>IF(tbl_QCOM[[#This Row],[Date]]=$A$5, $F11, EMA_Beta*$H10 + (1-EMA_Beta)*$F11)</f>
        <v>108.74465082846</v>
      </c>
      <c r="I11" s="46" t="str">
        <f ca="1">IF(tbl_QCOM[[#This Row],[RS]]= "", "", 100-(100/(1+tbl_QCOM[[#This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IF(tbl_QCOM[[#This Row],[BB_Mean]]="", "", tbl_QCOM[[#This Row],[BB_Mean]]+(BB_Width*tbl_QCOM[[#This Row],[BB_Stdev]]))</f>
        <v/>
      </c>
      <c r="L11" s="10" t="str">
        <f ca="1">IF(tbl_QCOM[[#This Row],[BB_Mean]]="", "", tbl_QCOM[[#This Row],[BB_Mean]]-(BB_Width*tbl_QCOM[[#This Row],[BB_Stdev]]))</f>
        <v/>
      </c>
      <c r="M11" s="46">
        <f>IF(ROW(tbl_QCOM[[#This Row],[Adj Close]])=5, 0, $F11-$F10)</f>
        <v>-0.14920800000000156</v>
      </c>
      <c r="N11" s="46">
        <f>MAX(tbl_QCOM[[#This Row],[Move]],0)</f>
        <v>0</v>
      </c>
      <c r="O11" s="46">
        <f>MAX(-tbl_QCOM[[#This Row],[Move]],0)</f>
        <v>0.14920800000000156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IF(tbl_QCOM[[#This Row],[Avg_Upmove]]="", "", tbl_QCOM[[#This Row],[Avg_Upmove]]/tbl_QCOM[[#This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112.33000199999999</v>
      </c>
      <c r="C12" s="10">
        <v>113.470001</v>
      </c>
      <c r="D12" s="10">
        <v>110.75</v>
      </c>
      <c r="E12" s="10">
        <v>111.040001</v>
      </c>
      <c r="F12" s="10">
        <v>110.448448</v>
      </c>
      <c r="G12">
        <v>7747600</v>
      </c>
      <c r="H12" s="10">
        <f>IF(tbl_QCOM[[#This Row],[Date]]=$A$5, $F12, EMA_Beta*$H11 + (1-EMA_Beta)*$F12)</f>
        <v>108.91503054561399</v>
      </c>
      <c r="I12" s="46" t="str">
        <f ca="1">IF(tbl_QCOM[[#This Row],[RS]]= "", "", 100-(100/(1+tbl_QCOM[[#This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IF(tbl_QCOM[[#This Row],[BB_Mean]]="", "", tbl_QCOM[[#This Row],[BB_Mean]]+(BB_Width*tbl_QCOM[[#This Row],[BB_Stdev]]))</f>
        <v/>
      </c>
      <c r="L12" s="10" t="str">
        <f ca="1">IF(tbl_QCOM[[#This Row],[BB_Mean]]="", "", tbl_QCOM[[#This Row],[BB_Mean]]-(BB_Width*tbl_QCOM[[#This Row],[BB_Stdev]]))</f>
        <v/>
      </c>
      <c r="M12" s="46">
        <f>IF(ROW(tbl_QCOM[[#This Row],[Adj Close]])=5, 0, $F12-$F11)</f>
        <v>-0.98471899999999835</v>
      </c>
      <c r="N12" s="46">
        <f>MAX(tbl_QCOM[[#This Row],[Move]],0)</f>
        <v>0</v>
      </c>
      <c r="O12" s="46">
        <f>MAX(-tbl_QCOM[[#This Row],[Move]],0)</f>
        <v>0.98471899999999835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IF(tbl_QCOM[[#This Row],[Avg_Upmove]]="", "", tbl_QCOM[[#This Row],[Avg_Upmove]]/tbl_QCOM[[#This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110</v>
      </c>
      <c r="C13" s="10">
        <v>110.980003</v>
      </c>
      <c r="D13" s="10">
        <v>109.66999800000001</v>
      </c>
      <c r="E13" s="10">
        <v>110.660004</v>
      </c>
      <c r="F13" s="10">
        <v>110.07047300000001</v>
      </c>
      <c r="G13">
        <v>7200300</v>
      </c>
      <c r="H13" s="10">
        <f>IF(tbl_QCOM[[#This Row],[Date]]=$A$5, $F13, EMA_Beta*$H12 + (1-EMA_Beta)*$F13)</f>
        <v>109.03057479105259</v>
      </c>
      <c r="I13" s="46" t="str">
        <f ca="1">IF(tbl_QCOM[[#This Row],[RS]]= "", "", 100-(100/(1+tbl_QCOM[[#This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IF(tbl_QCOM[[#This Row],[BB_Mean]]="", "", tbl_QCOM[[#This Row],[BB_Mean]]+(BB_Width*tbl_QCOM[[#This Row],[BB_Stdev]]))</f>
        <v/>
      </c>
      <c r="L13" s="10" t="str">
        <f ca="1">IF(tbl_QCOM[[#This Row],[BB_Mean]]="", "", tbl_QCOM[[#This Row],[BB_Mean]]-(BB_Width*tbl_QCOM[[#This Row],[BB_Stdev]]))</f>
        <v/>
      </c>
      <c r="M13" s="46">
        <f>IF(ROW(tbl_QCOM[[#This Row],[Adj Close]])=5, 0, $F13-$F12)</f>
        <v>-0.37797499999999218</v>
      </c>
      <c r="N13" s="46">
        <f>MAX(tbl_QCOM[[#This Row],[Move]],0)</f>
        <v>0</v>
      </c>
      <c r="O13" s="46">
        <f>MAX(-tbl_QCOM[[#This Row],[Move]],0)</f>
        <v>0.37797499999999218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IF(tbl_QCOM[[#This Row],[Avg_Upmove]]="", "", tbl_QCOM[[#This Row],[Avg_Upmove]]/tbl_QCOM[[#This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110.230003</v>
      </c>
      <c r="C14" s="10">
        <v>113.150002</v>
      </c>
      <c r="D14" s="10">
        <v>109.949997</v>
      </c>
      <c r="E14" s="10">
        <v>113</v>
      </c>
      <c r="F14" s="10">
        <v>112.398003</v>
      </c>
      <c r="G14">
        <v>8546900</v>
      </c>
      <c r="H14" s="10">
        <f>IF(tbl_QCOM[[#This Row],[Date]]=$A$5, $F14, EMA_Beta*$H13 + (1-EMA_Beta)*$F14)</f>
        <v>109.36731761194733</v>
      </c>
      <c r="I14" s="46" t="str">
        <f ca="1">IF(tbl_QCOM[[#This Row],[RS]]= "", "", 100-(100/(1+tbl_QCOM[[#This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IF(tbl_QCOM[[#This Row],[BB_Mean]]="", "", tbl_QCOM[[#This Row],[BB_Mean]]+(BB_Width*tbl_QCOM[[#This Row],[BB_Stdev]]))</f>
        <v/>
      </c>
      <c r="L14" s="10" t="str">
        <f ca="1">IF(tbl_QCOM[[#This Row],[BB_Mean]]="", "", tbl_QCOM[[#This Row],[BB_Mean]]-(BB_Width*tbl_QCOM[[#This Row],[BB_Stdev]]))</f>
        <v/>
      </c>
      <c r="M14" s="46">
        <f>IF(ROW(tbl_QCOM[[#This Row],[Adj Close]])=5, 0, $F14-$F13)</f>
        <v>2.3275299999999959</v>
      </c>
      <c r="N14" s="46">
        <f>MAX(tbl_QCOM[[#This Row],[Move]],0)</f>
        <v>2.3275299999999959</v>
      </c>
      <c r="O14" s="46">
        <f>MAX(-tbl_QCOM[[#This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IF(tbl_QCOM[[#This Row],[Avg_Upmove]]="", "", tbl_QCOM[[#This Row],[Avg_Upmove]]/tbl_QCOM[[#This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114.370003</v>
      </c>
      <c r="C15" s="10">
        <v>116</v>
      </c>
      <c r="D15" s="10">
        <v>113.269997</v>
      </c>
      <c r="E15" s="10">
        <v>115.910004</v>
      </c>
      <c r="F15" s="10">
        <v>115.292503</v>
      </c>
      <c r="G15">
        <v>10235000</v>
      </c>
      <c r="H15" s="10">
        <f>IF(tbl_QCOM[[#This Row],[Date]]=$A$5, $F15, EMA_Beta*$H14 + (1-EMA_Beta)*$F15)</f>
        <v>109.95983615075259</v>
      </c>
      <c r="I15" s="46" t="str">
        <f ca="1">IF(tbl_QCOM[[#This Row],[RS]]= "", "", 100-(100/(1+tbl_QCOM[[#This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IF(tbl_QCOM[[#This Row],[BB_Mean]]="", "", tbl_QCOM[[#This Row],[BB_Mean]]+(BB_Width*tbl_QCOM[[#This Row],[BB_Stdev]]))</f>
        <v/>
      </c>
      <c r="L15" s="10" t="str">
        <f ca="1">IF(tbl_QCOM[[#This Row],[BB_Mean]]="", "", tbl_QCOM[[#This Row],[BB_Mean]]-(BB_Width*tbl_QCOM[[#This Row],[BB_Stdev]]))</f>
        <v/>
      </c>
      <c r="M15" s="46">
        <f>IF(ROW(tbl_QCOM[[#This Row],[Adj Close]])=5, 0, $F15-$F14)</f>
        <v>2.8944999999999936</v>
      </c>
      <c r="N15" s="46">
        <f>MAX(tbl_QCOM[[#This Row],[Move]],0)</f>
        <v>2.8944999999999936</v>
      </c>
      <c r="O15" s="46">
        <f>MAX(-tbl_QCOM[[#This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IF(tbl_QCOM[[#This Row],[Avg_Upmove]]="", "", tbl_QCOM[[#This Row],[Avg_Upmove]]/tbl_QCOM[[#This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116.110001</v>
      </c>
      <c r="C16" s="10">
        <v>117.099998</v>
      </c>
      <c r="D16" s="10">
        <v>114.44000200000001</v>
      </c>
      <c r="E16" s="10">
        <v>115.949997</v>
      </c>
      <c r="F16" s="10">
        <v>115.332283</v>
      </c>
      <c r="G16">
        <v>6208000</v>
      </c>
      <c r="H16" s="10">
        <f>IF(tbl_QCOM[[#This Row],[Date]]=$A$5, $F16, EMA_Beta*$H15 + (1-EMA_Beta)*$F16)</f>
        <v>110.49708083567734</v>
      </c>
      <c r="I16" s="46" t="str">
        <f ca="1">IF(tbl_QCOM[[#This Row],[RS]]= "", "", 100-(100/(1+tbl_QCOM[[#This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IF(tbl_QCOM[[#This Row],[BB_Mean]]="", "", tbl_QCOM[[#This Row],[BB_Mean]]+(BB_Width*tbl_QCOM[[#This Row],[BB_Stdev]]))</f>
        <v/>
      </c>
      <c r="L16" s="10" t="str">
        <f ca="1">IF(tbl_QCOM[[#This Row],[BB_Mean]]="", "", tbl_QCOM[[#This Row],[BB_Mean]]-(BB_Width*tbl_QCOM[[#This Row],[BB_Stdev]]))</f>
        <v/>
      </c>
      <c r="M16" s="46">
        <f>IF(ROW(tbl_QCOM[[#This Row],[Adj Close]])=5, 0, $F16-$F15)</f>
        <v>3.9780000000007476E-2</v>
      </c>
      <c r="N16" s="46">
        <f>MAX(tbl_QCOM[[#This Row],[Move]],0)</f>
        <v>3.9780000000007476E-2</v>
      </c>
      <c r="O16" s="46">
        <f>MAX(-tbl_QCOM[[#This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IF(tbl_QCOM[[#This Row],[Avg_Upmove]]="", "", tbl_QCOM[[#This Row],[Avg_Upmove]]/tbl_QCOM[[#This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116.25</v>
      </c>
      <c r="C17" s="10">
        <v>116.550003</v>
      </c>
      <c r="D17" s="10">
        <v>115.16999800000001</v>
      </c>
      <c r="E17" s="10">
        <v>116.040001</v>
      </c>
      <c r="F17" s="10">
        <v>115.421806</v>
      </c>
      <c r="G17">
        <v>7487400</v>
      </c>
      <c r="H17" s="10">
        <f>IF(tbl_QCOM[[#This Row],[Date]]=$A$5, $F17, EMA_Beta*$H16 + (1-EMA_Beta)*$F17)</f>
        <v>110.9895533521096</v>
      </c>
      <c r="I17" s="46" t="str">
        <f ca="1">IF(tbl_QCOM[[#This Row],[RS]]= "", "", 100-(100/(1+tbl_QCOM[[#This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IF(tbl_QCOM[[#This Row],[BB_Mean]]="", "", tbl_QCOM[[#This Row],[BB_Mean]]+(BB_Width*tbl_QCOM[[#This Row],[BB_Stdev]]))</f>
        <v/>
      </c>
      <c r="L17" s="10" t="str">
        <f ca="1">IF(tbl_QCOM[[#This Row],[BB_Mean]]="", "", tbl_QCOM[[#This Row],[BB_Mean]]-(BB_Width*tbl_QCOM[[#This Row],[BB_Stdev]]))</f>
        <v/>
      </c>
      <c r="M17" s="46">
        <f>IF(ROW(tbl_QCOM[[#This Row],[Adj Close]])=5, 0, $F17-$F16)</f>
        <v>8.9522999999999797E-2</v>
      </c>
      <c r="N17" s="46">
        <f>MAX(tbl_QCOM[[#This Row],[Move]],0)</f>
        <v>8.9522999999999797E-2</v>
      </c>
      <c r="O17" s="46">
        <f>MAX(-tbl_QCOM[[#This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IF(tbl_QCOM[[#This Row],[Avg_Upmove]]="", "", tbl_QCOM[[#This Row],[Avg_Upmove]]/tbl_QCOM[[#This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116.43</v>
      </c>
      <c r="C18" s="10">
        <v>118.18</v>
      </c>
      <c r="D18" s="10">
        <v>115.349998</v>
      </c>
      <c r="E18" s="10">
        <v>116.019997</v>
      </c>
      <c r="F18" s="10">
        <v>115.401909</v>
      </c>
      <c r="G18">
        <v>8206200</v>
      </c>
      <c r="H18" s="10">
        <f>IF(tbl_QCOM[[#This Row],[Date]]=$A$5, $F18, EMA_Beta*$H17 + (1-EMA_Beta)*$F18)</f>
        <v>111.43078891689863</v>
      </c>
      <c r="I18" s="46" t="str">
        <f ca="1">IF(tbl_QCOM[[#This Row],[RS]]= "", "", 100-(100/(1+tbl_QCOM[[#This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112.32411357142855</v>
      </c>
      <c r="K18" s="10">
        <f ca="1">IF(tbl_QCOM[[#This Row],[BB_Mean]]="", "", tbl_QCOM[[#This Row],[BB_Mean]]+(BB_Width*tbl_QCOM[[#This Row],[BB_Stdev]]))</f>
        <v>118.27590602204343</v>
      </c>
      <c r="L18" s="10">
        <f ca="1">IF(tbl_QCOM[[#This Row],[BB_Mean]]="", "", tbl_QCOM[[#This Row],[BB_Mean]]-(BB_Width*tbl_QCOM[[#This Row],[BB_Stdev]]))</f>
        <v>106.37232112081368</v>
      </c>
      <c r="M18" s="46">
        <f>IF(ROW(tbl_QCOM[[#This Row],[Adj Close]])=5, 0, $F18-$F17)</f>
        <v>-1.9897000000000276E-2</v>
      </c>
      <c r="N18" s="46">
        <f>MAX(tbl_QCOM[[#This Row],[Move]],0)</f>
        <v>0</v>
      </c>
      <c r="O18" s="46">
        <f>MAX(-tbl_QCOM[[#This Row],[Move]],0)</f>
        <v>1.9897000000000276E-2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IF(tbl_QCOM[[#This Row],[Avg_Upmove]]="", "", tbl_QCOM[[#This Row],[Avg_Upmove]]/tbl_QCOM[[#This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2.975896225307435</v>
      </c>
    </row>
    <row r="19" spans="1:19" x14ac:dyDescent="0.35">
      <c r="A19" s="8">
        <v>44071</v>
      </c>
      <c r="B19" s="10">
        <v>116.709999</v>
      </c>
      <c r="C19" s="10">
        <v>118.260002</v>
      </c>
      <c r="D19" s="10">
        <v>116.16999800000001</v>
      </c>
      <c r="E19" s="10">
        <v>118.199997</v>
      </c>
      <c r="F19" s="10">
        <v>117.570297</v>
      </c>
      <c r="G19">
        <v>6280300</v>
      </c>
      <c r="H19" s="10">
        <f>IF(tbl_QCOM[[#This Row],[Date]]=$A$5, $F19, EMA_Beta*$H18 + (1-EMA_Beta)*$F19)</f>
        <v>112.04473972520876</v>
      </c>
      <c r="I19" s="46">
        <f ca="1">IF(tbl_QCOM[[#This Row],[RS]]= "", "", 100-(100/(1+tbl_QCOM[[#This Row],[RS]])))</f>
        <v>75.964924503417564</v>
      </c>
      <c r="J19" s="10">
        <f ca="1">IF(ROW($N19)-4&lt;BB_Periods, "", AVERAGE(INDIRECT(ADDRESS(ROW($F19)-RSI_Periods +1, MATCH("Adj Close", Price_Header,0))): INDIRECT(ADDRESS(ROW($F19),MATCH("Adj Close", Price_Header,0)))))</f>
        <v>113.16532185714286</v>
      </c>
      <c r="K19" s="10">
        <f ca="1">IF(tbl_QCOM[[#This Row],[BB_Mean]]="", "", tbl_QCOM[[#This Row],[BB_Mean]]+(BB_Width*tbl_QCOM[[#This Row],[BB_Stdev]]))</f>
        <v>118.43037622304598</v>
      </c>
      <c r="L19" s="10">
        <f ca="1">IF(tbl_QCOM[[#This Row],[BB_Mean]]="", "", tbl_QCOM[[#This Row],[BB_Mean]]-(BB_Width*tbl_QCOM[[#This Row],[BB_Stdev]]))</f>
        <v>107.90026749123973</v>
      </c>
      <c r="M19" s="46">
        <f>IF(ROW(tbl_QCOM[[#This Row],[Adj Close]])=5, 0, $F19-$F18)</f>
        <v>2.1683879999999931</v>
      </c>
      <c r="N19" s="46">
        <f>MAX(tbl_QCOM[[#This Row],[Move]],0)</f>
        <v>2.1683879999999931</v>
      </c>
      <c r="O19" s="46">
        <f>MAX(-tbl_QCOM[[#This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1.2305509285714282</v>
      </c>
      <c r="Q19" s="46">
        <f ca="1">IF(ROW($O19)-5&lt;RSI_Periods, "", AVERAGE(INDIRECT(ADDRESS(ROW($O19)-RSI_Periods +1, MATCH("Downmove", Price_Header,0))): INDIRECT(ADDRESS(ROW($O19),MATCH("Downmove", Price_Header,0)))))</f>
        <v>0.38934264285714243</v>
      </c>
      <c r="R19" s="46">
        <f ca="1">IF(tbl_QCOM[[#This Row],[Avg_Upmove]]="", "", tbl_QCOM[[#This Row],[Avg_Upmove]]/tbl_QCOM[[#This Row],[Avg_Downmove]])</f>
        <v>3.1605860574150926</v>
      </c>
      <c r="S19" s="10">
        <f ca="1">IF(ROW($N19)-4&lt;BB_Periods, "", _xlfn.STDEV.S(INDIRECT(ADDRESS(ROW($F19)-RSI_Periods +1, MATCH("Adj Close", Price_Header,0))): INDIRECT(ADDRESS(ROW($F19),MATCH("Adj Close", Price_Header,0)))))</f>
        <v>2.6325271829515651</v>
      </c>
    </row>
    <row r="20" spans="1:19" x14ac:dyDescent="0.35">
      <c r="A20" s="8">
        <v>44074</v>
      </c>
      <c r="B20" s="10">
        <v>118.33000199999999</v>
      </c>
      <c r="C20" s="10">
        <v>121.05999799999999</v>
      </c>
      <c r="D20" s="10">
        <v>118.120003</v>
      </c>
      <c r="E20" s="10">
        <v>119.099998</v>
      </c>
      <c r="F20" s="10">
        <v>118.465508</v>
      </c>
      <c r="G20">
        <v>9694600</v>
      </c>
      <c r="H20" s="10">
        <f>IF(tbl_QCOM[[#This Row],[Date]]=$A$5, $F20, EMA_Beta*$H19 + (1-EMA_Beta)*$F20)</f>
        <v>112.68681655268789</v>
      </c>
      <c r="I20" s="46">
        <f ca="1">IF(tbl_QCOM[[#This Row],[RS]]= "", "", 100-(100/(1+tbl_QCOM[[#This Row],[RS]])))</f>
        <v>74.1874900938259</v>
      </c>
      <c r="J20" s="10">
        <f ca="1">IF(ROW($N20)-4&lt;BB_Periods, "", AVERAGE(INDIRECT(ADDRESS(ROW($F20)-RSI_Periods +1, MATCH("Adj Close", Price_Header,0))): INDIRECT(ADDRESS(ROW($F20),MATCH("Adj Close", Price_Header,0)))))</f>
        <v>113.89498521428571</v>
      </c>
      <c r="K20" s="10">
        <f ca="1">IF(tbl_QCOM[[#This Row],[BB_Mean]]="", "", tbl_QCOM[[#This Row],[BB_Mean]]+(BB_Width*tbl_QCOM[[#This Row],[BB_Stdev]]))</f>
        <v>119.05616062910313</v>
      </c>
      <c r="L20" s="10">
        <f ca="1">IF(tbl_QCOM[[#This Row],[BB_Mean]]="", "", tbl_QCOM[[#This Row],[BB_Mean]]-(BB_Width*tbl_QCOM[[#This Row],[BB_Stdev]]))</f>
        <v>108.73380979946829</v>
      </c>
      <c r="M20" s="46">
        <f>IF(ROW(tbl_QCOM[[#This Row],[Adj Close]])=5, 0, $F20-$F19)</f>
        <v>0.89521100000000331</v>
      </c>
      <c r="N20" s="46">
        <f>MAX(tbl_QCOM[[#This Row],[Move]],0)</f>
        <v>0.89521100000000331</v>
      </c>
      <c r="O20" s="46">
        <f>MAX(-tbl_QCOM[[#This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1.1190059999999999</v>
      </c>
      <c r="Q20" s="46">
        <f ca="1">IF(ROW($O20)-5&lt;RSI_Periods, "", AVERAGE(INDIRECT(ADDRESS(ROW($O20)-RSI_Periods +1, MATCH("Downmove", Price_Header,0))): INDIRECT(ADDRESS(ROW($O20),MATCH("Downmove", Price_Header,0)))))</f>
        <v>0.38934264285714243</v>
      </c>
      <c r="R20" s="46">
        <f ca="1">IF(tbl_QCOM[[#This Row],[Avg_Upmove]]="", "", tbl_QCOM[[#This Row],[Avg_Upmove]]/tbl_QCOM[[#This Row],[Avg_Downmove]])</f>
        <v>2.8740905229088547</v>
      </c>
      <c r="S20" s="10">
        <f ca="1">IF(ROW($N20)-4&lt;BB_Periods, "", _xlfn.STDEV.S(INDIRECT(ADDRESS(ROW($F20)-RSI_Periods +1, MATCH("Adj Close", Price_Header,0))): INDIRECT(ADDRESS(ROW($F20),MATCH("Adj Close", Price_Header,0)))))</f>
        <v>2.5805877074087111</v>
      </c>
    </row>
    <row r="21" spans="1:19" x14ac:dyDescent="0.35">
      <c r="A21" s="8">
        <v>44075</v>
      </c>
      <c r="B21" s="10">
        <v>121.08000199999999</v>
      </c>
      <c r="C21" s="10">
        <v>122.57</v>
      </c>
      <c r="D21" s="10">
        <v>119.510002</v>
      </c>
      <c r="E21" s="10">
        <v>122.010002</v>
      </c>
      <c r="F21" s="10">
        <v>121.36000799999999</v>
      </c>
      <c r="G21">
        <v>9101300</v>
      </c>
      <c r="H21" s="10">
        <f>IF(tbl_QCOM[[#This Row],[Date]]=$A$5, $F21, EMA_Beta*$H20 + (1-EMA_Beta)*$F21)</f>
        <v>113.55413569741908</v>
      </c>
      <c r="I21" s="46">
        <f ca="1">IF(tbl_QCOM[[#This Row],[RS]]= "", "", 100-(100/(1+tbl_QCOM[[#This Row],[RS]])))</f>
        <v>68.102469847928376</v>
      </c>
      <c r="J21" s="10">
        <f ca="1">IF(ROW($N21)-4&lt;BB_Periods, "", AVERAGE(INDIRECT(ADDRESS(ROW($F21)-RSI_Periods +1, MATCH("Adj Close", Price_Header,0))): INDIRECT(ADDRESS(ROW($F21),MATCH("Adj Close", Price_Header,0)))))</f>
        <v>114.33690428571428</v>
      </c>
      <c r="K21" s="10">
        <f ca="1">IF(tbl_QCOM[[#This Row],[BB_Mean]]="", "", tbl_QCOM[[#This Row],[BB_Mean]]+(BB_Width*tbl_QCOM[[#This Row],[BB_Stdev]]))</f>
        <v>120.85153672382945</v>
      </c>
      <c r="L21" s="10">
        <f ca="1">IF(tbl_QCOM[[#This Row],[BB_Mean]]="", "", tbl_QCOM[[#This Row],[BB_Mean]]-(BB_Width*tbl_QCOM[[#This Row],[BB_Stdev]]))</f>
        <v>107.82227184759911</v>
      </c>
      <c r="M21" s="46">
        <f>IF(ROW(tbl_QCOM[[#This Row],[Adj Close]])=5, 0, $F21-$F20)</f>
        <v>2.8944999999999936</v>
      </c>
      <c r="N21" s="46">
        <f>MAX(tbl_QCOM[[#This Row],[Move]],0)</f>
        <v>2.8944999999999936</v>
      </c>
      <c r="O21" s="46">
        <f>MAX(-tbl_QCOM[[#This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0.83126171428571338</v>
      </c>
      <c r="Q21" s="46">
        <f ca="1">IF(ROW($O21)-5&lt;RSI_Periods, "", AVERAGE(INDIRECT(ADDRESS(ROW($O21)-RSI_Periods +1, MATCH("Downmove", Price_Header,0))): INDIRECT(ADDRESS(ROW($O21),MATCH("Downmove", Price_Header,0)))))</f>
        <v>0.38934264285714243</v>
      </c>
      <c r="R21" s="46">
        <f ca="1">IF(tbl_QCOM[[#This Row],[Avg_Upmove]]="", "", tbl_QCOM[[#This Row],[Avg_Upmove]]/tbl_QCOM[[#This Row],[Avg_Downmove]])</f>
        <v>2.1350389676959169</v>
      </c>
      <c r="S21" s="10">
        <f ca="1">IF(ROW($N21)-4&lt;BB_Periods, "", _xlfn.STDEV.S(INDIRECT(ADDRESS(ROW($F21)-RSI_Periods +1, MATCH("Adj Close", Price_Header,0))): INDIRECT(ADDRESS(ROW($F21),MATCH("Adj Close", Price_Header,0)))))</f>
        <v>3.257316219057584</v>
      </c>
    </row>
    <row r="22" spans="1:19" x14ac:dyDescent="0.35">
      <c r="A22" s="8">
        <v>44076</v>
      </c>
      <c r="B22" s="10">
        <v>123.260002</v>
      </c>
      <c r="C22" s="10">
        <v>123.93</v>
      </c>
      <c r="D22" s="10">
        <v>121.80999799999999</v>
      </c>
      <c r="E22" s="10">
        <v>123.18</v>
      </c>
      <c r="F22" s="10">
        <v>123.18</v>
      </c>
      <c r="G22">
        <v>9167700</v>
      </c>
      <c r="H22" s="10">
        <f>IF(tbl_QCOM[[#This Row],[Date]]=$A$5, $F22, EMA_Beta*$H21 + (1-EMA_Beta)*$F22)</f>
        <v>114.51672212767717</v>
      </c>
      <c r="I22" s="46">
        <f ca="1">IF(tbl_QCOM[[#This Row],[RS]]= "", "", 100-(100/(1+tbl_QCOM[[#This Row],[RS]])))</f>
        <v>81.358716837827856</v>
      </c>
      <c r="J22" s="10">
        <f ca="1">IF(ROW($N22)-4&lt;BB_Periods, "", AVERAGE(INDIRECT(ADDRESS(ROW($F22)-RSI_Periods +1, MATCH("Adj Close", Price_Header,0))): INDIRECT(ADDRESS(ROW($F22),MATCH("Adj Close", Price_Header,0)))))</f>
        <v>115.07791685714287</v>
      </c>
      <c r="K22" s="10">
        <f ca="1">IF(tbl_QCOM[[#This Row],[BB_Mean]]="", "", tbl_QCOM[[#This Row],[BB_Mean]]+(BB_Width*tbl_QCOM[[#This Row],[BB_Stdev]]))</f>
        <v>123.04129759454455</v>
      </c>
      <c r="L22" s="10">
        <f ca="1">IF(tbl_QCOM[[#This Row],[BB_Mean]]="", "", tbl_QCOM[[#This Row],[BB_Mean]]-(BB_Width*tbl_QCOM[[#This Row],[BB_Stdev]]))</f>
        <v>107.11453611974119</v>
      </c>
      <c r="M22" s="46">
        <f>IF(ROW(tbl_QCOM[[#This Row],[Adj Close]])=5, 0, $F22-$F21)</f>
        <v>1.8199920000000134</v>
      </c>
      <c r="N22" s="46">
        <f>MAX(tbl_QCOM[[#This Row],[Move]],0)</f>
        <v>1.8199920000000134</v>
      </c>
      <c r="O22" s="46">
        <f>MAX(-tbl_QCOM[[#This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0.96126114285714281</v>
      </c>
      <c r="Q22" s="46">
        <f ca="1">IF(ROW($O22)-5&lt;RSI_Periods, "", AVERAGE(INDIRECT(ADDRESS(ROW($O22)-RSI_Periods +1, MATCH("Downmove", Price_Header,0))): INDIRECT(ADDRESS(ROW($O22),MATCH("Downmove", Price_Header,0)))))</f>
        <v>0.22024857142857104</v>
      </c>
      <c r="R22" s="46">
        <f ca="1">IF(tbl_QCOM[[#This Row],[Avg_Upmove]]="", "", tbl_QCOM[[#This Row],[Avg_Upmove]]/tbl_QCOM[[#This Row],[Avg_Downmove]])</f>
        <v>4.3644375835095488</v>
      </c>
      <c r="S22" s="10">
        <f ca="1">IF(ROW($N22)-4&lt;BB_Periods, "", _xlfn.STDEV.S(INDIRECT(ADDRESS(ROW($F22)-RSI_Periods +1, MATCH("Adj Close", Price_Header,0))): INDIRECT(ADDRESS(ROW($F22),MATCH("Adj Close", Price_Header,0)))))</f>
        <v>3.9816903687008427</v>
      </c>
    </row>
    <row r="23" spans="1:19" x14ac:dyDescent="0.35">
      <c r="A23" s="8">
        <v>44077</v>
      </c>
      <c r="B23" s="10">
        <v>121.300003</v>
      </c>
      <c r="C23" s="10">
        <v>121.709999</v>
      </c>
      <c r="D23" s="10">
        <v>115.599998</v>
      </c>
      <c r="E23" s="10">
        <v>116.43</v>
      </c>
      <c r="F23" s="10">
        <v>116.43</v>
      </c>
      <c r="G23">
        <v>13560800</v>
      </c>
      <c r="H23" s="10">
        <f>IF(tbl_QCOM[[#This Row],[Date]]=$A$5, $F23, EMA_Beta*$H22 + (1-EMA_Beta)*$F23)</f>
        <v>114.70804991490945</v>
      </c>
      <c r="I23" s="46">
        <f ca="1">IF(tbl_QCOM[[#This Row],[RS]]= "", "", 100-(100/(1+tbl_QCOM[[#This Row],[RS]])))</f>
        <v>57.176670685902806</v>
      </c>
      <c r="J23" s="10">
        <f ca="1">IF(ROW($N23)-4&lt;BB_Periods, "", AVERAGE(INDIRECT(ADDRESS(ROW($F23)-RSI_Periods +1, MATCH("Adj Close", Price_Header,0))): INDIRECT(ADDRESS(ROW($F23),MATCH("Adj Close", Price_Header,0)))))</f>
        <v>115.31334142857145</v>
      </c>
      <c r="K23" s="10">
        <f ca="1">IF(tbl_QCOM[[#This Row],[BB_Mean]]="", "", tbl_QCOM[[#This Row],[BB_Mean]]+(BB_Width*tbl_QCOM[[#This Row],[BB_Stdev]]))</f>
        <v>123.22387470026354</v>
      </c>
      <c r="L23" s="10">
        <f ca="1">IF(tbl_QCOM[[#This Row],[BB_Mean]]="", "", tbl_QCOM[[#This Row],[BB_Mean]]-(BB_Width*tbl_QCOM[[#This Row],[BB_Stdev]]))</f>
        <v>107.40280815687936</v>
      </c>
      <c r="M23" s="46">
        <f>IF(ROW(tbl_QCOM[[#This Row],[Adj Close]])=5, 0, $F23-$F22)</f>
        <v>-6.75</v>
      </c>
      <c r="N23" s="46">
        <f>MAX(tbl_QCOM[[#This Row],[Move]],0)</f>
        <v>0</v>
      </c>
      <c r="O23" s="46">
        <f>MAX(-tbl_QCOM[[#This Row],[Move]],0)</f>
        <v>6.75</v>
      </c>
      <c r="P23" s="46">
        <f ca="1">IF(ROW($N23)-5&lt;RSI_Periods, "", AVERAGE(INDIRECT(ADDRESS(ROW($N23)-RSI_Periods +1, MATCH("Upmove", Price_Header,0))): INDIRECT(ADDRESS(ROW($N23),MATCH("Upmove", Price_Header,0)))))</f>
        <v>0.93781599999999998</v>
      </c>
      <c r="Q23" s="46">
        <f ca="1">IF(ROW($O23)-5&lt;RSI_Periods, "", AVERAGE(INDIRECT(ADDRESS(ROW($O23)-RSI_Periods +1, MATCH("Downmove", Price_Header,0))): INDIRECT(ADDRESS(ROW($O23),MATCH("Downmove", Price_Header,0)))))</f>
        <v>0.70239142857142822</v>
      </c>
      <c r="R23" s="46">
        <f ca="1">IF(tbl_QCOM[[#This Row],[Avg_Upmove]]="", "", tbl_QCOM[[#This Row],[Avg_Upmove]]/tbl_QCOM[[#This Row],[Avg_Downmove]])</f>
        <v>1.3351757465312388</v>
      </c>
      <c r="S23" s="10">
        <f ca="1">IF(ROW($N23)-4&lt;BB_Periods, "", _xlfn.STDEV.S(INDIRECT(ADDRESS(ROW($F23)-RSI_Periods +1, MATCH("Adj Close", Price_Header,0))): INDIRECT(ADDRESS(ROW($F23),MATCH("Adj Close", Price_Header,0)))))</f>
        <v>3.9552666358460433</v>
      </c>
    </row>
    <row r="24" spans="1:19" x14ac:dyDescent="0.35">
      <c r="A24" s="8">
        <v>44078</v>
      </c>
      <c r="B24" s="10">
        <v>115.69000200000001</v>
      </c>
      <c r="C24" s="10">
        <v>117.82</v>
      </c>
      <c r="D24" s="10">
        <v>112.379997</v>
      </c>
      <c r="E24" s="10">
        <v>115.970001</v>
      </c>
      <c r="F24" s="10">
        <v>115.970001</v>
      </c>
      <c r="G24">
        <v>11064300</v>
      </c>
      <c r="H24" s="10">
        <f>IF(tbl_QCOM[[#This Row],[Date]]=$A$5, $F24, EMA_Beta*$H23 + (1-EMA_Beta)*$F24)</f>
        <v>114.83424502341852</v>
      </c>
      <c r="I24" s="46">
        <f ca="1">IF(tbl_QCOM[[#This Row],[RS]]= "", "", 100-(100/(1+tbl_QCOM[[#This Row],[RS]])))</f>
        <v>60.030591797751391</v>
      </c>
      <c r="J24" s="10">
        <f ca="1">IF(ROW($N24)-4&lt;BB_Periods, "", AVERAGE(INDIRECT(ADDRESS(ROW($F24)-RSI_Periods +1, MATCH("Adj Close", Price_Header,0))): INDIRECT(ADDRESS(ROW($F24),MATCH("Adj Close", Price_Header,0)))))</f>
        <v>115.6267432857143</v>
      </c>
      <c r="K24" s="10">
        <f ca="1">IF(tbl_QCOM[[#This Row],[BB_Mean]]="", "", tbl_QCOM[[#This Row],[BB_Mean]]+(BB_Width*tbl_QCOM[[#This Row],[BB_Stdev]]))</f>
        <v>123.24271325279011</v>
      </c>
      <c r="L24" s="10">
        <f ca="1">IF(tbl_QCOM[[#This Row],[BB_Mean]]="", "", tbl_QCOM[[#This Row],[BB_Mean]]-(BB_Width*tbl_QCOM[[#This Row],[BB_Stdev]]))</f>
        <v>108.01077331863848</v>
      </c>
      <c r="M24" s="46">
        <f>IF(ROW(tbl_QCOM[[#This Row],[Adj Close]])=5, 0, $F24-$F23)</f>
        <v>-0.45999900000001048</v>
      </c>
      <c r="N24" s="46">
        <f>MAX(tbl_QCOM[[#This Row],[Move]],0)</f>
        <v>0</v>
      </c>
      <c r="O24" s="46">
        <f>MAX(-tbl_QCOM[[#This Row],[Move]],0)</f>
        <v>0.45999900000001048</v>
      </c>
      <c r="P24" s="46">
        <f ca="1">IF(ROW($N24)-5&lt;RSI_Periods, "", AVERAGE(INDIRECT(ADDRESS(ROW($N24)-RSI_Periods +1, MATCH("Upmove", Price_Header,0))): INDIRECT(ADDRESS(ROW($N24),MATCH("Upmove", Price_Header,0)))))</f>
        <v>0.93781599999999998</v>
      </c>
      <c r="Q24" s="46">
        <f ca="1">IF(ROW($O24)-5&lt;RSI_Periods, "", AVERAGE(INDIRECT(ADDRESS(ROW($O24)-RSI_Periods +1, MATCH("Downmove", Price_Header,0))): INDIRECT(ADDRESS(ROW($O24),MATCH("Downmove", Price_Header,0)))))</f>
        <v>0.62441414285714303</v>
      </c>
      <c r="R24" s="46">
        <f ca="1">IF(tbl_QCOM[[#This Row],[Avg_Upmove]]="", "", tbl_QCOM[[#This Row],[Avg_Upmove]]/tbl_QCOM[[#This Row],[Avg_Downmove]])</f>
        <v>1.5019134507569263</v>
      </c>
      <c r="S24" s="10">
        <f ca="1">IF(ROW($N24)-4&lt;BB_Periods, "", _xlfn.STDEV.S(INDIRECT(ADDRESS(ROW($F24)-RSI_Periods +1, MATCH("Adj Close", Price_Header,0))): INDIRECT(ADDRESS(ROW($F24),MATCH("Adj Close", Price_Header,0)))))</f>
        <v>3.8079849835379096</v>
      </c>
    </row>
    <row r="25" spans="1:19" x14ac:dyDescent="0.35">
      <c r="A25" s="8">
        <v>44082</v>
      </c>
      <c r="B25" s="10">
        <v>111.94000200000001</v>
      </c>
      <c r="C25" s="10">
        <v>113.879997</v>
      </c>
      <c r="D25" s="10">
        <v>109.620003</v>
      </c>
      <c r="E25" s="10">
        <v>109.769997</v>
      </c>
      <c r="F25" s="10">
        <v>109.769997</v>
      </c>
      <c r="G25">
        <v>10245200</v>
      </c>
      <c r="H25" s="10">
        <f>IF(tbl_QCOM[[#This Row],[Date]]=$A$5, $F25, EMA_Beta*$H24 + (1-EMA_Beta)*$F25)</f>
        <v>114.32782022107666</v>
      </c>
      <c r="I25" s="46">
        <f ca="1">IF(tbl_QCOM[[#This Row],[RS]]= "", "", 100-(100/(1+tbl_QCOM[[#This Row],[RS]])))</f>
        <v>47.021758957393423</v>
      </c>
      <c r="J25" s="10">
        <f ca="1">IF(ROW($N25)-4&lt;BB_Periods, "", AVERAGE(INDIRECT(ADDRESS(ROW($F25)-RSI_Periods +1, MATCH("Adj Close", Price_Header,0))): INDIRECT(ADDRESS(ROW($F25),MATCH("Adj Close", Price_Header,0)))))</f>
        <v>115.50794542857145</v>
      </c>
      <c r="K25" s="10">
        <f ca="1">IF(tbl_QCOM[[#This Row],[BB_Mean]]="", "", tbl_QCOM[[#This Row],[BB_Mean]]+(BB_Width*tbl_QCOM[[#This Row],[BB_Stdev]]))</f>
        <v>123.45057741264925</v>
      </c>
      <c r="L25" s="10">
        <f ca="1">IF(tbl_QCOM[[#This Row],[BB_Mean]]="", "", tbl_QCOM[[#This Row],[BB_Mean]]-(BB_Width*tbl_QCOM[[#This Row],[BB_Stdev]]))</f>
        <v>107.56531344449364</v>
      </c>
      <c r="M25" s="46">
        <f>IF(ROW(tbl_QCOM[[#This Row],[Adj Close]])=5, 0, $F25-$F24)</f>
        <v>-6.2000039999999927</v>
      </c>
      <c r="N25" s="46">
        <f>MAX(tbl_QCOM[[#This Row],[Move]],0)</f>
        <v>0</v>
      </c>
      <c r="O25" s="46">
        <f>MAX(-tbl_QCOM[[#This Row],[Move]],0)</f>
        <v>6.2000039999999927</v>
      </c>
      <c r="P25" s="46">
        <f ca="1">IF(ROW($N25)-5&lt;RSI_Periods, "", AVERAGE(INDIRECT(ADDRESS(ROW($N25)-RSI_Periods +1, MATCH("Upmove", Price_Header,0))): INDIRECT(ADDRESS(ROW($N25),MATCH("Upmove", Price_Header,0)))))</f>
        <v>0.93781599999999998</v>
      </c>
      <c r="Q25" s="46">
        <f ca="1">IF(ROW($O25)-5&lt;RSI_Periods, "", AVERAGE(INDIRECT(ADDRESS(ROW($O25)-RSI_Periods +1, MATCH("Downmove", Price_Header,0))): INDIRECT(ADDRESS(ROW($O25),MATCH("Downmove", Price_Header,0)))))</f>
        <v>1.0566138571428567</v>
      </c>
      <c r="R25" s="46">
        <f ca="1">IF(tbl_QCOM[[#This Row],[Avg_Upmove]]="", "", tbl_QCOM[[#This Row],[Avg_Upmove]]/tbl_QCOM[[#This Row],[Avg_Downmove]])</f>
        <v>0.88756738676124047</v>
      </c>
      <c r="S25" s="10">
        <f ca="1">IF(ROW($N25)-4&lt;BB_Periods, "", _xlfn.STDEV.S(INDIRECT(ADDRESS(ROW($F25)-RSI_Periods +1, MATCH("Adj Close", Price_Header,0))): INDIRECT(ADDRESS(ROW($F25),MATCH("Adj Close", Price_Header,0)))))</f>
        <v>3.9713159920389041</v>
      </c>
    </row>
    <row r="26" spans="1:19" x14ac:dyDescent="0.35">
      <c r="A26" s="8">
        <v>44083</v>
      </c>
      <c r="B26" s="10">
        <v>113.480003</v>
      </c>
      <c r="C26" s="10">
        <v>115.769997</v>
      </c>
      <c r="D26" s="10">
        <v>112.300003</v>
      </c>
      <c r="E26" s="10">
        <v>114.019997</v>
      </c>
      <c r="F26" s="10">
        <v>114.019997</v>
      </c>
      <c r="G26">
        <v>9708400</v>
      </c>
      <c r="H26" s="10">
        <f>IF(tbl_QCOM[[#This Row],[Date]]=$A$5, $F26, EMA_Beta*$H25 + (1-EMA_Beta)*$F26)</f>
        <v>114.29703789896899</v>
      </c>
      <c r="I26" s="46">
        <f ca="1">IF(tbl_QCOM[[#This Row],[RS]]= "", "", 100-(100/(1+tbl_QCOM[[#This Row],[RS]])))</f>
        <v>55.725967163748308</v>
      </c>
      <c r="J26" s="10">
        <f ca="1">IF(ROW($N26)-4&lt;BB_Periods, "", AVERAGE(INDIRECT(ADDRESS(ROW($F26)-RSI_Periods +1, MATCH("Adj Close", Price_Header,0))): INDIRECT(ADDRESS(ROW($F26),MATCH("Adj Close", Price_Header,0)))))</f>
        <v>115.76305607142858</v>
      </c>
      <c r="K26" s="10">
        <f ca="1">IF(tbl_QCOM[[#This Row],[BB_Mean]]="", "", tbl_QCOM[[#This Row],[BB_Mean]]+(BB_Width*tbl_QCOM[[#This Row],[BB_Stdev]]))</f>
        <v>123.22025487211451</v>
      </c>
      <c r="L26" s="10">
        <f ca="1">IF(tbl_QCOM[[#This Row],[BB_Mean]]="", "", tbl_QCOM[[#This Row],[BB_Mean]]-(BB_Width*tbl_QCOM[[#This Row],[BB_Stdev]]))</f>
        <v>108.30585727074265</v>
      </c>
      <c r="M26" s="46">
        <f>IF(ROW(tbl_QCOM[[#This Row],[Adj Close]])=5, 0, $F26-$F25)</f>
        <v>4.25</v>
      </c>
      <c r="N26" s="46">
        <f>MAX(tbl_QCOM[[#This Row],[Move]],0)</f>
        <v>4.25</v>
      </c>
      <c r="O26" s="46">
        <f>MAX(-tbl_QCOM[[#This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1.2413874285714286</v>
      </c>
      <c r="Q26" s="46">
        <f ca="1">IF(ROW($O26)-5&lt;RSI_Periods, "", AVERAGE(INDIRECT(ADDRESS(ROW($O26)-RSI_Periods +1, MATCH("Downmove", Price_Header,0))): INDIRECT(ADDRESS(ROW($O26),MATCH("Downmove", Price_Header,0)))))</f>
        <v>0.98627678571428545</v>
      </c>
      <c r="R26" s="46">
        <f ca="1">IF(tbl_QCOM[[#This Row],[Avg_Upmove]]="", "", tbl_QCOM[[#This Row],[Avg_Upmove]]/tbl_QCOM[[#This Row],[Avg_Downmove]])</f>
        <v>1.2586602934919389</v>
      </c>
      <c r="S26" s="10">
        <f ca="1">IF(ROW($N26)-4&lt;BB_Periods, "", _xlfn.STDEV.S(INDIRECT(ADDRESS(ROW($F26)-RSI_Periods +1, MATCH("Adj Close", Price_Header,0))): INDIRECT(ADDRESS(ROW($F26),MATCH("Adj Close", Price_Header,0)))))</f>
        <v>3.7285994003429641</v>
      </c>
    </row>
    <row r="27" spans="1:19" x14ac:dyDescent="0.35">
      <c r="A27" s="8">
        <v>44084</v>
      </c>
      <c r="B27" s="10">
        <v>115.150002</v>
      </c>
      <c r="C27" s="10">
        <v>115.80999799999999</v>
      </c>
      <c r="D27" s="10">
        <v>111.57</v>
      </c>
      <c r="E27" s="10">
        <v>112.44000200000001</v>
      </c>
      <c r="F27" s="10">
        <v>112.44000200000001</v>
      </c>
      <c r="G27">
        <v>6166300</v>
      </c>
      <c r="H27" s="10">
        <f>IF(tbl_QCOM[[#This Row],[Date]]=$A$5, $F27, EMA_Beta*$H26 + (1-EMA_Beta)*$F27)</f>
        <v>114.11133430907211</v>
      </c>
      <c r="I27" s="46">
        <f ca="1">IF(tbl_QCOM[[#This Row],[RS]]= "", "", 100-(100/(1+tbl_QCOM[[#This Row],[RS]])))</f>
        <v>53.657886416197876</v>
      </c>
      <c r="J27" s="10">
        <f ca="1">IF(ROW($N27)-4&lt;BB_Periods, "", AVERAGE(INDIRECT(ADDRESS(ROW($F27)-RSI_Periods +1, MATCH("Adj Close", Price_Header,0))): INDIRECT(ADDRESS(ROW($F27),MATCH("Adj Close", Price_Header,0)))))</f>
        <v>115.93230814285717</v>
      </c>
      <c r="K27" s="10">
        <f ca="1">IF(tbl_QCOM[[#This Row],[BB_Mean]]="", "", tbl_QCOM[[#This Row],[BB_Mean]]+(BB_Width*tbl_QCOM[[#This Row],[BB_Stdev]]))</f>
        <v>122.92610834219978</v>
      </c>
      <c r="L27" s="10">
        <f ca="1">IF(tbl_QCOM[[#This Row],[BB_Mean]]="", "", tbl_QCOM[[#This Row],[BB_Mean]]-(BB_Width*tbl_QCOM[[#This Row],[BB_Stdev]]))</f>
        <v>108.93850794351455</v>
      </c>
      <c r="M27" s="46">
        <f>IF(ROW(tbl_QCOM[[#This Row],[Adj Close]])=5, 0, $F27-$F26)</f>
        <v>-1.5799949999999967</v>
      </c>
      <c r="N27" s="46">
        <f>MAX(tbl_QCOM[[#This Row],[Move]],0)</f>
        <v>0</v>
      </c>
      <c r="O27" s="46">
        <f>MAX(-tbl_QCOM[[#This Row],[Move]],0)</f>
        <v>1.5799949999999967</v>
      </c>
      <c r="P27" s="46">
        <f ca="1">IF(ROW($N27)-5&lt;RSI_Periods, "", AVERAGE(INDIRECT(ADDRESS(ROW($N27)-RSI_Periods +1, MATCH("Upmove", Price_Header,0))): INDIRECT(ADDRESS(ROW($N27),MATCH("Upmove", Price_Header,0)))))</f>
        <v>1.2413874285714286</v>
      </c>
      <c r="Q27" s="46">
        <f ca="1">IF(ROW($O27)-5&lt;RSI_Periods, "", AVERAGE(INDIRECT(ADDRESS(ROW($O27)-RSI_Periods +1, MATCH("Downmove", Price_Header,0))): INDIRECT(ADDRESS(ROW($O27),MATCH("Downmove", Price_Header,0)))))</f>
        <v>1.0721353571428571</v>
      </c>
      <c r="R27" s="46">
        <f ca="1">IF(tbl_QCOM[[#This Row],[Avg_Upmove]]="", "", tbl_QCOM[[#This Row],[Avg_Upmove]]/tbl_QCOM[[#This Row],[Avg_Downmove]])</f>
        <v>1.1578644620765168</v>
      </c>
      <c r="S27" s="10">
        <f ca="1">IF(ROW($N27)-4&lt;BB_Periods, "", _xlfn.STDEV.S(INDIRECT(ADDRESS(ROW($F27)-RSI_Periods +1, MATCH("Adj Close", Price_Header,0))): INDIRECT(ADDRESS(ROW($F27),MATCH("Adj Close", Price_Header,0)))))</f>
        <v>3.4969000996713073</v>
      </c>
    </row>
    <row r="28" spans="1:19" x14ac:dyDescent="0.35">
      <c r="A28" s="8">
        <v>44085</v>
      </c>
      <c r="B28" s="10">
        <v>113.379997</v>
      </c>
      <c r="C28" s="10">
        <v>114.849998</v>
      </c>
      <c r="D28" s="10">
        <v>112.400002</v>
      </c>
      <c r="E28" s="10">
        <v>113.41999800000001</v>
      </c>
      <c r="F28" s="10">
        <v>113.41999800000001</v>
      </c>
      <c r="G28">
        <v>6740200</v>
      </c>
      <c r="H28" s="10">
        <f>IF(tbl_QCOM[[#This Row],[Date]]=$A$5, $F28, EMA_Beta*$H27 + (1-EMA_Beta)*$F28)</f>
        <v>114.04220067816489</v>
      </c>
      <c r="I28" s="46">
        <f ca="1">IF(tbl_QCOM[[#This Row],[RS]]= "", "", 100-(100/(1+tbl_QCOM[[#This Row],[RS]])))</f>
        <v>51.646160167657889</v>
      </c>
      <c r="J28" s="10">
        <f ca="1">IF(ROW($N28)-4&lt;BB_Periods, "", AVERAGE(INDIRECT(ADDRESS(ROW($F28)-RSI_Periods +1, MATCH("Adj Close", Price_Header,0))): INDIRECT(ADDRESS(ROW($F28),MATCH("Adj Close", Price_Header,0)))))</f>
        <v>116.00530778571431</v>
      </c>
      <c r="K28" s="10">
        <f ca="1">IF(tbl_QCOM[[#This Row],[BB_Mean]]="", "", tbl_QCOM[[#This Row],[BB_Mean]]+(BB_Width*tbl_QCOM[[#This Row],[BB_Stdev]]))</f>
        <v>122.86015038915068</v>
      </c>
      <c r="L28" s="10">
        <f ca="1">IF(tbl_QCOM[[#This Row],[BB_Mean]]="", "", tbl_QCOM[[#This Row],[BB_Mean]]-(BB_Width*tbl_QCOM[[#This Row],[BB_Stdev]]))</f>
        <v>109.15046518227794</v>
      </c>
      <c r="M28" s="46">
        <f>IF(ROW(tbl_QCOM[[#This Row],[Adj Close]])=5, 0, $F28-$F27)</f>
        <v>0.97999599999999987</v>
      </c>
      <c r="N28" s="46">
        <f>MAX(tbl_QCOM[[#This Row],[Move]],0)</f>
        <v>0.97999599999999987</v>
      </c>
      <c r="O28" s="46">
        <f>MAX(-tbl_QCOM[[#This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1.1451350000000002</v>
      </c>
      <c r="Q28" s="46">
        <f ca="1">IF(ROW($O28)-5&lt;RSI_Periods, "", AVERAGE(INDIRECT(ADDRESS(ROW($O28)-RSI_Periods +1, MATCH("Downmove", Price_Header,0))): INDIRECT(ADDRESS(ROW($O28),MATCH("Downmove", Price_Header,0)))))</f>
        <v>1.0721353571428571</v>
      </c>
      <c r="R28" s="46">
        <f ca="1">IF(tbl_QCOM[[#This Row],[Avg_Upmove]]="", "", tbl_QCOM[[#This Row],[Avg_Upmove]]/tbl_QCOM[[#This Row],[Avg_Downmove]])</f>
        <v>1.0680880845602188</v>
      </c>
      <c r="S28" s="10">
        <f ca="1">IF(ROW($N28)-4&lt;BB_Periods, "", _xlfn.STDEV.S(INDIRECT(ADDRESS(ROW($F28)-RSI_Periods +1, MATCH("Adj Close", Price_Header,0))): INDIRECT(ADDRESS(ROW($F28),MATCH("Adj Close", Price_Header,0)))))</f>
        <v>3.4274213017181814</v>
      </c>
    </row>
    <row r="29" spans="1:19" x14ac:dyDescent="0.35">
      <c r="A29" s="8">
        <v>44088</v>
      </c>
      <c r="B29" s="10">
        <v>115.239998</v>
      </c>
      <c r="C29" s="10">
        <v>115.43</v>
      </c>
      <c r="D29" s="10">
        <v>112.650002</v>
      </c>
      <c r="E29" s="10">
        <v>113.459999</v>
      </c>
      <c r="F29" s="10">
        <v>113.459999</v>
      </c>
      <c r="G29">
        <v>5397300</v>
      </c>
      <c r="H29" s="10">
        <f>IF(tbl_QCOM[[#This Row],[Date]]=$A$5, $F29, EMA_Beta*$H28 + (1-EMA_Beta)*$F29)</f>
        <v>113.9839805103484</v>
      </c>
      <c r="I29" s="46">
        <f ca="1">IF(tbl_QCOM[[#This Row],[RS]]= "", "", 100-(100/(1+tbl_QCOM[[#This Row],[RS]])))</f>
        <v>46.749413902423953</v>
      </c>
      <c r="J29" s="10">
        <f ca="1">IF(ROW($N29)-4&lt;BB_Periods, "", AVERAGE(INDIRECT(ADDRESS(ROW($F29)-RSI_Periods +1, MATCH("Adj Close", Price_Header,0))): INDIRECT(ADDRESS(ROW($F29),MATCH("Adj Close", Price_Header,0)))))</f>
        <v>115.87441464285715</v>
      </c>
      <c r="K29" s="10">
        <f ca="1">IF(tbl_QCOM[[#This Row],[BB_Mean]]="", "", tbl_QCOM[[#This Row],[BB_Mean]]+(BB_Width*tbl_QCOM[[#This Row],[BB_Stdev]]))</f>
        <v>122.85668806758437</v>
      </c>
      <c r="L29" s="10">
        <f ca="1">IF(tbl_QCOM[[#This Row],[BB_Mean]]="", "", tbl_QCOM[[#This Row],[BB_Mean]]-(BB_Width*tbl_QCOM[[#This Row],[BB_Stdev]]))</f>
        <v>108.89214121812992</v>
      </c>
      <c r="M29" s="46">
        <f>IF(ROW(tbl_QCOM[[#This Row],[Adj Close]])=5, 0, $F29-$F28)</f>
        <v>4.0000999999989517E-2</v>
      </c>
      <c r="N29" s="46">
        <f>MAX(tbl_QCOM[[#This Row],[Move]],0)</f>
        <v>4.0000999999989517E-2</v>
      </c>
      <c r="O29" s="46">
        <f>MAX(-tbl_QCOM[[#This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0.94124221428571431</v>
      </c>
      <c r="Q29" s="46">
        <f ca="1">IF(ROW($O29)-5&lt;RSI_Periods, "", AVERAGE(INDIRECT(ADDRESS(ROW($O29)-RSI_Periods +1, MATCH("Downmove", Price_Header,0))): INDIRECT(ADDRESS(ROW($O29),MATCH("Downmove", Price_Header,0)))))</f>
        <v>1.0721353571428571</v>
      </c>
      <c r="R29" s="46">
        <f ca="1">IF(tbl_QCOM[[#This Row],[Avg_Upmove]]="", "", tbl_QCOM[[#This Row],[Avg_Upmove]]/tbl_QCOM[[#This Row],[Avg_Downmove]])</f>
        <v>0.87791360299322552</v>
      </c>
      <c r="S29" s="10">
        <f ca="1">IF(ROW($N29)-4&lt;BB_Periods, "", _xlfn.STDEV.S(INDIRECT(ADDRESS(ROW($F29)-RSI_Periods +1, MATCH("Adj Close", Price_Header,0))): INDIRECT(ADDRESS(ROW($F29),MATCH("Adj Close", Price_Header,0)))))</f>
        <v>3.4911367123636117</v>
      </c>
    </row>
    <row r="30" spans="1:19" x14ac:dyDescent="0.35">
      <c r="A30" s="8">
        <v>44089</v>
      </c>
      <c r="B30" s="10">
        <v>114.94000200000001</v>
      </c>
      <c r="C30" s="10">
        <v>117.80999799999999</v>
      </c>
      <c r="D30" s="10">
        <v>114.790001</v>
      </c>
      <c r="E30" s="10">
        <v>116.58000199999999</v>
      </c>
      <c r="F30" s="10">
        <v>116.58000199999999</v>
      </c>
      <c r="G30">
        <v>8773700</v>
      </c>
      <c r="H30" s="10">
        <f>IF(tbl_QCOM[[#This Row],[Date]]=$A$5, $F30, EMA_Beta*$H29 + (1-EMA_Beta)*$F30)</f>
        <v>114.24358265931357</v>
      </c>
      <c r="I30" s="46">
        <f ca="1">IF(tbl_QCOM[[#This Row],[RS]]= "", "", 100-(100/(1+tbl_QCOM[[#This Row],[RS]])))</f>
        <v>51.995232495175721</v>
      </c>
      <c r="J30" s="10">
        <f ca="1">IF(ROW($N30)-4&lt;BB_Periods, "", AVERAGE(INDIRECT(ADDRESS(ROW($F30)-RSI_Periods +1, MATCH("Adj Close", Price_Header,0))): INDIRECT(ADDRESS(ROW($F30),MATCH("Adj Close", Price_Header,0)))))</f>
        <v>115.96353742857143</v>
      </c>
      <c r="K30" s="10">
        <f ca="1">IF(tbl_QCOM[[#This Row],[BB_Mean]]="", "", tbl_QCOM[[#This Row],[BB_Mean]]+(BB_Width*tbl_QCOM[[#This Row],[BB_Stdev]]))</f>
        <v>122.94785411635729</v>
      </c>
      <c r="L30" s="10">
        <f ca="1">IF(tbl_QCOM[[#This Row],[BB_Mean]]="", "", tbl_QCOM[[#This Row],[BB_Mean]]-(BB_Width*tbl_QCOM[[#This Row],[BB_Stdev]]))</f>
        <v>108.97922074078556</v>
      </c>
      <c r="M30" s="46">
        <f>IF(ROW(tbl_QCOM[[#This Row],[Adj Close]])=5, 0, $F30-$F29)</f>
        <v>3.120002999999997</v>
      </c>
      <c r="N30" s="46">
        <f>MAX(tbl_QCOM[[#This Row],[Move]],0)</f>
        <v>3.120002999999997</v>
      </c>
      <c r="O30" s="46">
        <f>MAX(-tbl_QCOM[[#This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1.161258142857142</v>
      </c>
      <c r="Q30" s="46">
        <f ca="1">IF(ROW($O30)-5&lt;RSI_Periods, "", AVERAGE(INDIRECT(ADDRESS(ROW($O30)-RSI_Periods +1, MATCH("Downmove", Price_Header,0))): INDIRECT(ADDRESS(ROW($O30),MATCH("Downmove", Price_Header,0)))))</f>
        <v>1.0721353571428571</v>
      </c>
      <c r="R30" s="46">
        <f ca="1">IF(tbl_QCOM[[#This Row],[Avg_Upmove]]="", "", tbl_QCOM[[#This Row],[Avg_Upmove]]/tbl_QCOM[[#This Row],[Avg_Downmove]])</f>
        <v>1.0831264309310618</v>
      </c>
      <c r="S30" s="10">
        <f ca="1">IF(ROW($N30)-4&lt;BB_Periods, "", _xlfn.STDEV.S(INDIRECT(ADDRESS(ROW($F30)-RSI_Periods +1, MATCH("Adj Close", Price_Header,0))): INDIRECT(ADDRESS(ROW($F30),MATCH("Adj Close", Price_Header,0)))))</f>
        <v>3.4921583438929318</v>
      </c>
    </row>
    <row r="31" spans="1:19" x14ac:dyDescent="0.35">
      <c r="A31" s="8">
        <v>44090</v>
      </c>
      <c r="B31" s="10">
        <v>118</v>
      </c>
      <c r="C31" s="10">
        <v>118</v>
      </c>
      <c r="D31" s="10">
        <v>114.540001</v>
      </c>
      <c r="E31" s="10">
        <v>114.55999799999999</v>
      </c>
      <c r="F31" s="10">
        <v>114.55999799999999</v>
      </c>
      <c r="G31">
        <v>6340100</v>
      </c>
      <c r="H31" s="10">
        <f>IF(tbl_QCOM[[#This Row],[Date]]=$A$5, $F31, EMA_Beta*$H30 + (1-EMA_Beta)*$F31)</f>
        <v>114.27522419338221</v>
      </c>
      <c r="I31" s="46">
        <f ca="1">IF(tbl_QCOM[[#This Row],[RS]]= "", "", 100-(100/(1+tbl_QCOM[[#This Row],[RS]])))</f>
        <v>48.702017802885038</v>
      </c>
      <c r="J31" s="10">
        <f ca="1">IF(ROW($N31)-4&lt;BB_Periods, "", AVERAGE(INDIRECT(ADDRESS(ROW($F31)-RSI_Periods +1, MATCH("Adj Close", Price_Header,0))): INDIRECT(ADDRESS(ROW($F31),MATCH("Adj Close", Price_Header,0)))))</f>
        <v>115.90197971428573</v>
      </c>
      <c r="K31" s="10">
        <f ca="1">IF(tbl_QCOM[[#This Row],[BB_Mean]]="", "", tbl_QCOM[[#This Row],[BB_Mean]]+(BB_Width*tbl_QCOM[[#This Row],[BB_Stdev]]))</f>
        <v>122.92196454312958</v>
      </c>
      <c r="L31" s="10">
        <f ca="1">IF(tbl_QCOM[[#This Row],[BB_Mean]]="", "", tbl_QCOM[[#This Row],[BB_Mean]]-(BB_Width*tbl_QCOM[[#This Row],[BB_Stdev]]))</f>
        <v>108.88199488544188</v>
      </c>
      <c r="M31" s="46">
        <f>IF(ROW(tbl_QCOM[[#This Row],[Adj Close]])=5, 0, $F31-$F30)</f>
        <v>-2.0200040000000001</v>
      </c>
      <c r="N31" s="46">
        <f>MAX(tbl_QCOM[[#This Row],[Move]],0)</f>
        <v>0</v>
      </c>
      <c r="O31" s="46">
        <f>MAX(-tbl_QCOM[[#This Row],[Move]],0)</f>
        <v>2.0200040000000001</v>
      </c>
      <c r="P31" s="46">
        <f ca="1">IF(ROW($N31)-5&lt;RSI_Periods, "", AVERAGE(INDIRECT(ADDRESS(ROW($N31)-RSI_Periods +1, MATCH("Upmove", Price_Header,0))): INDIRECT(ADDRESS(ROW($N31),MATCH("Upmove", Price_Header,0)))))</f>
        <v>1.1548636428571422</v>
      </c>
      <c r="Q31" s="46">
        <f ca="1">IF(ROW($O31)-5&lt;RSI_Periods, "", AVERAGE(INDIRECT(ADDRESS(ROW($O31)-RSI_Periods +1, MATCH("Downmove", Price_Header,0))): INDIRECT(ADDRESS(ROW($O31),MATCH("Downmove", Price_Header,0)))))</f>
        <v>1.2164213571428573</v>
      </c>
      <c r="R31" s="46">
        <f ca="1">IF(tbl_QCOM[[#This Row],[Avg_Upmove]]="", "", tbl_QCOM[[#This Row],[Avg_Upmove]]/tbl_QCOM[[#This Row],[Avg_Downmove]])</f>
        <v>0.94939441508138056</v>
      </c>
      <c r="S31" s="10">
        <f ca="1">IF(ROW($N31)-4&lt;BB_Periods, "", _xlfn.STDEV.S(INDIRECT(ADDRESS(ROW($F31)-RSI_Periods +1, MATCH("Adj Close", Price_Header,0))): INDIRECT(ADDRESS(ROW($F31),MATCH("Adj Close", Price_Header,0)))))</f>
        <v>3.509992414421923</v>
      </c>
    </row>
    <row r="32" spans="1:19" x14ac:dyDescent="0.35">
      <c r="A32" s="8">
        <v>44091</v>
      </c>
      <c r="B32" s="10">
        <v>111.91999800000001</v>
      </c>
      <c r="C32" s="10">
        <v>115.699997</v>
      </c>
      <c r="D32" s="10">
        <v>111</v>
      </c>
      <c r="E32" s="10">
        <v>114.879997</v>
      </c>
      <c r="F32" s="10">
        <v>114.879997</v>
      </c>
      <c r="G32">
        <v>7418100</v>
      </c>
      <c r="H32" s="10">
        <f>IF(tbl_QCOM[[#This Row],[Date]]=$A$5, $F32, EMA_Beta*$H31 + (1-EMA_Beta)*$F32)</f>
        <v>114.335701474044</v>
      </c>
      <c r="I32" s="46">
        <f ca="1">IF(tbl_QCOM[[#This Row],[RS]]= "", "", 100-(100/(1+tbl_QCOM[[#This Row],[RS]])))</f>
        <v>49.220982496555322</v>
      </c>
      <c r="J32" s="10">
        <f ca="1">IF(ROW($N32)-4&lt;BB_Periods, "", AVERAGE(INDIRECT(ADDRESS(ROW($F32)-RSI_Periods +1, MATCH("Adj Close", Price_Header,0))): INDIRECT(ADDRESS(ROW($F32),MATCH("Adj Close", Price_Header,0)))))</f>
        <v>115.86470028571428</v>
      </c>
      <c r="K32" s="10">
        <f ca="1">IF(tbl_QCOM[[#This Row],[BB_Mean]]="", "", tbl_QCOM[[#This Row],[BB_Mean]]+(BB_Width*tbl_QCOM[[#This Row],[BB_Stdev]]))</f>
        <v>122.90164737526692</v>
      </c>
      <c r="L32" s="10">
        <f ca="1">IF(tbl_QCOM[[#This Row],[BB_Mean]]="", "", tbl_QCOM[[#This Row],[BB_Mean]]-(BB_Width*tbl_QCOM[[#This Row],[BB_Stdev]]))</f>
        <v>108.82775319616164</v>
      </c>
      <c r="M32" s="46">
        <f>IF(ROW(tbl_QCOM[[#This Row],[Adj Close]])=5, 0, $F32-$F31)</f>
        <v>0.31999900000000991</v>
      </c>
      <c r="N32" s="46">
        <f>MAX(tbl_QCOM[[#This Row],[Move]],0)</f>
        <v>0.31999900000000991</v>
      </c>
      <c r="O32" s="46">
        <f>MAX(-tbl_QCOM[[#This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1.1777207142857142</v>
      </c>
      <c r="Q32" s="46">
        <f ca="1">IF(ROW($O32)-5&lt;RSI_Periods, "", AVERAGE(INDIRECT(ADDRESS(ROW($O32)-RSI_Periods +1, MATCH("Downmove", Price_Header,0))): INDIRECT(ADDRESS(ROW($O32),MATCH("Downmove", Price_Header,0)))))</f>
        <v>1.2150001428571429</v>
      </c>
      <c r="R32" s="46">
        <f ca="1">IF(tbl_QCOM[[#This Row],[Avg_Upmove]]="", "", tbl_QCOM[[#This Row],[Avg_Upmove]]/tbl_QCOM[[#This Row],[Avg_Downmove]])</f>
        <v>0.96931734634716671</v>
      </c>
      <c r="S32" s="10">
        <f ca="1">IF(ROW($N32)-4&lt;BB_Periods, "", _xlfn.STDEV.S(INDIRECT(ADDRESS(ROW($F32)-RSI_Periods +1, MATCH("Adj Close", Price_Header,0))): INDIRECT(ADDRESS(ROW($F32),MATCH("Adj Close", Price_Header,0)))))</f>
        <v>3.518473544776318</v>
      </c>
    </row>
    <row r="33" spans="1:19" x14ac:dyDescent="0.35">
      <c r="A33" s="8">
        <v>44092</v>
      </c>
      <c r="B33" s="10">
        <v>115.040001</v>
      </c>
      <c r="C33" s="10">
        <v>115.43</v>
      </c>
      <c r="D33" s="10">
        <v>109.800003</v>
      </c>
      <c r="E33" s="10">
        <v>110.69000200000001</v>
      </c>
      <c r="F33" s="10">
        <v>110.69000200000001</v>
      </c>
      <c r="G33">
        <v>15443200</v>
      </c>
      <c r="H33" s="10">
        <f>IF(tbl_QCOM[[#This Row],[Date]]=$A$5, $F33, EMA_Beta*$H32 + (1-EMA_Beta)*$F33)</f>
        <v>113.9711315266396</v>
      </c>
      <c r="I33" s="46">
        <f ca="1">IF(tbl_QCOM[[#This Row],[RS]]= "", "", 100-(100/(1+tbl_QCOM[[#This Row],[RS]])))</f>
        <v>40.314817983114111</v>
      </c>
      <c r="J33" s="10">
        <f ca="1">IF(ROW($N33)-4&lt;BB_Periods, "", AVERAGE(INDIRECT(ADDRESS(ROW($F33)-RSI_Periods +1, MATCH("Adj Close", Price_Header,0))): INDIRECT(ADDRESS(ROW($F33),MATCH("Adj Close", Price_Header,0)))))</f>
        <v>115.37325064285713</v>
      </c>
      <c r="K33" s="10">
        <f ca="1">IF(tbl_QCOM[[#This Row],[BB_Mean]]="", "", tbl_QCOM[[#This Row],[BB_Mean]]+(BB_Width*tbl_QCOM[[#This Row],[BB_Stdev]]))</f>
        <v>122.84468656261015</v>
      </c>
      <c r="L33" s="10">
        <f ca="1">IF(tbl_QCOM[[#This Row],[BB_Mean]]="", "", tbl_QCOM[[#This Row],[BB_Mean]]-(BB_Width*tbl_QCOM[[#This Row],[BB_Stdev]]))</f>
        <v>107.90181472310411</v>
      </c>
      <c r="M33" s="46">
        <f>IF(ROW(tbl_QCOM[[#This Row],[Adj Close]])=5, 0, $F33-$F32)</f>
        <v>-4.1899949999999961</v>
      </c>
      <c r="N33" s="46">
        <f>MAX(tbl_QCOM[[#This Row],[Move]],0)</f>
        <v>0</v>
      </c>
      <c r="O33" s="46">
        <f>MAX(-tbl_QCOM[[#This Row],[Move]],0)</f>
        <v>4.1899949999999961</v>
      </c>
      <c r="P33" s="46">
        <f ca="1">IF(ROW($N33)-5&lt;RSI_Periods, "", AVERAGE(INDIRECT(ADDRESS(ROW($N33)-RSI_Periods +1, MATCH("Upmove", Price_Header,0))): INDIRECT(ADDRESS(ROW($N33),MATCH("Upmove", Price_Header,0)))))</f>
        <v>1.0228358571428575</v>
      </c>
      <c r="Q33" s="46">
        <f ca="1">IF(ROW($O33)-5&lt;RSI_Periods, "", AVERAGE(INDIRECT(ADDRESS(ROW($O33)-RSI_Periods +1, MATCH("Downmove", Price_Header,0))): INDIRECT(ADDRESS(ROW($O33),MATCH("Downmove", Price_Header,0)))))</f>
        <v>1.5142854999999997</v>
      </c>
      <c r="R33" s="46">
        <f ca="1">IF(tbl_QCOM[[#This Row],[Avg_Upmove]]="", "", tbl_QCOM[[#This Row],[Avg_Upmove]]/tbl_QCOM[[#This Row],[Avg_Downmove]])</f>
        <v>0.67545773709307633</v>
      </c>
      <c r="S33" s="10">
        <f ca="1">IF(ROW($N33)-4&lt;BB_Periods, "", _xlfn.STDEV.S(INDIRECT(ADDRESS(ROW($F33)-RSI_Periods +1, MATCH("Adj Close", Price_Header,0))): INDIRECT(ADDRESS(ROW($F33),MATCH("Adj Close", Price_Header,0)))))</f>
        <v>3.7357179598765118</v>
      </c>
    </row>
    <row r="34" spans="1:19" x14ac:dyDescent="0.35">
      <c r="A34" s="8">
        <v>44095</v>
      </c>
      <c r="B34" s="10">
        <v>109.160004</v>
      </c>
      <c r="C34" s="10">
        <v>112.139999</v>
      </c>
      <c r="D34" s="10">
        <v>108.300003</v>
      </c>
      <c r="E34" s="10">
        <v>111.91999800000001</v>
      </c>
      <c r="F34" s="10">
        <v>111.91999800000001</v>
      </c>
      <c r="G34">
        <v>8197600</v>
      </c>
      <c r="H34" s="10">
        <f>IF(tbl_QCOM[[#This Row],[Date]]=$A$5, $F34, EMA_Beta*$H33 + (1-EMA_Beta)*$F34)</f>
        <v>113.76601817397562</v>
      </c>
      <c r="I34" s="46">
        <f ca="1">IF(tbl_QCOM[[#This Row],[RS]]= "", "", 100-(100/(1+tbl_QCOM[[#This Row],[RS]])))</f>
        <v>40.872117975536902</v>
      </c>
      <c r="J34" s="10">
        <f ca="1">IF(ROW($N34)-4&lt;BB_Periods, "", AVERAGE(INDIRECT(ADDRESS(ROW($F34)-RSI_Periods +1, MATCH("Adj Close", Price_Header,0))): INDIRECT(ADDRESS(ROW($F34),MATCH("Adj Close", Price_Header,0)))))</f>
        <v>114.90571421428571</v>
      </c>
      <c r="K34" s="10">
        <f ca="1">IF(tbl_QCOM[[#This Row],[BB_Mean]]="", "", tbl_QCOM[[#This Row],[BB_Mean]]+(BB_Width*tbl_QCOM[[#This Row],[BB_Stdev]]))</f>
        <v>122.36277667301854</v>
      </c>
      <c r="L34" s="10">
        <f ca="1">IF(tbl_QCOM[[#This Row],[BB_Mean]]="", "", tbl_QCOM[[#This Row],[BB_Mean]]-(BB_Width*tbl_QCOM[[#This Row],[BB_Stdev]]))</f>
        <v>107.44865175555287</v>
      </c>
      <c r="M34" s="46">
        <f>IF(ROW(tbl_QCOM[[#This Row],[Adj Close]])=5, 0, $F34-$F33)</f>
        <v>1.2299959999999999</v>
      </c>
      <c r="N34" s="46">
        <f>MAX(tbl_QCOM[[#This Row],[Move]],0)</f>
        <v>1.2299959999999999</v>
      </c>
      <c r="O34" s="46">
        <f>MAX(-tbl_QCOM[[#This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1.0467490714285717</v>
      </c>
      <c r="Q34" s="46">
        <f ca="1">IF(ROW($O34)-5&lt;RSI_Periods, "", AVERAGE(INDIRECT(ADDRESS(ROW($O34)-RSI_Periods +1, MATCH("Downmove", Price_Header,0))): INDIRECT(ADDRESS(ROW($O34),MATCH("Downmove", Price_Header,0)))))</f>
        <v>1.5142854999999997</v>
      </c>
      <c r="R34" s="46">
        <f ca="1">IF(tbl_QCOM[[#This Row],[Avg_Upmove]]="", "", tbl_QCOM[[#This Row],[Avg_Upmove]]/tbl_QCOM[[#This Row],[Avg_Downmove]])</f>
        <v>0.6912494846107764</v>
      </c>
      <c r="S34" s="10">
        <f ca="1">IF(ROW($N34)-4&lt;BB_Periods, "", _xlfn.STDEV.S(INDIRECT(ADDRESS(ROW($F34)-RSI_Periods +1, MATCH("Adj Close", Price_Header,0))): INDIRECT(ADDRESS(ROW($F34),MATCH("Adj Close", Price_Header,0)))))</f>
        <v>3.7285312293664146</v>
      </c>
    </row>
    <row r="35" spans="1:19" x14ac:dyDescent="0.35">
      <c r="A35" s="8">
        <v>44096</v>
      </c>
      <c r="B35" s="10">
        <v>112.610001</v>
      </c>
      <c r="C35" s="10">
        <v>114.25</v>
      </c>
      <c r="D35" s="10">
        <v>110.41999800000001</v>
      </c>
      <c r="E35" s="10">
        <v>113.82</v>
      </c>
      <c r="F35" s="10">
        <v>113.82</v>
      </c>
      <c r="G35">
        <v>6911200</v>
      </c>
      <c r="H35" s="10">
        <f>IF(tbl_QCOM[[#This Row],[Date]]=$A$5, $F35, EMA_Beta*$H34 + (1-EMA_Beta)*$F35)</f>
        <v>113.77141635657806</v>
      </c>
      <c r="I35" s="46">
        <f ca="1">IF(tbl_QCOM[[#This Row],[RS]]= "", "", 100-(100/(1+tbl_QCOM[[#This Row],[RS]])))</f>
        <v>39.185296861564993</v>
      </c>
      <c r="J35" s="10">
        <f ca="1">IF(ROW($N35)-4&lt;BB_Periods, "", AVERAGE(INDIRECT(ADDRESS(ROW($F35)-RSI_Periods +1, MATCH("Adj Close", Price_Header,0))): INDIRECT(ADDRESS(ROW($F35),MATCH("Adj Close", Price_Header,0)))))</f>
        <v>114.36714221428572</v>
      </c>
      <c r="K35" s="10">
        <f ca="1">IF(tbl_QCOM[[#This Row],[BB_Mean]]="", "", tbl_QCOM[[#This Row],[BB_Mean]]+(BB_Width*tbl_QCOM[[#This Row],[BB_Stdev]]))</f>
        <v>120.84040833943827</v>
      </c>
      <c r="L35" s="10">
        <f ca="1">IF(tbl_QCOM[[#This Row],[BB_Mean]]="", "", tbl_QCOM[[#This Row],[BB_Mean]]-(BB_Width*tbl_QCOM[[#This Row],[BB_Stdev]]))</f>
        <v>107.89387608913317</v>
      </c>
      <c r="M35" s="46">
        <f>IF(ROW(tbl_QCOM[[#This Row],[Adj Close]])=5, 0, $F35-$F34)</f>
        <v>1.9000019999999864</v>
      </c>
      <c r="N35" s="46">
        <f>MAX(tbl_QCOM[[#This Row],[Move]],0)</f>
        <v>1.9000019999999864</v>
      </c>
      <c r="O35" s="46">
        <f>MAX(-tbl_QCOM[[#This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0.97571349999999968</v>
      </c>
      <c r="Q35" s="46">
        <f ca="1">IF(ROW($O35)-5&lt;RSI_Periods, "", AVERAGE(INDIRECT(ADDRESS(ROW($O35)-RSI_Periods +1, MATCH("Downmove", Price_Header,0))): INDIRECT(ADDRESS(ROW($O35),MATCH("Downmove", Price_Header,0)))))</f>
        <v>1.5142854999999997</v>
      </c>
      <c r="R35" s="46">
        <f ca="1">IF(tbl_QCOM[[#This Row],[Avg_Upmove]]="", "", tbl_QCOM[[#This Row],[Avg_Upmove]]/tbl_QCOM[[#This Row],[Avg_Downmove]])</f>
        <v>0.64433919495365954</v>
      </c>
      <c r="S35" s="10">
        <f ca="1">IF(ROW($N35)-4&lt;BB_Periods, "", _xlfn.STDEV.S(INDIRECT(ADDRESS(ROW($F35)-RSI_Periods +1, MATCH("Adj Close", Price_Header,0))): INDIRECT(ADDRESS(ROW($F35),MATCH("Adj Close", Price_Header,0)))))</f>
        <v>3.2366330625762738</v>
      </c>
    </row>
    <row r="36" spans="1:19" x14ac:dyDescent="0.35">
      <c r="A36" s="8">
        <v>44097</v>
      </c>
      <c r="B36" s="10">
        <v>113.639999</v>
      </c>
      <c r="C36" s="10">
        <v>113.93</v>
      </c>
      <c r="D36" s="10">
        <v>110.07</v>
      </c>
      <c r="E36" s="10">
        <v>110.57</v>
      </c>
      <c r="F36" s="10">
        <v>110.57</v>
      </c>
      <c r="G36">
        <v>6553300</v>
      </c>
      <c r="H36" s="10">
        <f>IF(tbl_QCOM[[#This Row],[Date]]=$A$5, $F36, EMA_Beta*$H35 + (1-EMA_Beta)*$F36)</f>
        <v>113.45127472092025</v>
      </c>
      <c r="I36" s="46">
        <f ca="1">IF(tbl_QCOM[[#This Row],[RS]]= "", "", 100-(100/(1+tbl_QCOM[[#This Row],[RS]])))</f>
        <v>32.626064914753059</v>
      </c>
      <c r="J36" s="10">
        <f ca="1">IF(ROW($N36)-4&lt;BB_Periods, "", AVERAGE(INDIRECT(ADDRESS(ROW($F36)-RSI_Periods +1, MATCH("Adj Close", Price_Header,0))): INDIRECT(ADDRESS(ROW($F36),MATCH("Adj Close", Price_Header,0)))))</f>
        <v>113.46642792857143</v>
      </c>
      <c r="K36" s="10">
        <f ca="1">IF(tbl_QCOM[[#This Row],[BB_Mean]]="", "", tbl_QCOM[[#This Row],[BB_Mean]]+(BB_Width*tbl_QCOM[[#This Row],[BB_Stdev]]))</f>
        <v>117.81929209844088</v>
      </c>
      <c r="L36" s="10">
        <f ca="1">IF(tbl_QCOM[[#This Row],[BB_Mean]]="", "", tbl_QCOM[[#This Row],[BB_Mean]]-(BB_Width*tbl_QCOM[[#This Row],[BB_Stdev]]))</f>
        <v>109.11356375870199</v>
      </c>
      <c r="M36" s="46">
        <f>IF(ROW(tbl_QCOM[[#This Row],[Adj Close]])=5, 0, $F36-$F35)</f>
        <v>-3.25</v>
      </c>
      <c r="N36" s="46">
        <f>MAX(tbl_QCOM[[#This Row],[Move]],0)</f>
        <v>0</v>
      </c>
      <c r="O36" s="46">
        <f>MAX(-tbl_QCOM[[#This Row],[Move]],0)</f>
        <v>3.25</v>
      </c>
      <c r="P36" s="46">
        <f ca="1">IF(ROW($N36)-5&lt;RSI_Periods, "", AVERAGE(INDIRECT(ADDRESS(ROW($N36)-RSI_Periods +1, MATCH("Upmove", Price_Header,0))): INDIRECT(ADDRESS(ROW($N36),MATCH("Upmove", Price_Header,0)))))</f>
        <v>0.84571407142857014</v>
      </c>
      <c r="Q36" s="46">
        <f ca="1">IF(ROW($O36)-5&lt;RSI_Periods, "", AVERAGE(INDIRECT(ADDRESS(ROW($O36)-RSI_Periods +1, MATCH("Downmove", Price_Header,0))): INDIRECT(ADDRESS(ROW($O36),MATCH("Downmove", Price_Header,0)))))</f>
        <v>1.7464283571428569</v>
      </c>
      <c r="R36" s="46">
        <f ca="1">IF(tbl_QCOM[[#This Row],[Avg_Upmove]]="", "", tbl_QCOM[[#This Row],[Avg_Upmove]]/tbl_QCOM[[#This Row],[Avg_Downmove]])</f>
        <v>0.48425351545032841</v>
      </c>
      <c r="S36" s="10">
        <f ca="1">IF(ROW($N36)-4&lt;BB_Periods, "", _xlfn.STDEV.S(INDIRECT(ADDRESS(ROW($F36)-RSI_Periods +1, MATCH("Adj Close", Price_Header,0))): INDIRECT(ADDRESS(ROW($F36),MATCH("Adj Close", Price_Header,0)))))</f>
        <v>2.1764320849347207</v>
      </c>
    </row>
    <row r="37" spans="1:19" x14ac:dyDescent="0.35">
      <c r="A37" s="8">
        <v>44098</v>
      </c>
      <c r="B37" s="10">
        <v>109.389999</v>
      </c>
      <c r="C37" s="10">
        <v>113.290001</v>
      </c>
      <c r="D37" s="10">
        <v>109.239998</v>
      </c>
      <c r="E37" s="10">
        <v>112.19000200000001</v>
      </c>
      <c r="F37" s="10">
        <v>112.19000200000001</v>
      </c>
      <c r="G37">
        <v>6849000</v>
      </c>
      <c r="H37" s="10">
        <f>IF(tbl_QCOM[[#This Row],[Date]]=$A$5, $F37, EMA_Beta*$H36 + (1-EMA_Beta)*$F37)</f>
        <v>113.32514744882823</v>
      </c>
      <c r="I37" s="46">
        <f ca="1">IF(tbl_QCOM[[#This Row],[RS]]= "", "", 100-(100/(1+tbl_QCOM[[#This Row],[RS]])))</f>
        <v>43.196407984134531</v>
      </c>
      <c r="J37" s="10">
        <f ca="1">IF(ROW($N37)-4&lt;BB_Periods, "", AVERAGE(INDIRECT(ADDRESS(ROW($F37)-RSI_Periods +1, MATCH("Adj Close", Price_Header,0))): INDIRECT(ADDRESS(ROW($F37),MATCH("Adj Close", Price_Header,0)))))</f>
        <v>113.16357092857143</v>
      </c>
      <c r="K37" s="10">
        <f ca="1">IF(tbl_QCOM[[#This Row],[BB_Mean]]="", "", tbl_QCOM[[#This Row],[BB_Mean]]+(BB_Width*tbl_QCOM[[#This Row],[BB_Stdev]]))</f>
        <v>117.20723745665533</v>
      </c>
      <c r="L37" s="10">
        <f ca="1">IF(tbl_QCOM[[#This Row],[BB_Mean]]="", "", tbl_QCOM[[#This Row],[BB_Mean]]-(BB_Width*tbl_QCOM[[#This Row],[BB_Stdev]]))</f>
        <v>109.11990440048753</v>
      </c>
      <c r="M37" s="46">
        <f>IF(ROW(tbl_QCOM[[#This Row],[Adj Close]])=5, 0, $F37-$F36)</f>
        <v>1.6200020000000137</v>
      </c>
      <c r="N37" s="46">
        <f>MAX(tbl_QCOM[[#This Row],[Move]],0)</f>
        <v>1.6200020000000137</v>
      </c>
      <c r="O37" s="46">
        <f>MAX(-tbl_QCOM[[#This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0.96142849999999969</v>
      </c>
      <c r="Q37" s="46">
        <f ca="1">IF(ROW($O37)-5&lt;RSI_Periods, "", AVERAGE(INDIRECT(ADDRESS(ROW($O37)-RSI_Periods +1, MATCH("Downmove", Price_Header,0))): INDIRECT(ADDRESS(ROW($O37),MATCH("Downmove", Price_Header,0)))))</f>
        <v>1.2642854999999997</v>
      </c>
      <c r="R37" s="46">
        <f ca="1">IF(tbl_QCOM[[#This Row],[Avg_Upmove]]="", "", tbl_QCOM[[#This Row],[Avg_Upmove]]/tbl_QCOM[[#This Row],[Avg_Downmove]])</f>
        <v>0.76045204979413261</v>
      </c>
      <c r="S37" s="10">
        <f ca="1">IF(ROW($N37)-4&lt;BB_Periods, "", _xlfn.STDEV.S(INDIRECT(ADDRESS(ROW($F37)-RSI_Periods +1, MATCH("Adj Close", Price_Header,0))): INDIRECT(ADDRESS(ROW($F37),MATCH("Adj Close", Price_Header,0)))))</f>
        <v>2.0218332640419492</v>
      </c>
    </row>
    <row r="38" spans="1:19" x14ac:dyDescent="0.35">
      <c r="A38" s="8">
        <v>44099</v>
      </c>
      <c r="B38" s="10">
        <v>113.550003</v>
      </c>
      <c r="C38" s="10">
        <v>115.75</v>
      </c>
      <c r="D38" s="10">
        <v>111.800003</v>
      </c>
      <c r="E38" s="10">
        <v>114.5</v>
      </c>
      <c r="F38" s="10">
        <v>114.5</v>
      </c>
      <c r="G38">
        <v>11718000</v>
      </c>
      <c r="H38" s="10">
        <f>IF(tbl_QCOM[[#This Row],[Date]]=$A$5, $F38, EMA_Beta*$H37 + (1-EMA_Beta)*$F38)</f>
        <v>113.44263270394542</v>
      </c>
      <c r="I38" s="46">
        <f ca="1">IF(tbl_QCOM[[#This Row],[RS]]= "", "", 100-(100/(1+tbl_QCOM[[#This Row],[RS]])))</f>
        <v>47.773400147440192</v>
      </c>
      <c r="J38" s="10">
        <f ca="1">IF(ROW($N38)-4&lt;BB_Periods, "", AVERAGE(INDIRECT(ADDRESS(ROW($F38)-RSI_Periods +1, MATCH("Adj Close", Price_Header,0))): INDIRECT(ADDRESS(ROW($F38),MATCH("Adj Close", Price_Header,0)))))</f>
        <v>113.05857085714285</v>
      </c>
      <c r="K38" s="10">
        <f ca="1">IF(tbl_QCOM[[#This Row],[BB_Mean]]="", "", tbl_QCOM[[#This Row],[BB_Mean]]+(BB_Width*tbl_QCOM[[#This Row],[BB_Stdev]]))</f>
        <v>116.85724145155493</v>
      </c>
      <c r="L38" s="10">
        <f ca="1">IF(tbl_QCOM[[#This Row],[BB_Mean]]="", "", tbl_QCOM[[#This Row],[BB_Mean]]-(BB_Width*tbl_QCOM[[#This Row],[BB_Stdev]]))</f>
        <v>109.25990026273078</v>
      </c>
      <c r="M38" s="46">
        <f>IF(ROW(tbl_QCOM[[#This Row],[Adj Close]])=5, 0, $F38-$F37)</f>
        <v>2.3099979999999931</v>
      </c>
      <c r="N38" s="46">
        <f>MAX(tbl_QCOM[[#This Row],[Move]],0)</f>
        <v>2.3099979999999931</v>
      </c>
      <c r="O38" s="46">
        <f>MAX(-tbl_QCOM[[#This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1.1264283571428564</v>
      </c>
      <c r="Q38" s="46">
        <f ca="1">IF(ROW($O38)-5&lt;RSI_Periods, "", AVERAGE(INDIRECT(ADDRESS(ROW($O38)-RSI_Periods +1, MATCH("Downmove", Price_Header,0))): INDIRECT(ADDRESS(ROW($O38),MATCH("Downmove", Price_Header,0)))))</f>
        <v>1.2314284285714276</v>
      </c>
      <c r="R38" s="46">
        <f ca="1">IF(tbl_QCOM[[#This Row],[Avg_Upmove]]="", "", tbl_QCOM[[#This Row],[Avg_Upmove]]/tbl_QCOM[[#This Row],[Avg_Downmove]])</f>
        <v>0.91473311075790154</v>
      </c>
      <c r="S38" s="10">
        <f ca="1">IF(ROW($N38)-4&lt;BB_Periods, "", _xlfn.STDEV.S(INDIRECT(ADDRESS(ROW($F38)-RSI_Periods +1, MATCH("Adj Close", Price_Header,0))): INDIRECT(ADDRESS(ROW($F38),MATCH("Adj Close", Price_Header,0)))))</f>
        <v>1.8993352972060353</v>
      </c>
    </row>
    <row r="39" spans="1:19" x14ac:dyDescent="0.35">
      <c r="A39" s="8">
        <v>44102</v>
      </c>
      <c r="B39" s="10">
        <v>115.959999</v>
      </c>
      <c r="C39" s="10">
        <v>118.739998</v>
      </c>
      <c r="D39" s="10">
        <v>114.91999800000001</v>
      </c>
      <c r="E39" s="10">
        <v>118.470001</v>
      </c>
      <c r="F39" s="10">
        <v>118.470001</v>
      </c>
      <c r="G39">
        <v>9043600</v>
      </c>
      <c r="H39" s="10">
        <f>IF(tbl_QCOM[[#This Row],[Date]]=$A$5, $F39, EMA_Beta*$H38 + (1-EMA_Beta)*$F39)</f>
        <v>113.94536953355089</v>
      </c>
      <c r="I39" s="46">
        <f ca="1">IF(tbl_QCOM[[#This Row],[RS]]= "", "", 100-(100/(1+tbl_QCOM[[#This Row],[RS]])))</f>
        <v>64.132563777144583</v>
      </c>
      <c r="J39" s="10">
        <f ca="1">IF(ROW($N39)-4&lt;BB_Periods, "", AVERAGE(INDIRECT(ADDRESS(ROW($F39)-RSI_Periods +1, MATCH("Adj Close", Price_Header,0))): INDIRECT(ADDRESS(ROW($F39),MATCH("Adj Close", Price_Header,0)))))</f>
        <v>113.6799997142857</v>
      </c>
      <c r="K39" s="10">
        <f ca="1">IF(tbl_QCOM[[#This Row],[BB_Mean]]="", "", tbl_QCOM[[#This Row],[BB_Mean]]+(BB_Width*tbl_QCOM[[#This Row],[BB_Stdev]]))</f>
        <v>117.97524195013571</v>
      </c>
      <c r="L39" s="10">
        <f ca="1">IF(tbl_QCOM[[#This Row],[BB_Mean]]="", "", tbl_QCOM[[#This Row],[BB_Mean]]-(BB_Width*tbl_QCOM[[#This Row],[BB_Stdev]]))</f>
        <v>109.38475747843569</v>
      </c>
      <c r="M39" s="46">
        <f>IF(ROW(tbl_QCOM[[#This Row],[Adj Close]])=5, 0, $F39-$F38)</f>
        <v>3.9700009999999963</v>
      </c>
      <c r="N39" s="46">
        <f>MAX(tbl_QCOM[[#This Row],[Move]],0)</f>
        <v>3.9700009999999963</v>
      </c>
      <c r="O39" s="46">
        <f>MAX(-tbl_QCOM[[#This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1.409999857142856</v>
      </c>
      <c r="Q39" s="46">
        <f ca="1">IF(ROW($O39)-5&lt;RSI_Periods, "", AVERAGE(INDIRECT(ADDRESS(ROW($O39)-RSI_Periods +1, MATCH("Downmove", Price_Header,0))): INDIRECT(ADDRESS(ROW($O39),MATCH("Downmove", Price_Header,0)))))</f>
        <v>0.78857099999999947</v>
      </c>
      <c r="R39" s="46">
        <f ca="1">IF(tbl_QCOM[[#This Row],[Avg_Upmove]]="", "", tbl_QCOM[[#This Row],[Avg_Upmove]]/tbl_QCOM[[#This Row],[Avg_Downmove]])</f>
        <v>1.7880442688646387</v>
      </c>
      <c r="S39" s="10">
        <f ca="1">IF(ROW($N39)-4&lt;BB_Periods, "", _xlfn.STDEV.S(INDIRECT(ADDRESS(ROW($F39)-RSI_Periods +1, MATCH("Adj Close", Price_Header,0))): INDIRECT(ADDRESS(ROW($F39),MATCH("Adj Close", Price_Header,0)))))</f>
        <v>2.1476211179250031</v>
      </c>
    </row>
    <row r="40" spans="1:19" x14ac:dyDescent="0.35">
      <c r="A40" s="8">
        <v>44103</v>
      </c>
      <c r="B40" s="10">
        <v>118.139999</v>
      </c>
      <c r="C40" s="10">
        <v>119.25</v>
      </c>
      <c r="D40" s="10">
        <v>117.199997</v>
      </c>
      <c r="E40" s="10">
        <v>117.379997</v>
      </c>
      <c r="F40" s="10">
        <v>117.379997</v>
      </c>
      <c r="G40">
        <v>5655700</v>
      </c>
      <c r="H40" s="10">
        <f>IF(tbl_QCOM[[#This Row],[Date]]=$A$5, $F40, EMA_Beta*$H39 + (1-EMA_Beta)*$F40)</f>
        <v>114.28883228019581</v>
      </c>
      <c r="I40" s="46">
        <f ca="1">IF(tbl_QCOM[[#This Row],[RS]]= "", "", 100-(100/(1+tbl_QCOM[[#This Row],[RS]])))</f>
        <v>56.08254975851554</v>
      </c>
      <c r="J40" s="10">
        <f ca="1">IF(ROW($N40)-4&lt;BB_Periods, "", AVERAGE(INDIRECT(ADDRESS(ROW($F40)-RSI_Periods +1, MATCH("Adj Close", Price_Header,0))): INDIRECT(ADDRESS(ROW($F40),MATCH("Adj Close", Price_Header,0)))))</f>
        <v>113.91999971428571</v>
      </c>
      <c r="K40" s="10">
        <f ca="1">IF(tbl_QCOM[[#This Row],[BB_Mean]]="", "", tbl_QCOM[[#This Row],[BB_Mean]]+(BB_Width*tbl_QCOM[[#This Row],[BB_Stdev]]))</f>
        <v>118.65050873942639</v>
      </c>
      <c r="L40" s="10">
        <f ca="1">IF(tbl_QCOM[[#This Row],[BB_Mean]]="", "", tbl_QCOM[[#This Row],[BB_Mean]]-(BB_Width*tbl_QCOM[[#This Row],[BB_Stdev]]))</f>
        <v>109.18949068914503</v>
      </c>
      <c r="M40" s="46">
        <f>IF(ROW(tbl_QCOM[[#This Row],[Adj Close]])=5, 0, $F40-$F39)</f>
        <v>-1.0900039999999933</v>
      </c>
      <c r="N40" s="46">
        <f>MAX(tbl_QCOM[[#This Row],[Move]],0)</f>
        <v>0</v>
      </c>
      <c r="O40" s="46">
        <f>MAX(-tbl_QCOM[[#This Row],[Move]],0)</f>
        <v>1.0900039999999933</v>
      </c>
      <c r="P40" s="46">
        <f ca="1">IF(ROW($N40)-5&lt;RSI_Periods, "", AVERAGE(INDIRECT(ADDRESS(ROW($N40)-RSI_Periods +1, MATCH("Upmove", Price_Header,0))): INDIRECT(ADDRESS(ROW($N40),MATCH("Upmove", Price_Header,0)))))</f>
        <v>1.1064284285714276</v>
      </c>
      <c r="Q40" s="46">
        <f ca="1">IF(ROW($O40)-5&lt;RSI_Periods, "", AVERAGE(INDIRECT(ADDRESS(ROW($O40)-RSI_Periods +1, MATCH("Downmove", Price_Header,0))): INDIRECT(ADDRESS(ROW($O40),MATCH("Downmove", Price_Header,0)))))</f>
        <v>0.86642842857142754</v>
      </c>
      <c r="R40" s="46">
        <f ca="1">IF(tbl_QCOM[[#This Row],[Avg_Upmove]]="", "", tbl_QCOM[[#This Row],[Avg_Upmove]]/tbl_QCOM[[#This Row],[Avg_Downmove]])</f>
        <v>1.2769992212694516</v>
      </c>
      <c r="S40" s="10">
        <f ca="1">IF(ROW($N40)-4&lt;BB_Periods, "", _xlfn.STDEV.S(INDIRECT(ADDRESS(ROW($F40)-RSI_Periods +1, MATCH("Adj Close", Price_Header,0))): INDIRECT(ADDRESS(ROW($F40),MATCH("Adj Close", Price_Header,0)))))</f>
        <v>2.3652545125703415</v>
      </c>
    </row>
    <row r="41" spans="1:19" x14ac:dyDescent="0.35">
      <c r="A41" s="8">
        <v>44104</v>
      </c>
      <c r="B41" s="10">
        <v>117.5</v>
      </c>
      <c r="C41" s="10">
        <v>119.260002</v>
      </c>
      <c r="D41" s="10">
        <v>116.91999800000001</v>
      </c>
      <c r="E41" s="10">
        <v>117.68</v>
      </c>
      <c r="F41" s="10">
        <v>117.68</v>
      </c>
      <c r="G41">
        <v>5828000</v>
      </c>
      <c r="H41" s="10">
        <f>IF(tbl_QCOM[[#This Row],[Date]]=$A$5, $F41, EMA_Beta*$H40 + (1-EMA_Beta)*$F41)</f>
        <v>114.62794905217623</v>
      </c>
      <c r="I41" s="46">
        <f ca="1">IF(tbl_QCOM[[#This Row],[RS]]= "", "", 100-(100/(1+tbl_QCOM[[#This Row],[RS]])))</f>
        <v>59.946843591975167</v>
      </c>
      <c r="J41" s="10">
        <f ca="1">IF(ROW($N41)-4&lt;BB_Periods, "", AVERAGE(INDIRECT(ADDRESS(ROW($F41)-RSI_Periods +1, MATCH("Adj Close", Price_Header,0))): INDIRECT(ADDRESS(ROW($F41),MATCH("Adj Close", Price_Header,0)))))</f>
        <v>114.29428528571428</v>
      </c>
      <c r="K41" s="10">
        <f ca="1">IF(tbl_QCOM[[#This Row],[BB_Mean]]="", "", tbl_QCOM[[#This Row],[BB_Mean]]+(BB_Width*tbl_QCOM[[#This Row],[BB_Stdev]]))</f>
        <v>119.33911597094546</v>
      </c>
      <c r="L41" s="10">
        <f ca="1">IF(tbl_QCOM[[#This Row],[BB_Mean]]="", "", tbl_QCOM[[#This Row],[BB_Mean]]-(BB_Width*tbl_QCOM[[#This Row],[BB_Stdev]]))</f>
        <v>109.24945460048311</v>
      </c>
      <c r="M41" s="46">
        <f>IF(ROW(tbl_QCOM[[#This Row],[Adj Close]])=5, 0, $F41-$F40)</f>
        <v>0.30000300000000379</v>
      </c>
      <c r="N41" s="46">
        <f>MAX(tbl_QCOM[[#This Row],[Move]],0)</f>
        <v>0.30000300000000379</v>
      </c>
      <c r="O41" s="46">
        <f>MAX(-tbl_QCOM[[#This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1.1278572142857135</v>
      </c>
      <c r="Q41" s="46">
        <f ca="1">IF(ROW($O41)-5&lt;RSI_Periods, "", AVERAGE(INDIRECT(ADDRESS(ROW($O41)-RSI_Periods +1, MATCH("Downmove", Price_Header,0))): INDIRECT(ADDRESS(ROW($O41),MATCH("Downmove", Price_Header,0)))))</f>
        <v>0.75357164285714207</v>
      </c>
      <c r="R41" s="46">
        <f ca="1">IF(tbl_QCOM[[#This Row],[Avg_Upmove]]="", "", tbl_QCOM[[#This Row],[Avg_Upmove]]/tbl_QCOM[[#This Row],[Avg_Downmove]])</f>
        <v>1.4966821336448914</v>
      </c>
      <c r="S41" s="10">
        <f ca="1">IF(ROW($N41)-4&lt;BB_Periods, "", _xlfn.STDEV.S(INDIRECT(ADDRESS(ROW($F41)-RSI_Periods +1, MATCH("Adj Close", Price_Header,0))): INDIRECT(ADDRESS(ROW($F41),MATCH("Adj Close", Price_Header,0)))))</f>
        <v>2.5224153426155898</v>
      </c>
    </row>
    <row r="42" spans="1:19" x14ac:dyDescent="0.35">
      <c r="A42" s="8">
        <v>44105</v>
      </c>
      <c r="B42" s="10">
        <v>119.93</v>
      </c>
      <c r="C42" s="10">
        <v>120.209999</v>
      </c>
      <c r="D42" s="10">
        <v>117.699997</v>
      </c>
      <c r="E42" s="10">
        <v>119.519997</v>
      </c>
      <c r="F42" s="10">
        <v>119.519997</v>
      </c>
      <c r="G42">
        <v>5316800</v>
      </c>
      <c r="H42" s="10">
        <f>IF(tbl_QCOM[[#This Row],[Date]]=$A$5, $F42, EMA_Beta*$H41 + (1-EMA_Beta)*$F42)</f>
        <v>115.11715384695862</v>
      </c>
      <c r="I42" s="46">
        <f ca="1">IF(tbl_QCOM[[#This Row],[RS]]= "", "", 100-(100/(1+tbl_QCOM[[#This Row],[RS]])))</f>
        <v>61.213231394626582</v>
      </c>
      <c r="J42" s="10">
        <f ca="1">IF(ROW($N42)-4&lt;BB_Periods, "", AVERAGE(INDIRECT(ADDRESS(ROW($F42)-RSI_Periods +1, MATCH("Adj Close", Price_Header,0))): INDIRECT(ADDRESS(ROW($F42),MATCH("Adj Close", Price_Header,0)))))</f>
        <v>114.72999949999999</v>
      </c>
      <c r="K42" s="10">
        <f ca="1">IF(tbl_QCOM[[#This Row],[BB_Mean]]="", "", tbl_QCOM[[#This Row],[BB_Mean]]+(BB_Width*tbl_QCOM[[#This Row],[BB_Stdev]]))</f>
        <v>120.45711066546137</v>
      </c>
      <c r="L42" s="10">
        <f ca="1">IF(tbl_QCOM[[#This Row],[BB_Mean]]="", "", tbl_QCOM[[#This Row],[BB_Mean]]-(BB_Width*tbl_QCOM[[#This Row],[BB_Stdev]]))</f>
        <v>109.00288833453861</v>
      </c>
      <c r="M42" s="46">
        <f>IF(ROW(tbl_QCOM[[#This Row],[Adj Close]])=5, 0, $F42-$F41)</f>
        <v>1.8399969999999968</v>
      </c>
      <c r="N42" s="46">
        <f>MAX(tbl_QCOM[[#This Row],[Move]],0)</f>
        <v>1.8399969999999968</v>
      </c>
      <c r="O42" s="46">
        <f>MAX(-tbl_QCOM[[#This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1.1892858571428562</v>
      </c>
      <c r="Q42" s="46">
        <f ca="1">IF(ROW($O42)-5&lt;RSI_Periods, "", AVERAGE(INDIRECT(ADDRESS(ROW($O42)-RSI_Periods +1, MATCH("Downmove", Price_Header,0))): INDIRECT(ADDRESS(ROW($O42),MATCH("Downmove", Price_Header,0)))))</f>
        <v>0.75357164285714207</v>
      </c>
      <c r="R42" s="46">
        <f ca="1">IF(tbl_QCOM[[#This Row],[Avg_Upmove]]="", "", tbl_QCOM[[#This Row],[Avg_Upmove]]/tbl_QCOM[[#This Row],[Avg_Downmove]])</f>
        <v>1.5781987929292536</v>
      </c>
      <c r="S42" s="10">
        <f ca="1">IF(ROW($N42)-4&lt;BB_Periods, "", _xlfn.STDEV.S(INDIRECT(ADDRESS(ROW($F42)-RSI_Periods +1, MATCH("Adj Close", Price_Header,0))): INDIRECT(ADDRESS(ROW($F42),MATCH("Adj Close", Price_Header,0)))))</f>
        <v>2.863555582730692</v>
      </c>
    </row>
    <row r="43" spans="1:19" x14ac:dyDescent="0.35">
      <c r="A43" s="8">
        <v>44106</v>
      </c>
      <c r="B43" s="10">
        <v>116.779999</v>
      </c>
      <c r="C43" s="10">
        <v>118.660004</v>
      </c>
      <c r="D43" s="10">
        <v>115.43</v>
      </c>
      <c r="E43" s="10">
        <v>115.470001</v>
      </c>
      <c r="F43" s="10">
        <v>115.470001</v>
      </c>
      <c r="G43">
        <v>5834300</v>
      </c>
      <c r="H43" s="10">
        <f>IF(tbl_QCOM[[#This Row],[Date]]=$A$5, $F43, EMA_Beta*$H42 + (1-EMA_Beta)*$F43)</f>
        <v>115.15243856226274</v>
      </c>
      <c r="I43" s="46">
        <f ca="1">IF(tbl_QCOM[[#This Row],[RS]]= "", "", 100-(100/(1+tbl_QCOM[[#This Row],[RS]])))</f>
        <v>53.220124959948734</v>
      </c>
      <c r="J43" s="10">
        <f ca="1">IF(ROW($N43)-4&lt;BB_Periods, "", AVERAGE(INDIRECT(ADDRESS(ROW($F43)-RSI_Periods +1, MATCH("Adj Close", Price_Header,0))): INDIRECT(ADDRESS(ROW($F43),MATCH("Adj Close", Price_Header,0)))))</f>
        <v>114.87357107142857</v>
      </c>
      <c r="K43" s="10">
        <f ca="1">IF(tbl_QCOM[[#This Row],[BB_Mean]]="", "", tbl_QCOM[[#This Row],[BB_Mean]]+(BB_Width*tbl_QCOM[[#This Row],[BB_Stdev]]))</f>
        <v>120.56419708226247</v>
      </c>
      <c r="L43" s="10">
        <f ca="1">IF(tbl_QCOM[[#This Row],[BB_Mean]]="", "", tbl_QCOM[[#This Row],[BB_Mean]]-(BB_Width*tbl_QCOM[[#This Row],[BB_Stdev]]))</f>
        <v>109.18294506059468</v>
      </c>
      <c r="M43" s="46">
        <f>IF(ROW(tbl_QCOM[[#This Row],[Adj Close]])=5, 0, $F43-$F42)</f>
        <v>-4.0499960000000073</v>
      </c>
      <c r="N43" s="46">
        <f>MAX(tbl_QCOM[[#This Row],[Move]],0)</f>
        <v>0</v>
      </c>
      <c r="O43" s="46">
        <f>MAX(-tbl_QCOM[[#This Row],[Move]],0)</f>
        <v>4.0499960000000073</v>
      </c>
      <c r="P43" s="46">
        <f ca="1">IF(ROW($N43)-5&lt;RSI_Periods, "", AVERAGE(INDIRECT(ADDRESS(ROW($N43)-RSI_Periods +1, MATCH("Upmove", Price_Header,0))): INDIRECT(ADDRESS(ROW($N43),MATCH("Upmove", Price_Header,0)))))</f>
        <v>1.1864286428571427</v>
      </c>
      <c r="Q43" s="46">
        <f ca="1">IF(ROW($O43)-5&lt;RSI_Periods, "", AVERAGE(INDIRECT(ADDRESS(ROW($O43)-RSI_Periods +1, MATCH("Downmove", Price_Header,0))): INDIRECT(ADDRESS(ROW($O43),MATCH("Downmove", Price_Header,0)))))</f>
        <v>1.0428570714285712</v>
      </c>
      <c r="R43" s="46">
        <f ca="1">IF(tbl_QCOM[[#This Row],[Avg_Upmove]]="", "", tbl_QCOM[[#This Row],[Avg_Upmove]]/tbl_QCOM[[#This Row],[Avg_Downmove]])</f>
        <v>1.1376713792925603</v>
      </c>
      <c r="S43" s="10">
        <f ca="1">IF(ROW($N43)-4&lt;BB_Periods, "", _xlfn.STDEV.S(INDIRECT(ADDRESS(ROW($F43)-RSI_Periods +1, MATCH("Adj Close", Price_Header,0))): INDIRECT(ADDRESS(ROW($F43),MATCH("Adj Close", Price_Header,0)))))</f>
        <v>2.8453130054169509</v>
      </c>
    </row>
    <row r="44" spans="1:19" x14ac:dyDescent="0.35">
      <c r="A44" s="8">
        <v>44109</v>
      </c>
      <c r="B44" s="10">
        <v>116.900002</v>
      </c>
      <c r="C44" s="10">
        <v>120.650002</v>
      </c>
      <c r="D44" s="10">
        <v>116.730003</v>
      </c>
      <c r="E44" s="10">
        <v>120.519997</v>
      </c>
      <c r="F44" s="10">
        <v>120.519997</v>
      </c>
      <c r="G44">
        <v>5835900</v>
      </c>
      <c r="H44" s="10">
        <f>IF(tbl_QCOM[[#This Row],[Date]]=$A$5, $F44, EMA_Beta*$H43 + (1-EMA_Beta)*$F44)</f>
        <v>115.68919440603646</v>
      </c>
      <c r="I44" s="46">
        <f ca="1">IF(tbl_QCOM[[#This Row],[RS]]= "", "", 100-(100/(1+tbl_QCOM[[#This Row],[RS]])))</f>
        <v>55.944471684106887</v>
      </c>
      <c r="J44" s="10">
        <f ca="1">IF(ROW($N44)-4&lt;BB_Periods, "", AVERAGE(INDIRECT(ADDRESS(ROW($F44)-RSI_Periods +1, MATCH("Adj Close", Price_Header,0))): INDIRECT(ADDRESS(ROW($F44),MATCH("Adj Close", Price_Header,0)))))</f>
        <v>115.15499928571431</v>
      </c>
      <c r="K44" s="10">
        <f ca="1">IF(tbl_QCOM[[#This Row],[BB_Mean]]="", "", tbl_QCOM[[#This Row],[BB_Mean]]+(BB_Width*tbl_QCOM[[#This Row],[BB_Stdev]]))</f>
        <v>121.55468371976252</v>
      </c>
      <c r="L44" s="10">
        <f ca="1">IF(tbl_QCOM[[#This Row],[BB_Mean]]="", "", tbl_QCOM[[#This Row],[BB_Mean]]-(BB_Width*tbl_QCOM[[#This Row],[BB_Stdev]]))</f>
        <v>108.7553148516661</v>
      </c>
      <c r="M44" s="46">
        <f>IF(ROW(tbl_QCOM[[#This Row],[Adj Close]])=5, 0, $F44-$F43)</f>
        <v>5.0499960000000073</v>
      </c>
      <c r="N44" s="46">
        <f>MAX(tbl_QCOM[[#This Row],[Move]],0)</f>
        <v>5.0499960000000073</v>
      </c>
      <c r="O44" s="46">
        <f>MAX(-tbl_QCOM[[#This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1.3242852857142862</v>
      </c>
      <c r="Q44" s="46">
        <f ca="1">IF(ROW($O44)-5&lt;RSI_Periods, "", AVERAGE(INDIRECT(ADDRESS(ROW($O44)-RSI_Periods +1, MATCH("Downmove", Price_Header,0))): INDIRECT(ADDRESS(ROW($O44),MATCH("Downmove", Price_Header,0)))))</f>
        <v>1.0428570714285712</v>
      </c>
      <c r="R44" s="46">
        <f ca="1">IF(tbl_QCOM[[#This Row],[Avg_Upmove]]="", "", tbl_QCOM[[#This Row],[Avg_Upmove]]/tbl_QCOM[[#This Row],[Avg_Downmove]])</f>
        <v>1.2698626897166232</v>
      </c>
      <c r="S44" s="10">
        <f ca="1">IF(ROW($N44)-4&lt;BB_Periods, "", _xlfn.STDEV.S(INDIRECT(ADDRESS(ROW($F44)-RSI_Periods +1, MATCH("Adj Close", Price_Header,0))): INDIRECT(ADDRESS(ROW($F44),MATCH("Adj Close", Price_Header,0)))))</f>
        <v>3.1998422170241079</v>
      </c>
    </row>
    <row r="45" spans="1:19" x14ac:dyDescent="0.35">
      <c r="A45" s="8">
        <v>44110</v>
      </c>
      <c r="B45" s="10">
        <v>120.449997</v>
      </c>
      <c r="C45" s="10">
        <v>122.519997</v>
      </c>
      <c r="D45" s="10">
        <v>119.099998</v>
      </c>
      <c r="E45" s="10">
        <v>119.540001</v>
      </c>
      <c r="F45" s="10">
        <v>119.540001</v>
      </c>
      <c r="G45">
        <v>7637000</v>
      </c>
      <c r="H45" s="10">
        <f>IF(tbl_QCOM[[#This Row],[Date]]=$A$5, $F45, EMA_Beta*$H44 + (1-EMA_Beta)*$F45)</f>
        <v>116.07427506543281</v>
      </c>
      <c r="I45" s="46">
        <f ca="1">IF(tbl_QCOM[[#This Row],[RS]]= "", "", 100-(100/(1+tbl_QCOM[[#This Row],[RS]])))</f>
        <v>57.757017643466199</v>
      </c>
      <c r="J45" s="10">
        <f ca="1">IF(ROW($N45)-4&lt;BB_Periods, "", AVERAGE(INDIRECT(ADDRESS(ROW($F45)-RSI_Periods +1, MATCH("Adj Close", Price_Header,0))): INDIRECT(ADDRESS(ROW($F45),MATCH("Adj Close", Price_Header,0)))))</f>
        <v>115.5107137857143</v>
      </c>
      <c r="K45" s="10">
        <f ca="1">IF(tbl_QCOM[[#This Row],[BB_Mean]]="", "", tbl_QCOM[[#This Row],[BB_Mean]]+(BB_Width*tbl_QCOM[[#This Row],[BB_Stdev]]))</f>
        <v>122.30912145011949</v>
      </c>
      <c r="L45" s="10">
        <f ca="1">IF(tbl_QCOM[[#This Row],[BB_Mean]]="", "", tbl_QCOM[[#This Row],[BB_Mean]]-(BB_Width*tbl_QCOM[[#This Row],[BB_Stdev]]))</f>
        <v>108.71230612130911</v>
      </c>
      <c r="M45" s="46">
        <f>IF(ROW(tbl_QCOM[[#This Row],[Adj Close]])=5, 0, $F45-$F44)</f>
        <v>-0.97999599999999987</v>
      </c>
      <c r="N45" s="46">
        <f>MAX(tbl_QCOM[[#This Row],[Move]],0)</f>
        <v>0</v>
      </c>
      <c r="O45" s="46">
        <f>MAX(-tbl_QCOM[[#This Row],[Move]],0)</f>
        <v>0.97999599999999987</v>
      </c>
      <c r="P45" s="46">
        <f ca="1">IF(ROW($N45)-5&lt;RSI_Periods, "", AVERAGE(INDIRECT(ADDRESS(ROW($N45)-RSI_Periods +1, MATCH("Upmove", Price_Header,0))): INDIRECT(ADDRESS(ROW($N45),MATCH("Upmove", Price_Header,0)))))</f>
        <v>1.3242852857142862</v>
      </c>
      <c r="Q45" s="46">
        <f ca="1">IF(ROW($O45)-5&lt;RSI_Periods, "", AVERAGE(INDIRECT(ADDRESS(ROW($O45)-RSI_Periods +1, MATCH("Downmove", Price_Header,0))): INDIRECT(ADDRESS(ROW($O45),MATCH("Downmove", Price_Header,0)))))</f>
        <v>0.96857078571428545</v>
      </c>
      <c r="R45" s="46">
        <f ca="1">IF(tbl_QCOM[[#This Row],[Avg_Upmove]]="", "", tbl_QCOM[[#This Row],[Avg_Upmove]]/tbl_QCOM[[#This Row],[Avg_Downmove]])</f>
        <v>1.3672571021617943</v>
      </c>
      <c r="S45" s="10">
        <f ca="1">IF(ROW($N45)-4&lt;BB_Periods, "", _xlfn.STDEV.S(INDIRECT(ADDRESS(ROW($F45)-RSI_Periods +1, MATCH("Adj Close", Price_Header,0))): INDIRECT(ADDRESS(ROW($F45),MATCH("Adj Close", Price_Header,0)))))</f>
        <v>3.3992038322025944</v>
      </c>
    </row>
    <row r="46" spans="1:19" x14ac:dyDescent="0.35">
      <c r="A46" s="8">
        <v>44111</v>
      </c>
      <c r="B46" s="10">
        <v>121.239998</v>
      </c>
      <c r="C46" s="10">
        <v>123.360001</v>
      </c>
      <c r="D46" s="10">
        <v>120.650002</v>
      </c>
      <c r="E46" s="10">
        <v>123.029999</v>
      </c>
      <c r="F46" s="10">
        <v>123.029999</v>
      </c>
      <c r="G46">
        <v>7410300</v>
      </c>
      <c r="H46" s="10">
        <f>IF(tbl_QCOM[[#This Row],[Date]]=$A$5, $F46, EMA_Beta*$H45 + (1-EMA_Beta)*$F46)</f>
        <v>116.76984745888954</v>
      </c>
      <c r="I46" s="46">
        <f ca="1">IF(tbl_QCOM[[#This Row],[RS]]= "", "", 100-(100/(1+tbl_QCOM[[#This Row],[RS]])))</f>
        <v>61.553736457606568</v>
      </c>
      <c r="J46" s="10">
        <f ca="1">IF(ROW($N46)-4&lt;BB_Periods, "", AVERAGE(INDIRECT(ADDRESS(ROW($F46)-RSI_Periods +1, MATCH("Adj Close", Price_Header,0))): INDIRECT(ADDRESS(ROW($F46),MATCH("Adj Close", Price_Header,0)))))</f>
        <v>116.0928567857143</v>
      </c>
      <c r="K46" s="10">
        <f ca="1">IF(tbl_QCOM[[#This Row],[BB_Mean]]="", "", tbl_QCOM[[#This Row],[BB_Mean]]+(BB_Width*tbl_QCOM[[#This Row],[BB_Stdev]]))</f>
        <v>123.96895513379148</v>
      </c>
      <c r="L46" s="10">
        <f ca="1">IF(tbl_QCOM[[#This Row],[BB_Mean]]="", "", tbl_QCOM[[#This Row],[BB_Mean]]-(BB_Width*tbl_QCOM[[#This Row],[BB_Stdev]]))</f>
        <v>108.21675843763713</v>
      </c>
      <c r="M46" s="46">
        <f>IF(ROW(tbl_QCOM[[#This Row],[Adj Close]])=5, 0, $F46-$F45)</f>
        <v>3.4899979999999999</v>
      </c>
      <c r="N46" s="46">
        <f>MAX(tbl_QCOM[[#This Row],[Move]],0)</f>
        <v>3.4899979999999999</v>
      </c>
      <c r="O46" s="46">
        <f>MAX(-tbl_QCOM[[#This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1.5507137857142854</v>
      </c>
      <c r="Q46" s="46">
        <f ca="1">IF(ROW($O46)-5&lt;RSI_Periods, "", AVERAGE(INDIRECT(ADDRESS(ROW($O46)-RSI_Periods +1, MATCH("Downmove", Price_Header,0))): INDIRECT(ADDRESS(ROW($O46),MATCH("Downmove", Price_Header,0)))))</f>
        <v>0.96857078571428545</v>
      </c>
      <c r="R46" s="46">
        <f ca="1">IF(tbl_QCOM[[#This Row],[Avg_Upmove]]="", "", tbl_QCOM[[#This Row],[Avg_Upmove]]/tbl_QCOM[[#This Row],[Avg_Downmove]])</f>
        <v>1.6010329947859112</v>
      </c>
      <c r="S46" s="10">
        <f ca="1">IF(ROW($N46)-4&lt;BB_Periods, "", _xlfn.STDEV.S(INDIRECT(ADDRESS(ROW($F46)-RSI_Periods +1, MATCH("Adj Close", Price_Header,0))): INDIRECT(ADDRESS(ROW($F46),MATCH("Adj Close", Price_Header,0)))))</f>
        <v>3.9380491740385919</v>
      </c>
    </row>
    <row r="47" spans="1:19" x14ac:dyDescent="0.35">
      <c r="A47" s="8">
        <v>44112</v>
      </c>
      <c r="B47" s="10">
        <v>124</v>
      </c>
      <c r="C47" s="10">
        <v>124.43</v>
      </c>
      <c r="D47" s="10">
        <v>121.839996</v>
      </c>
      <c r="E47" s="10">
        <v>122.339996</v>
      </c>
      <c r="F47" s="10">
        <v>122.339996</v>
      </c>
      <c r="G47">
        <v>4757500</v>
      </c>
      <c r="H47" s="10">
        <f>IF(tbl_QCOM[[#This Row],[Date]]=$A$5, $F47, EMA_Beta*$H46 + (1-EMA_Beta)*$F47)</f>
        <v>117.32686231300059</v>
      </c>
      <c r="I47" s="46">
        <f ca="1">IF(tbl_QCOM[[#This Row],[RS]]= "", "", 100-(100/(1+tbl_QCOM[[#This Row],[RS]])))</f>
        <v>68.334902319144419</v>
      </c>
      <c r="J47" s="10">
        <f ca="1">IF(ROW($N47)-4&lt;BB_Periods, "", AVERAGE(INDIRECT(ADDRESS(ROW($F47)-RSI_Periods +1, MATCH("Adj Close", Price_Header,0))): INDIRECT(ADDRESS(ROW($F47),MATCH("Adj Close", Price_Header,0)))))</f>
        <v>116.92499921428573</v>
      </c>
      <c r="K47" s="10">
        <f ca="1">IF(tbl_QCOM[[#This Row],[BB_Mean]]="", "", tbl_QCOM[[#This Row],[BB_Mean]]+(BB_Width*tbl_QCOM[[#This Row],[BB_Stdev]]))</f>
        <v>124.80386014504013</v>
      </c>
      <c r="L47" s="10">
        <f ca="1">IF(tbl_QCOM[[#This Row],[BB_Mean]]="", "", tbl_QCOM[[#This Row],[BB_Mean]]-(BB_Width*tbl_QCOM[[#This Row],[BB_Stdev]]))</f>
        <v>109.04613828353133</v>
      </c>
      <c r="M47" s="46">
        <f>IF(ROW(tbl_QCOM[[#This Row],[Adj Close]])=5, 0, $F47-$F46)</f>
        <v>-0.69000300000000436</v>
      </c>
      <c r="N47" s="46">
        <f>MAX(tbl_QCOM[[#This Row],[Move]],0)</f>
        <v>0</v>
      </c>
      <c r="O47" s="46">
        <f>MAX(-tbl_QCOM[[#This Row],[Move]],0)</f>
        <v>0.69000300000000436</v>
      </c>
      <c r="P47" s="46">
        <f ca="1">IF(ROW($N47)-5&lt;RSI_Periods, "", AVERAGE(INDIRECT(ADDRESS(ROW($N47)-RSI_Periods +1, MATCH("Upmove", Price_Header,0))): INDIRECT(ADDRESS(ROW($N47),MATCH("Upmove", Price_Header,0)))))</f>
        <v>1.5507137857142854</v>
      </c>
      <c r="Q47" s="46">
        <f ca="1">IF(ROW($O47)-5&lt;RSI_Periods, "", AVERAGE(INDIRECT(ADDRESS(ROW($O47)-RSI_Periods +1, MATCH("Downmove", Price_Header,0))): INDIRECT(ADDRESS(ROW($O47),MATCH("Downmove", Price_Header,0)))))</f>
        <v>0.71857135714285747</v>
      </c>
      <c r="R47" s="46">
        <f ca="1">IF(tbl_QCOM[[#This Row],[Avg_Upmove]]="", "", tbl_QCOM[[#This Row],[Avg_Upmove]]/tbl_QCOM[[#This Row],[Avg_Downmove]])</f>
        <v>2.1580512085537968</v>
      </c>
      <c r="S47" s="10">
        <f ca="1">IF(ROW($N47)-4&lt;BB_Periods, "", _xlfn.STDEV.S(INDIRECT(ADDRESS(ROW($F47)-RSI_Periods +1, MATCH("Adj Close", Price_Header,0))): INDIRECT(ADDRESS(ROW($F47),MATCH("Adj Close", Price_Header,0)))))</f>
        <v>3.9394304653772014</v>
      </c>
    </row>
    <row r="48" spans="1:19" x14ac:dyDescent="0.35">
      <c r="A48" s="8">
        <v>44113</v>
      </c>
      <c r="B48" s="10">
        <v>123.93</v>
      </c>
      <c r="C48" s="10">
        <v>125.889999</v>
      </c>
      <c r="D48" s="10">
        <v>122.790001</v>
      </c>
      <c r="E48" s="10">
        <v>124.870003</v>
      </c>
      <c r="F48" s="10">
        <v>124.870003</v>
      </c>
      <c r="G48">
        <v>11073400</v>
      </c>
      <c r="H48" s="10">
        <f>IF(tbl_QCOM[[#This Row],[Date]]=$A$5, $F48, EMA_Beta*$H47 + (1-EMA_Beta)*$F48)</f>
        <v>118.08117638170053</v>
      </c>
      <c r="I48" s="46">
        <f ca="1">IF(tbl_QCOM[[#This Row],[RS]]= "", "", 100-(100/(1+tbl_QCOM[[#This Row],[RS]])))</f>
        <v>69.579685251313691</v>
      </c>
      <c r="J48" s="10">
        <f ca="1">IF(ROW($N48)-4&lt;BB_Periods, "", AVERAGE(INDIRECT(ADDRESS(ROW($F48)-RSI_Periods +1, MATCH("Adj Close", Price_Header,0))): INDIRECT(ADDRESS(ROW($F48),MATCH("Adj Close", Price_Header,0)))))</f>
        <v>117.84999957142858</v>
      </c>
      <c r="K48" s="10">
        <f ca="1">IF(tbl_QCOM[[#This Row],[BB_Mean]]="", "", tbl_QCOM[[#This Row],[BB_Mean]]+(BB_Width*tbl_QCOM[[#This Row],[BB_Stdev]]))</f>
        <v>126.22289999417627</v>
      </c>
      <c r="L48" s="10">
        <f ca="1">IF(tbl_QCOM[[#This Row],[BB_Mean]]="", "", tbl_QCOM[[#This Row],[BB_Mean]]-(BB_Width*tbl_QCOM[[#This Row],[BB_Stdev]]))</f>
        <v>109.47709914868089</v>
      </c>
      <c r="M48" s="46">
        <f>IF(ROW(tbl_QCOM[[#This Row],[Adj Close]])=5, 0, $F48-$F47)</f>
        <v>2.5300069999999977</v>
      </c>
      <c r="N48" s="46">
        <f>MAX(tbl_QCOM[[#This Row],[Move]],0)</f>
        <v>2.5300069999999977</v>
      </c>
      <c r="O48" s="46">
        <f>MAX(-tbl_QCOM[[#This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1.643571714285714</v>
      </c>
      <c r="Q48" s="46">
        <f ca="1">IF(ROW($O48)-5&lt;RSI_Periods, "", AVERAGE(INDIRECT(ADDRESS(ROW($O48)-RSI_Periods +1, MATCH("Downmove", Price_Header,0))): INDIRECT(ADDRESS(ROW($O48),MATCH("Downmove", Price_Header,0)))))</f>
        <v>0.71857135714285747</v>
      </c>
      <c r="R48" s="46">
        <f ca="1">IF(tbl_QCOM[[#This Row],[Avg_Upmove]]="", "", tbl_QCOM[[#This Row],[Avg_Upmove]]/tbl_QCOM[[#This Row],[Avg_Downmove]])</f>
        <v>2.2872769669261386</v>
      </c>
      <c r="S48" s="10">
        <f ca="1">IF(ROW($N48)-4&lt;BB_Periods, "", _xlfn.STDEV.S(INDIRECT(ADDRESS(ROW($F48)-RSI_Periods +1, MATCH("Adj Close", Price_Header,0))): INDIRECT(ADDRESS(ROW($F48),MATCH("Adj Close", Price_Header,0)))))</f>
        <v>4.1864502113738453</v>
      </c>
    </row>
    <row r="49" spans="1:19" x14ac:dyDescent="0.35">
      <c r="A49" s="8">
        <v>44116</v>
      </c>
      <c r="B49" s="10">
        <v>127.699997</v>
      </c>
      <c r="C49" s="10">
        <v>127.699997</v>
      </c>
      <c r="D49" s="10">
        <v>124.949997</v>
      </c>
      <c r="E49" s="10">
        <v>126.69000200000001</v>
      </c>
      <c r="F49" s="10">
        <v>126.69000200000001</v>
      </c>
      <c r="G49">
        <v>7893800</v>
      </c>
      <c r="H49" s="10">
        <f>IF(tbl_QCOM[[#This Row],[Date]]=$A$5, $F49, EMA_Beta*$H48 + (1-EMA_Beta)*$F49)</f>
        <v>118.94205894353048</v>
      </c>
      <c r="I49" s="46">
        <f ca="1">IF(tbl_QCOM[[#This Row],[RS]]= "", "", 100-(100/(1+tbl_QCOM[[#This Row],[RS]])))</f>
        <v>69.505913913307069</v>
      </c>
      <c r="J49" s="10">
        <f ca="1">IF(ROW($N49)-4&lt;BB_Periods, "", AVERAGE(INDIRECT(ADDRESS(ROW($F49)-RSI_Periods +1, MATCH("Adj Close", Price_Header,0))): INDIRECT(ADDRESS(ROW($F49),MATCH("Adj Close", Price_Header,0)))))</f>
        <v>118.76928542857145</v>
      </c>
      <c r="K49" s="10">
        <f ca="1">IF(tbl_QCOM[[#This Row],[BB_Mean]]="", "", tbl_QCOM[[#This Row],[BB_Mean]]+(BB_Width*tbl_QCOM[[#This Row],[BB_Stdev]]))</f>
        <v>128.01659331808912</v>
      </c>
      <c r="L49" s="10">
        <f ca="1">IF(tbl_QCOM[[#This Row],[BB_Mean]]="", "", tbl_QCOM[[#This Row],[BB_Mean]]-(BB_Width*tbl_QCOM[[#This Row],[BB_Stdev]]))</f>
        <v>109.52197753905378</v>
      </c>
      <c r="M49" s="46">
        <f>IF(ROW(tbl_QCOM[[#This Row],[Adj Close]])=5, 0, $F49-$F48)</f>
        <v>1.8199990000000099</v>
      </c>
      <c r="N49" s="46">
        <f>MAX(tbl_QCOM[[#This Row],[Move]],0)</f>
        <v>1.8199990000000099</v>
      </c>
      <c r="O49" s="46">
        <f>MAX(-tbl_QCOM[[#This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1.6378572142857155</v>
      </c>
      <c r="Q49" s="46">
        <f ca="1">IF(ROW($O49)-5&lt;RSI_Periods, "", AVERAGE(INDIRECT(ADDRESS(ROW($O49)-RSI_Periods +1, MATCH("Downmove", Price_Header,0))): INDIRECT(ADDRESS(ROW($O49),MATCH("Downmove", Price_Header,0)))))</f>
        <v>0.71857135714285747</v>
      </c>
      <c r="R49" s="46">
        <f ca="1">IF(tbl_QCOM[[#This Row],[Avg_Upmove]]="", "", tbl_QCOM[[#This Row],[Avg_Upmove]]/tbl_QCOM[[#This Row],[Avg_Downmove]])</f>
        <v>2.2793243816425832</v>
      </c>
      <c r="S49" s="10">
        <f ca="1">IF(ROW($N49)-4&lt;BB_Periods, "", _xlfn.STDEV.S(INDIRECT(ADDRESS(ROW($F49)-RSI_Periods +1, MATCH("Adj Close", Price_Header,0))): INDIRECT(ADDRESS(ROW($F49),MATCH("Adj Close", Price_Header,0)))))</f>
        <v>4.6236539447588383</v>
      </c>
    </row>
    <row r="50" spans="1:19" x14ac:dyDescent="0.35">
      <c r="A50" s="8">
        <v>44117</v>
      </c>
      <c r="B50" s="10">
        <v>127.470001</v>
      </c>
      <c r="C50" s="10">
        <v>128.179993</v>
      </c>
      <c r="D50" s="10">
        <v>125.400002</v>
      </c>
      <c r="E50" s="10">
        <v>127.459999</v>
      </c>
      <c r="F50" s="10">
        <v>127.459999</v>
      </c>
      <c r="G50">
        <v>7605700</v>
      </c>
      <c r="H50" s="10">
        <f>IF(tbl_QCOM[[#This Row],[Date]]=$A$5, $F50, EMA_Beta*$H49 + (1-EMA_Beta)*$F50)</f>
        <v>119.79385294917743</v>
      </c>
      <c r="I50" s="46">
        <f ca="1">IF(tbl_QCOM[[#This Row],[RS]]= "", "", 100-(100/(1+tbl_QCOM[[#This Row],[RS]])))</f>
        <v>77.679450443734879</v>
      </c>
      <c r="J50" s="10">
        <f ca="1">IF(ROW($N50)-4&lt;BB_Periods, "", AVERAGE(INDIRECT(ADDRESS(ROW($F50)-RSI_Periods +1, MATCH("Adj Close", Price_Header,0))): INDIRECT(ADDRESS(ROW($F50),MATCH("Adj Close", Price_Header,0)))))</f>
        <v>119.97571392857142</v>
      </c>
      <c r="K50" s="10">
        <f ca="1">IF(tbl_QCOM[[#This Row],[BB_Mean]]="", "", tbl_QCOM[[#This Row],[BB_Mean]]+(BB_Width*tbl_QCOM[[#This Row],[BB_Stdev]]))</f>
        <v>129.01987787929079</v>
      </c>
      <c r="L50" s="10">
        <f ca="1">IF(tbl_QCOM[[#This Row],[BB_Mean]]="", "", tbl_QCOM[[#This Row],[BB_Mean]]-(BB_Width*tbl_QCOM[[#This Row],[BB_Stdev]]))</f>
        <v>110.93154997785204</v>
      </c>
      <c r="M50" s="46">
        <f>IF(ROW(tbl_QCOM[[#This Row],[Adj Close]])=5, 0, $F50-$F49)</f>
        <v>0.76999699999998938</v>
      </c>
      <c r="N50" s="46">
        <f>MAX(tbl_QCOM[[#This Row],[Move]],0)</f>
        <v>0.76999699999998938</v>
      </c>
      <c r="O50" s="46">
        <f>MAX(-tbl_QCOM[[#This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1.6928570000000005</v>
      </c>
      <c r="Q50" s="46">
        <f ca="1">IF(ROW($O50)-5&lt;RSI_Periods, "", AVERAGE(INDIRECT(ADDRESS(ROW($O50)-RSI_Periods +1, MATCH("Downmove", Price_Header,0))): INDIRECT(ADDRESS(ROW($O50),MATCH("Downmove", Price_Header,0)))))</f>
        <v>0.48642850000000032</v>
      </c>
      <c r="R50" s="46">
        <f ca="1">IF(tbl_QCOM[[#This Row],[Avg_Upmove]]="", "", tbl_QCOM[[#This Row],[Avg_Upmove]]/tbl_QCOM[[#This Row],[Avg_Downmove]])</f>
        <v>3.48017642880711</v>
      </c>
      <c r="S50" s="10">
        <f ca="1">IF(ROW($N50)-4&lt;BB_Periods, "", _xlfn.STDEV.S(INDIRECT(ADDRESS(ROW($F50)-RSI_Periods +1, MATCH("Adj Close", Price_Header,0))): INDIRECT(ADDRESS(ROW($F50),MATCH("Adj Close", Price_Header,0)))))</f>
        <v>4.522081975359689</v>
      </c>
    </row>
    <row r="51" spans="1:19" x14ac:dyDescent="0.35">
      <c r="A51" s="8">
        <v>44118</v>
      </c>
      <c r="B51" s="10">
        <v>129.08000200000001</v>
      </c>
      <c r="C51" s="10">
        <v>132.41999799999999</v>
      </c>
      <c r="D51" s="10">
        <v>128.929993</v>
      </c>
      <c r="E51" s="10">
        <v>129.88000500000001</v>
      </c>
      <c r="F51" s="10">
        <v>129.88000500000001</v>
      </c>
      <c r="G51">
        <v>13183600</v>
      </c>
      <c r="H51" s="10">
        <f>IF(tbl_QCOM[[#This Row],[Date]]=$A$5, $F51, EMA_Beta*$H50 + (1-EMA_Beta)*$F51)</f>
        <v>120.80246815425969</v>
      </c>
      <c r="I51" s="46">
        <f ca="1">IF(tbl_QCOM[[#This Row],[RS]]= "", "", 100-(100/(1+tbl_QCOM[[#This Row],[RS]])))</f>
        <v>78.249764348458498</v>
      </c>
      <c r="J51" s="10">
        <f ca="1">IF(ROW($N51)-4&lt;BB_Periods, "", AVERAGE(INDIRECT(ADDRESS(ROW($F51)-RSI_Periods +1, MATCH("Adj Close", Price_Header,0))): INDIRECT(ADDRESS(ROW($F51),MATCH("Adj Close", Price_Header,0)))))</f>
        <v>121.23928557142857</v>
      </c>
      <c r="K51" s="10">
        <f ca="1">IF(tbl_QCOM[[#This Row],[BB_Mean]]="", "", tbl_QCOM[[#This Row],[BB_Mean]]+(BB_Width*tbl_QCOM[[#This Row],[BB_Stdev]]))</f>
        <v>130.53717640478629</v>
      </c>
      <c r="L51" s="10">
        <f ca="1">IF(tbl_QCOM[[#This Row],[BB_Mean]]="", "", tbl_QCOM[[#This Row],[BB_Mean]]-(BB_Width*tbl_QCOM[[#This Row],[BB_Stdev]]))</f>
        <v>111.94139473807085</v>
      </c>
      <c r="M51" s="46">
        <f>IF(ROW(tbl_QCOM[[#This Row],[Adj Close]])=5, 0, $F51-$F50)</f>
        <v>2.420006000000015</v>
      </c>
      <c r="N51" s="46">
        <f>MAX(tbl_QCOM[[#This Row],[Move]],0)</f>
        <v>2.420006000000015</v>
      </c>
      <c r="O51" s="46">
        <f>MAX(-tbl_QCOM[[#This Row],[Move]],0)</f>
        <v>0</v>
      </c>
      <c r="P51" s="46">
        <f ca="1">IF(ROW($N51)-5&lt;RSI_Periods, "", AVERAGE(INDIRECT(ADDRESS(ROW($N51)-RSI_Periods +1, MATCH("Upmove", Price_Header,0))): INDIRECT(ADDRESS(ROW($N51),MATCH("Upmove", Price_Header,0)))))</f>
        <v>1.7500001428571434</v>
      </c>
      <c r="Q51" s="46">
        <f ca="1">IF(ROW($O51)-5&lt;RSI_Periods, "", AVERAGE(INDIRECT(ADDRESS(ROW($O51)-RSI_Periods +1, MATCH("Downmove", Price_Header,0))): INDIRECT(ADDRESS(ROW($O51),MATCH("Downmove", Price_Header,0)))))</f>
        <v>0.48642850000000032</v>
      </c>
      <c r="R51" s="46">
        <f ca="1">IF(tbl_QCOM[[#This Row],[Avg_Upmove]]="", "", tbl_QCOM[[#This Row],[Avg_Upmove]]/tbl_QCOM[[#This Row],[Avg_Downmove]])</f>
        <v>3.5976513359253053</v>
      </c>
      <c r="S51" s="10">
        <f ca="1">IF(ROW($N51)-4&lt;BB_Periods, "", _xlfn.STDEV.S(INDIRECT(ADDRESS(ROW($F51)-RSI_Periods +1, MATCH("Adj Close", Price_Header,0))): INDIRECT(ADDRESS(ROW($F51),MATCH("Adj Close", Price_Header,0)))))</f>
        <v>4.648945416678858</v>
      </c>
    </row>
    <row r="52" spans="1:19" x14ac:dyDescent="0.35">
      <c r="A52" s="8">
        <v>44119</v>
      </c>
      <c r="B52" s="10">
        <v>127.300003</v>
      </c>
      <c r="C52" s="10">
        <v>129.13999899999999</v>
      </c>
      <c r="D52" s="10">
        <v>126.650002</v>
      </c>
      <c r="E52" s="10">
        <v>128.58000200000001</v>
      </c>
      <c r="F52" s="10">
        <v>128.58000200000001</v>
      </c>
      <c r="G52">
        <v>7376600</v>
      </c>
      <c r="H52" s="10">
        <f>IF(tbl_QCOM[[#This Row],[Date]]=$A$5, $F52, EMA_Beta*$H51 + (1-EMA_Beta)*$F52)</f>
        <v>121.58022153883371</v>
      </c>
      <c r="I52" s="46">
        <f ca="1">IF(tbl_QCOM[[#This Row],[RS]]= "", "", 100-(100/(1+tbl_QCOM[[#This Row],[RS]])))</f>
        <v>73.234322131817393</v>
      </c>
      <c r="J52" s="10">
        <f ca="1">IF(ROW($N52)-4&lt;BB_Periods, "", AVERAGE(INDIRECT(ADDRESS(ROW($F52)-RSI_Periods +1, MATCH("Adj Close", Price_Header,0))): INDIRECT(ADDRESS(ROW($F52),MATCH("Adj Close", Price_Header,0)))))</f>
        <v>122.24499999999999</v>
      </c>
      <c r="K52" s="10">
        <f ca="1">IF(tbl_QCOM[[#This Row],[BB_Mean]]="", "", tbl_QCOM[[#This Row],[BB_Mean]]+(BB_Width*tbl_QCOM[[#This Row],[BB_Stdev]]))</f>
        <v>131.44822187464118</v>
      </c>
      <c r="L52" s="10">
        <f ca="1">IF(tbl_QCOM[[#This Row],[BB_Mean]]="", "", tbl_QCOM[[#This Row],[BB_Mean]]-(BB_Width*tbl_QCOM[[#This Row],[BB_Stdev]]))</f>
        <v>113.0417781253588</v>
      </c>
      <c r="M52" s="46">
        <f>IF(ROW(tbl_QCOM[[#This Row],[Adj Close]])=5, 0, $F52-$F51)</f>
        <v>-1.3000030000000038</v>
      </c>
      <c r="N52" s="46">
        <f>MAX(tbl_QCOM[[#This Row],[Move]],0)</f>
        <v>0</v>
      </c>
      <c r="O52" s="46">
        <f>MAX(-tbl_QCOM[[#This Row],[Move]],0)</f>
        <v>1.3000030000000038</v>
      </c>
      <c r="P52" s="46">
        <f ca="1">IF(ROW($N52)-5&lt;RSI_Periods, "", AVERAGE(INDIRECT(ADDRESS(ROW($N52)-RSI_Periods +1, MATCH("Upmove", Price_Header,0))): INDIRECT(ADDRESS(ROW($N52),MATCH("Upmove", Price_Header,0)))))</f>
        <v>1.5850002857142869</v>
      </c>
      <c r="Q52" s="46">
        <f ca="1">IF(ROW($O52)-5&lt;RSI_Periods, "", AVERAGE(INDIRECT(ADDRESS(ROW($O52)-RSI_Periods +1, MATCH("Downmove", Price_Header,0))): INDIRECT(ADDRESS(ROW($O52),MATCH("Downmove", Price_Header,0)))))</f>
        <v>0.57928585714285774</v>
      </c>
      <c r="R52" s="46">
        <f ca="1">IF(tbl_QCOM[[#This Row],[Avg_Upmove]]="", "", tbl_QCOM[[#This Row],[Avg_Upmove]]/tbl_QCOM[[#This Row],[Avg_Downmove]])</f>
        <v>2.7361280552088636</v>
      </c>
      <c r="S52" s="10">
        <f ca="1">IF(ROW($N52)-4&lt;BB_Periods, "", _xlfn.STDEV.S(INDIRECT(ADDRESS(ROW($F52)-RSI_Periods +1, MATCH("Adj Close", Price_Header,0))): INDIRECT(ADDRESS(ROW($F52),MATCH("Adj Close", Price_Header,0)))))</f>
        <v>4.60161093732059</v>
      </c>
    </row>
    <row r="53" spans="1:19" x14ac:dyDescent="0.35">
      <c r="A53" s="8">
        <v>44120</v>
      </c>
      <c r="B53" s="10">
        <v>129.699997</v>
      </c>
      <c r="C53" s="10">
        <v>130.19000199999999</v>
      </c>
      <c r="D53" s="10">
        <v>127.739998</v>
      </c>
      <c r="E53" s="10">
        <v>129.029999</v>
      </c>
      <c r="F53" s="10">
        <v>129.029999</v>
      </c>
      <c r="G53">
        <v>6625400</v>
      </c>
      <c r="H53" s="10">
        <f>IF(tbl_QCOM[[#This Row],[Date]]=$A$5, $F53, EMA_Beta*$H52 + (1-EMA_Beta)*$F53)</f>
        <v>122.32519928495034</v>
      </c>
      <c r="I53" s="46">
        <f ca="1">IF(tbl_QCOM[[#This Row],[RS]]= "", "", 100-(100/(1+tbl_QCOM[[#This Row],[RS]])))</f>
        <v>69.716200917386033</v>
      </c>
      <c r="J53" s="10">
        <f ca="1">IF(ROW($N53)-4&lt;BB_Periods, "", AVERAGE(INDIRECT(ADDRESS(ROW($F53)-RSI_Periods +1, MATCH("Adj Close", Price_Header,0))): INDIRECT(ADDRESS(ROW($F53),MATCH("Adj Close", Price_Header,0)))))</f>
        <v>122.99928557142857</v>
      </c>
      <c r="K53" s="10">
        <f ca="1">IF(tbl_QCOM[[#This Row],[BB_Mean]]="", "", tbl_QCOM[[#This Row],[BB_Mean]]+(BB_Width*tbl_QCOM[[#This Row],[BB_Stdev]]))</f>
        <v>132.59244085077509</v>
      </c>
      <c r="L53" s="10">
        <f ca="1">IF(tbl_QCOM[[#This Row],[BB_Mean]]="", "", tbl_QCOM[[#This Row],[BB_Mean]]-(BB_Width*tbl_QCOM[[#This Row],[BB_Stdev]]))</f>
        <v>113.40613029208205</v>
      </c>
      <c r="M53" s="46">
        <f>IF(ROW(tbl_QCOM[[#This Row],[Adj Close]])=5, 0, $F53-$F52)</f>
        <v>0.44999699999999621</v>
      </c>
      <c r="N53" s="46">
        <f>MAX(tbl_QCOM[[#This Row],[Move]],0)</f>
        <v>0.44999699999999621</v>
      </c>
      <c r="O53" s="46">
        <f>MAX(-tbl_QCOM[[#This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1.3335714285714297</v>
      </c>
      <c r="Q53" s="46">
        <f ca="1">IF(ROW($O53)-5&lt;RSI_Periods, "", AVERAGE(INDIRECT(ADDRESS(ROW($O53)-RSI_Periods +1, MATCH("Downmove", Price_Header,0))): INDIRECT(ADDRESS(ROW($O53),MATCH("Downmove", Price_Header,0)))))</f>
        <v>0.57928585714285774</v>
      </c>
      <c r="R53" s="46">
        <f ca="1">IF(tbl_QCOM[[#This Row],[Avg_Upmove]]="", "", tbl_QCOM[[#This Row],[Avg_Upmove]]/tbl_QCOM[[#This Row],[Avg_Downmove]])</f>
        <v>2.3020956098407863</v>
      </c>
      <c r="S53" s="10">
        <f ca="1">IF(ROW($N53)-4&lt;BB_Periods, "", _xlfn.STDEV.S(INDIRECT(ADDRESS(ROW($F53)-RSI_Periods +1, MATCH("Adj Close", Price_Header,0))): INDIRECT(ADDRESS(ROW($F53),MATCH("Adj Close", Price_Header,0)))))</f>
        <v>4.7965776396732611</v>
      </c>
    </row>
    <row r="54" spans="1:19" x14ac:dyDescent="0.35">
      <c r="A54" s="8">
        <v>44123</v>
      </c>
      <c r="B54" s="10">
        <v>130.13000500000001</v>
      </c>
      <c r="C54" s="10">
        <v>131.96000699999999</v>
      </c>
      <c r="D54" s="10">
        <v>127.699997</v>
      </c>
      <c r="E54" s="10">
        <v>128.41999799999999</v>
      </c>
      <c r="F54" s="10">
        <v>128.41999799999999</v>
      </c>
      <c r="G54">
        <v>5765800</v>
      </c>
      <c r="H54" s="10">
        <f>IF(tbl_QCOM[[#This Row],[Date]]=$A$5, $F54, EMA_Beta*$H53 + (1-EMA_Beta)*$F54)</f>
        <v>122.9346791564553</v>
      </c>
      <c r="I54" s="46">
        <f ca="1">IF(tbl_QCOM[[#This Row],[RS]]= "", "", 100-(100/(1+tbl_QCOM[[#This Row],[RS]])))</f>
        <v>70.988595855079637</v>
      </c>
      <c r="J54" s="10">
        <f ca="1">IF(ROW($N54)-4&lt;BB_Periods, "", AVERAGE(INDIRECT(ADDRESS(ROW($F54)-RSI_Periods +1, MATCH("Adj Close", Price_Header,0))): INDIRECT(ADDRESS(ROW($F54),MATCH("Adj Close", Price_Header,0)))))</f>
        <v>123.78785707142856</v>
      </c>
      <c r="K54" s="10">
        <f ca="1">IF(tbl_QCOM[[#This Row],[BB_Mean]]="", "", tbl_QCOM[[#This Row],[BB_Mean]]+(BB_Width*tbl_QCOM[[#This Row],[BB_Stdev]]))</f>
        <v>133.20461677429688</v>
      </c>
      <c r="L54" s="10">
        <f ca="1">IF(tbl_QCOM[[#This Row],[BB_Mean]]="", "", tbl_QCOM[[#This Row],[BB_Mean]]-(BB_Width*tbl_QCOM[[#This Row],[BB_Stdev]]))</f>
        <v>114.37109736856024</v>
      </c>
      <c r="M54" s="46">
        <f>IF(ROW(tbl_QCOM[[#This Row],[Adj Close]])=5, 0, $F54-$F53)</f>
        <v>-0.61000100000001112</v>
      </c>
      <c r="N54" s="46">
        <f>MAX(tbl_QCOM[[#This Row],[Move]],0)</f>
        <v>0</v>
      </c>
      <c r="O54" s="46">
        <f>MAX(-tbl_QCOM[[#This Row],[Move]],0)</f>
        <v>0.61000100000001112</v>
      </c>
      <c r="P54" s="46">
        <f ca="1">IF(ROW($N54)-5&lt;RSI_Periods, "", AVERAGE(INDIRECT(ADDRESS(ROW($N54)-RSI_Periods +1, MATCH("Upmove", Price_Header,0))): INDIRECT(ADDRESS(ROW($N54),MATCH("Upmove", Price_Header,0)))))</f>
        <v>1.3335714285714297</v>
      </c>
      <c r="Q54" s="46">
        <f ca="1">IF(ROW($O54)-5&lt;RSI_Periods, "", AVERAGE(INDIRECT(ADDRESS(ROW($O54)-RSI_Periods +1, MATCH("Downmove", Price_Header,0))): INDIRECT(ADDRESS(ROW($O54),MATCH("Downmove", Price_Header,0)))))</f>
        <v>0.54499992857143043</v>
      </c>
      <c r="R54" s="46">
        <f ca="1">IF(tbl_QCOM[[#This Row],[Avg_Upmove]]="", "", tbl_QCOM[[#This Row],[Avg_Upmove]]/tbl_QCOM[[#This Row],[Avg_Downmove]])</f>
        <v>2.4469203731219302</v>
      </c>
      <c r="S54" s="10">
        <f ca="1">IF(ROW($N54)-4&lt;BB_Periods, "", _xlfn.STDEV.S(INDIRECT(ADDRESS(ROW($F54)-RSI_Periods +1, MATCH("Adj Close", Price_Header,0))): INDIRECT(ADDRESS(ROW($F54),MATCH("Adj Close", Price_Header,0)))))</f>
        <v>4.7083798514341595</v>
      </c>
    </row>
    <row r="55" spans="1:19" x14ac:dyDescent="0.35">
      <c r="A55" s="8">
        <v>44124</v>
      </c>
      <c r="B55" s="10">
        <v>129.18</v>
      </c>
      <c r="C55" s="10">
        <v>129.33000000000001</v>
      </c>
      <c r="D55" s="10">
        <v>127.51</v>
      </c>
      <c r="E55" s="10">
        <v>128.30000000000001</v>
      </c>
      <c r="F55" s="10">
        <v>128.30000000000001</v>
      </c>
      <c r="G55">
        <v>4409800</v>
      </c>
      <c r="H55" s="10">
        <f>IF(tbl_QCOM[[#This Row],[Date]]=$A$5, $F55, EMA_Beta*$H54 + (1-EMA_Beta)*$F55)</f>
        <v>123.47121124080978</v>
      </c>
      <c r="I55" s="46">
        <f ca="1">IF(tbl_QCOM[[#This Row],[RS]]= "", "", 100-(100/(1+tbl_QCOM[[#This Row],[RS]])))</f>
        <v>70.329254286964982</v>
      </c>
      <c r="J55" s="10">
        <f ca="1">IF(ROW($N55)-4&lt;BB_Periods, "", AVERAGE(INDIRECT(ADDRESS(ROW($F55)-RSI_Periods +1, MATCH("Adj Close", Price_Header,0))): INDIRECT(ADDRESS(ROW($F55),MATCH("Adj Close", Price_Header,0)))))</f>
        <v>124.54642850000002</v>
      </c>
      <c r="K55" s="10">
        <f ca="1">IF(tbl_QCOM[[#This Row],[BB_Mean]]="", "", tbl_QCOM[[#This Row],[BB_Mean]]+(BB_Width*tbl_QCOM[[#This Row],[BB_Stdev]]))</f>
        <v>133.54544413781821</v>
      </c>
      <c r="L55" s="10">
        <f ca="1">IF(tbl_QCOM[[#This Row],[BB_Mean]]="", "", tbl_QCOM[[#This Row],[BB_Mean]]-(BB_Width*tbl_QCOM[[#This Row],[BB_Stdev]]))</f>
        <v>115.54741286218182</v>
      </c>
      <c r="M55" s="46">
        <f>IF(ROW(tbl_QCOM[[#This Row],[Adj Close]])=5, 0, $F55-$F54)</f>
        <v>-0.11999799999998118</v>
      </c>
      <c r="N55" s="46">
        <f>MAX(tbl_QCOM[[#This Row],[Move]],0)</f>
        <v>0</v>
      </c>
      <c r="O55" s="46">
        <f>MAX(-tbl_QCOM[[#This Row],[Move]],0)</f>
        <v>0.11999799999998118</v>
      </c>
      <c r="P55" s="46">
        <f ca="1">IF(ROW($N55)-5&lt;RSI_Periods, "", AVERAGE(INDIRECT(ADDRESS(ROW($N55)-RSI_Periods +1, MATCH("Upmove", Price_Header,0))): INDIRECT(ADDRESS(ROW($N55),MATCH("Upmove", Price_Header,0)))))</f>
        <v>1.3121426428571437</v>
      </c>
      <c r="Q55" s="46">
        <f ca="1">IF(ROW($O55)-5&lt;RSI_Periods, "", AVERAGE(INDIRECT(ADDRESS(ROW($O55)-RSI_Periods +1, MATCH("Downmove", Price_Header,0))): INDIRECT(ADDRESS(ROW($O55),MATCH("Downmove", Price_Header,0)))))</f>
        <v>0.55357121428571487</v>
      </c>
      <c r="R55" s="46">
        <f ca="1">IF(tbl_QCOM[[#This Row],[Avg_Upmove]]="", "", tbl_QCOM[[#This Row],[Avg_Upmove]]/tbl_QCOM[[#This Row],[Avg_Downmove]])</f>
        <v>2.3703231110928162</v>
      </c>
      <c r="S55" s="10">
        <f ca="1">IF(ROW($N55)-4&lt;BB_Periods, "", _xlfn.STDEV.S(INDIRECT(ADDRESS(ROW($F55)-RSI_Periods +1, MATCH("Adj Close", Price_Header,0))): INDIRECT(ADDRESS(ROW($F55),MATCH("Adj Close", Price_Header,0)))))</f>
        <v>4.4995078189091009</v>
      </c>
    </row>
    <row r="56" spans="1:19" x14ac:dyDescent="0.35">
      <c r="A56" s="8">
        <v>44125</v>
      </c>
      <c r="B56" s="10">
        <v>128.04</v>
      </c>
      <c r="C56" s="10">
        <v>130.41999999999999</v>
      </c>
      <c r="D56" s="10">
        <v>126.37</v>
      </c>
      <c r="E56" s="10">
        <v>128.55000000000001</v>
      </c>
      <c r="F56" s="10">
        <v>128.55000000000001</v>
      </c>
      <c r="G56">
        <v>4344000</v>
      </c>
      <c r="H56" s="10">
        <f>IF(tbl_QCOM[[#This Row],[Date]]=$A$5, $F56, EMA_Beta*$H55 + (1-EMA_Beta)*$F56)</f>
        <v>123.97909011672881</v>
      </c>
      <c r="I56" s="46">
        <f ca="1">IF(tbl_QCOM[[#This Row],[RS]]= "", "", 100-(100/(1+tbl_QCOM[[#This Row],[RS]])))</f>
        <v>68.406041794460876</v>
      </c>
      <c r="J56" s="10">
        <f ca="1">IF(ROW($N56)-4&lt;BB_Periods, "", AVERAGE(INDIRECT(ADDRESS(ROW($F56)-RSI_Periods +1, MATCH("Adj Close", Price_Header,0))): INDIRECT(ADDRESS(ROW($F56),MATCH("Adj Close", Price_Header,0)))))</f>
        <v>125.19142871428573</v>
      </c>
      <c r="K56" s="10">
        <f ca="1">IF(tbl_QCOM[[#This Row],[BB_Mean]]="", "", tbl_QCOM[[#This Row],[BB_Mean]]+(BB_Width*tbl_QCOM[[#This Row],[BB_Stdev]]))</f>
        <v>133.92917415880459</v>
      </c>
      <c r="L56" s="10">
        <f ca="1">IF(tbl_QCOM[[#This Row],[BB_Mean]]="", "", tbl_QCOM[[#This Row],[BB_Mean]]-(BB_Width*tbl_QCOM[[#This Row],[BB_Stdev]]))</f>
        <v>116.45368326976687</v>
      </c>
      <c r="M56" s="46">
        <f>IF(ROW(tbl_QCOM[[#This Row],[Adj Close]])=5, 0, $F56-$F55)</f>
        <v>0.25</v>
      </c>
      <c r="N56" s="46">
        <f>MAX(tbl_QCOM[[#This Row],[Move]],0)</f>
        <v>0.25</v>
      </c>
      <c r="O56" s="46">
        <f>MAX(-tbl_QCOM[[#This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1.1985714285714297</v>
      </c>
      <c r="Q56" s="46">
        <f ca="1">IF(ROW($O56)-5&lt;RSI_Periods, "", AVERAGE(INDIRECT(ADDRESS(ROW($O56)-RSI_Periods +1, MATCH("Downmove", Price_Header,0))): INDIRECT(ADDRESS(ROW($O56),MATCH("Downmove", Price_Header,0)))))</f>
        <v>0.55357121428571487</v>
      </c>
      <c r="R56" s="46">
        <f ca="1">IF(tbl_QCOM[[#This Row],[Avg_Upmove]]="", "", tbl_QCOM[[#This Row],[Avg_Upmove]]/tbl_QCOM[[#This Row],[Avg_Downmove]])</f>
        <v>2.1651621284498561</v>
      </c>
      <c r="S56" s="10">
        <f ca="1">IF(ROW($N56)-4&lt;BB_Periods, "", _xlfn.STDEV.S(INDIRECT(ADDRESS(ROW($F56)-RSI_Periods +1, MATCH("Adj Close", Price_Header,0))): INDIRECT(ADDRESS(ROW($F56),MATCH("Adj Close", Price_Header,0)))))</f>
        <v>4.3688727222594324</v>
      </c>
    </row>
    <row r="57" spans="1:19" x14ac:dyDescent="0.35">
      <c r="A57" s="8">
        <v>44126</v>
      </c>
      <c r="B57" s="10">
        <v>129.51</v>
      </c>
      <c r="C57" s="10">
        <v>129.59</v>
      </c>
      <c r="D57" s="10">
        <v>126.86</v>
      </c>
      <c r="E57" s="10">
        <v>128.38</v>
      </c>
      <c r="F57" s="10">
        <v>128.38</v>
      </c>
      <c r="G57">
        <v>3895100</v>
      </c>
      <c r="H57" s="10">
        <f>IF(tbl_QCOM[[#This Row],[Date]]=$A$5, $F57, EMA_Beta*$H56 + (1-EMA_Beta)*$F57)</f>
        <v>124.41918110505593</v>
      </c>
      <c r="I57" s="46">
        <f ca="1">IF(tbl_QCOM[[#This Row],[RS]]= "", "", 100-(100/(1+tbl_QCOM[[#This Row],[RS]])))</f>
        <v>81.259075968083437</v>
      </c>
      <c r="J57" s="10">
        <f ca="1">IF(ROW($N57)-4&lt;BB_Periods, "", AVERAGE(INDIRECT(ADDRESS(ROW($F57)-RSI_Periods +1, MATCH("Adj Close", Price_Header,0))): INDIRECT(ADDRESS(ROW($F57),MATCH("Adj Close", Price_Header,0)))))</f>
        <v>126.11357150000001</v>
      </c>
      <c r="K57" s="10">
        <f ca="1">IF(tbl_QCOM[[#This Row],[BB_Mean]]="", "", tbl_QCOM[[#This Row],[BB_Mean]]+(BB_Width*tbl_QCOM[[#This Row],[BB_Stdev]]))</f>
        <v>132.9498458524526</v>
      </c>
      <c r="L57" s="10">
        <f ca="1">IF(tbl_QCOM[[#This Row],[BB_Mean]]="", "", tbl_QCOM[[#This Row],[BB_Mean]]-(BB_Width*tbl_QCOM[[#This Row],[BB_Stdev]]))</f>
        <v>119.27729714754742</v>
      </c>
      <c r="M57" s="46">
        <f>IF(ROW(tbl_QCOM[[#This Row],[Adj Close]])=5, 0, $F57-$F56)</f>
        <v>-0.17000000000001592</v>
      </c>
      <c r="N57" s="46">
        <f>MAX(tbl_QCOM[[#This Row],[Move]],0)</f>
        <v>0</v>
      </c>
      <c r="O57" s="46">
        <f>MAX(-tbl_QCOM[[#This Row],[Move]],0)</f>
        <v>0.17000000000001592</v>
      </c>
      <c r="P57" s="46">
        <f ca="1">IF(ROW($N57)-5&lt;RSI_Periods, "", AVERAGE(INDIRECT(ADDRESS(ROW($N57)-RSI_Periods +1, MATCH("Upmove", Price_Header,0))): INDIRECT(ADDRESS(ROW($N57),MATCH("Upmove", Price_Header,0)))))</f>
        <v>1.1985714285714297</v>
      </c>
      <c r="Q57" s="46">
        <f ca="1">IF(ROW($O57)-5&lt;RSI_Periods, "", AVERAGE(INDIRECT(ADDRESS(ROW($O57)-RSI_Periods +1, MATCH("Downmove", Price_Header,0))): INDIRECT(ADDRESS(ROW($O57),MATCH("Downmove", Price_Header,0)))))</f>
        <v>0.27642864285714402</v>
      </c>
      <c r="R57" s="46">
        <f ca="1">IF(tbl_QCOM[[#This Row],[Avg_Upmove]]="", "", tbl_QCOM[[#This Row],[Avg_Upmove]]/tbl_QCOM[[#This Row],[Avg_Downmove]])</f>
        <v>4.3359161922697034</v>
      </c>
      <c r="S57" s="10">
        <f ca="1">IF(ROW($N57)-4&lt;BB_Periods, "", _xlfn.STDEV.S(INDIRECT(ADDRESS(ROW($F57)-RSI_Periods +1, MATCH("Adj Close", Price_Header,0))): INDIRECT(ADDRESS(ROW($F57),MATCH("Adj Close", Price_Header,0)))))</f>
        <v>3.4181371762262964</v>
      </c>
    </row>
    <row r="58" spans="1:19" x14ac:dyDescent="0.35">
      <c r="A58" s="8">
        <v>44127</v>
      </c>
      <c r="B58" s="10">
        <v>128.59</v>
      </c>
      <c r="C58" s="10">
        <v>129.1</v>
      </c>
      <c r="D58" s="10">
        <v>127.1</v>
      </c>
      <c r="E58" s="10">
        <v>128.88</v>
      </c>
      <c r="F58" s="10">
        <v>128.88</v>
      </c>
      <c r="G58">
        <v>3943100</v>
      </c>
      <c r="H58" s="10">
        <f>IF(tbl_QCOM[[#This Row],[Date]]=$A$5, $F58, EMA_Beta*$H57 + (1-EMA_Beta)*$F58)</f>
        <v>124.86526299455032</v>
      </c>
      <c r="I58" s="46">
        <f ca="1">IF(tbl_QCOM[[#This Row],[RS]]= "", "", 100-(100/(1+tbl_QCOM[[#This Row],[RS]])))</f>
        <v>75.962734173063865</v>
      </c>
      <c r="J58" s="10">
        <f ca="1">IF(ROW($N58)-4&lt;BB_Periods, "", AVERAGE(INDIRECT(ADDRESS(ROW($F58)-RSI_Periods +1, MATCH("Adj Close", Price_Header,0))): INDIRECT(ADDRESS(ROW($F58),MATCH("Adj Close", Price_Header,0)))))</f>
        <v>126.7107145714286</v>
      </c>
      <c r="K58" s="10">
        <f ca="1">IF(tbl_QCOM[[#This Row],[BB_Mean]]="", "", tbl_QCOM[[#This Row],[BB_Mean]]+(BB_Width*tbl_QCOM[[#This Row],[BB_Stdev]]))</f>
        <v>132.86914933539242</v>
      </c>
      <c r="L58" s="10">
        <f ca="1">IF(tbl_QCOM[[#This Row],[BB_Mean]]="", "", tbl_QCOM[[#This Row],[BB_Mean]]-(BB_Width*tbl_QCOM[[#This Row],[BB_Stdev]]))</f>
        <v>120.55227980746479</v>
      </c>
      <c r="M58" s="46">
        <f>IF(ROW(tbl_QCOM[[#This Row],[Adj Close]])=5, 0, $F58-$F57)</f>
        <v>0.5</v>
      </c>
      <c r="N58" s="46">
        <f>MAX(tbl_QCOM[[#This Row],[Move]],0)</f>
        <v>0.5</v>
      </c>
      <c r="O58" s="46">
        <f>MAX(-tbl_QCOM[[#This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0.8735717142857149</v>
      </c>
      <c r="Q58" s="46">
        <f ca="1">IF(ROW($O58)-5&lt;RSI_Periods, "", AVERAGE(INDIRECT(ADDRESS(ROW($O58)-RSI_Periods +1, MATCH("Downmove", Price_Header,0))): INDIRECT(ADDRESS(ROW($O58),MATCH("Downmove", Price_Header,0)))))</f>
        <v>0.27642864285714402</v>
      </c>
      <c r="R58" s="46">
        <f ca="1">IF(tbl_QCOM[[#This Row],[Avg_Upmove]]="", "", tbl_QCOM[[#This Row],[Avg_Upmove]]/tbl_QCOM[[#This Row],[Avg_Downmove]])</f>
        <v>3.1602069353470341</v>
      </c>
      <c r="S58" s="10">
        <f ca="1">IF(ROW($N58)-4&lt;BB_Periods, "", _xlfn.STDEV.S(INDIRECT(ADDRESS(ROW($F58)-RSI_Periods +1, MATCH("Adj Close", Price_Header,0))): INDIRECT(ADDRESS(ROW($F58),MATCH("Adj Close", Price_Header,0)))))</f>
        <v>3.0792173819819055</v>
      </c>
    </row>
    <row r="59" spans="1:19" x14ac:dyDescent="0.35">
      <c r="A59" s="8">
        <v>44130</v>
      </c>
      <c r="B59" s="10">
        <v>127.53</v>
      </c>
      <c r="C59" s="10">
        <v>128.66999999999999</v>
      </c>
      <c r="D59" s="10">
        <v>124.4</v>
      </c>
      <c r="E59" s="10">
        <v>126.2</v>
      </c>
      <c r="F59" s="10">
        <v>126.2</v>
      </c>
      <c r="G59">
        <v>6065900</v>
      </c>
      <c r="H59" s="10">
        <f>IF(tbl_QCOM[[#This Row],[Date]]=$A$5, $F59, EMA_Beta*$H58 + (1-EMA_Beta)*$F59)</f>
        <v>124.99873669509529</v>
      </c>
      <c r="I59" s="46">
        <f ca="1">IF(tbl_QCOM[[#This Row],[RS]]= "", "", 100-(100/(1+tbl_QCOM[[#This Row],[RS]])))</f>
        <v>68.70785290052379</v>
      </c>
      <c r="J59" s="10">
        <f ca="1">IF(ROW($N59)-4&lt;BB_Periods, "", AVERAGE(INDIRECT(ADDRESS(ROW($F59)-RSI_Periods +1, MATCH("Adj Close", Price_Header,0))): INDIRECT(ADDRESS(ROW($F59),MATCH("Adj Close", Price_Header,0)))))</f>
        <v>127.18642878571428</v>
      </c>
      <c r="K59" s="10">
        <f ca="1">IF(tbl_QCOM[[#This Row],[BB_Mean]]="", "", tbl_QCOM[[#This Row],[BB_Mean]]+(BB_Width*tbl_QCOM[[#This Row],[BB_Stdev]]))</f>
        <v>131.79190966664683</v>
      </c>
      <c r="L59" s="10">
        <f ca="1">IF(tbl_QCOM[[#This Row],[BB_Mean]]="", "", tbl_QCOM[[#This Row],[BB_Mean]]-(BB_Width*tbl_QCOM[[#This Row],[BB_Stdev]]))</f>
        <v>122.58094790478174</v>
      </c>
      <c r="M59" s="46">
        <f>IF(ROW(tbl_QCOM[[#This Row],[Adj Close]])=5, 0, $F59-$F58)</f>
        <v>-2.6799999999999926</v>
      </c>
      <c r="N59" s="46">
        <f>MAX(tbl_QCOM[[#This Row],[Move]],0)</f>
        <v>0</v>
      </c>
      <c r="O59" s="46">
        <f>MAX(-tbl_QCOM[[#This Row],[Move]],0)</f>
        <v>2.6799999999999926</v>
      </c>
      <c r="P59" s="46">
        <f ca="1">IF(ROW($N59)-5&lt;RSI_Periods, "", AVERAGE(INDIRECT(ADDRESS(ROW($N59)-RSI_Periods +1, MATCH("Upmove", Price_Header,0))): INDIRECT(ADDRESS(ROW($N59),MATCH("Upmove", Price_Header,0)))))</f>
        <v>0.8735717142857149</v>
      </c>
      <c r="Q59" s="46">
        <f ca="1">IF(ROW($O59)-5&lt;RSI_Periods, "", AVERAGE(INDIRECT(ADDRESS(ROW($O59)-RSI_Periods +1, MATCH("Downmove", Price_Header,0))): INDIRECT(ADDRESS(ROW($O59),MATCH("Downmove", Price_Header,0)))))</f>
        <v>0.39785750000000064</v>
      </c>
      <c r="R59" s="46">
        <f ca="1">IF(tbl_QCOM[[#This Row],[Avg_Upmove]]="", "", tbl_QCOM[[#This Row],[Avg_Upmove]]/tbl_QCOM[[#This Row],[Avg_Downmove]])</f>
        <v>2.1956899500090197</v>
      </c>
      <c r="S59" s="10">
        <f ca="1">IF(ROW($N59)-4&lt;BB_Periods, "", _xlfn.STDEV.S(INDIRECT(ADDRESS(ROW($F59)-RSI_Periods +1, MATCH("Adj Close", Price_Header,0))): INDIRECT(ADDRESS(ROW($F59),MATCH("Adj Close", Price_Header,0)))))</f>
        <v>2.3027404404662732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J60" s="61"/>
      <c r="K60" s="61"/>
      <c r="L60" s="61"/>
      <c r="S60" s="61">
        <f ca="1">SUBTOTAL(103,tbl_QCOM[BB_Stdev])</f>
        <v>55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60"/>
  <sheetViews>
    <sheetView topLeftCell="A4" workbookViewId="0">
      <selection activeCell="B5" sqref="B5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333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6.91</v>
      </c>
      <c r="C5" s="10">
        <v>7.13</v>
      </c>
      <c r="D5" s="10">
        <v>6.91</v>
      </c>
      <c r="E5" s="10">
        <v>7.09</v>
      </c>
      <c r="F5" s="10">
        <v>7.09</v>
      </c>
      <c r="G5">
        <v>57229000</v>
      </c>
      <c r="H5" s="10">
        <f>IF(tbl_F[[#This Row],[Date]]=$A$5, $F5, EMA_Beta*$H4 + (1-EMA_Beta)*$F5)</f>
        <v>7.09</v>
      </c>
      <c r="I5" s="46" t="str">
        <f ca="1">IF(tbl_F[[#This Row],[RS]]= "", "", 100-(100/(1+tbl_F[[#This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IF(tbl_F[[#This Row],[BB_Mean]]="", "", tbl_F[[#This Row],[BB_Mean]]+(BB_Width*tbl_F[[#This Row],[BB_Stdev]]))</f>
        <v/>
      </c>
      <c r="L5" s="10" t="str">
        <f ca="1">IF(tbl_F[[#This Row],[BB_Mean]]="", "", tbl_F[[#This Row],[BB_Mean]]-(BB_Width*tbl_F[[#This Row],[BB_Stdev]]))</f>
        <v/>
      </c>
      <c r="M5" s="46">
        <f>IF(ROW(tbl_F[[#This Row],[Adj Close]])=5, 0, $F5-$F4)</f>
        <v>0</v>
      </c>
      <c r="N5" s="46">
        <f>MAX(tbl_F[[#This Row],[Move]],0)</f>
        <v>0</v>
      </c>
      <c r="O5" s="46">
        <f>MAX(-tbl_F[[#This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IF(tbl_F[[#This Row],[Avg_Upmove]]="", "", tbl_F[[#This Row],[Avg_Upmove]]/tbl_F[[#This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7.21</v>
      </c>
      <c r="C6" s="10">
        <v>7.38</v>
      </c>
      <c r="D6" s="10">
        <v>7.19</v>
      </c>
      <c r="E6" s="10">
        <v>7.23</v>
      </c>
      <c r="F6" s="10">
        <v>7.23</v>
      </c>
      <c r="G6">
        <v>74016400</v>
      </c>
      <c r="H6" s="10">
        <f>IF(tbl_F[[#This Row],[Date]]=$A$5, $F6, EMA_Beta*$H5 + (1-EMA_Beta)*$F6)</f>
        <v>7.1040000000000001</v>
      </c>
      <c r="I6" s="46" t="str">
        <f ca="1">IF(tbl_F[[#This Row],[RS]]= "", "", 100-(100/(1+tbl_F[[#This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IF(tbl_F[[#This Row],[BB_Mean]]="", "", tbl_F[[#This Row],[BB_Mean]]+(BB_Width*tbl_F[[#This Row],[BB_Stdev]]))</f>
        <v/>
      </c>
      <c r="L6" s="10" t="str">
        <f ca="1">IF(tbl_F[[#This Row],[BB_Mean]]="", "", tbl_F[[#This Row],[BB_Mean]]-(BB_Width*tbl_F[[#This Row],[BB_Stdev]]))</f>
        <v/>
      </c>
      <c r="M6" s="46">
        <f>IF(ROW(tbl_F[[#This Row],[Adj Close]])=5, 0, $F6-$F5)</f>
        <v>0.14000000000000057</v>
      </c>
      <c r="N6" s="46">
        <f>MAX(tbl_F[[#This Row],[Move]],0)</f>
        <v>0.14000000000000057</v>
      </c>
      <c r="O6" s="46">
        <f>MAX(-tbl_F[[#This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IF(tbl_F[[#This Row],[Avg_Upmove]]="", "", tbl_F[[#This Row],[Avg_Upmove]]/tbl_F[[#This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7.33</v>
      </c>
      <c r="C7" s="10">
        <v>7.37</v>
      </c>
      <c r="D7" s="10">
        <v>7.06</v>
      </c>
      <c r="E7" s="10">
        <v>7.11</v>
      </c>
      <c r="F7" s="10">
        <v>7.11</v>
      </c>
      <c r="G7">
        <v>59194100</v>
      </c>
      <c r="H7" s="10">
        <f>IF(tbl_F[[#This Row],[Date]]=$A$5, $F7, EMA_Beta*$H6 + (1-EMA_Beta)*$F7)</f>
        <v>7.1045999999999996</v>
      </c>
      <c r="I7" s="46" t="str">
        <f ca="1">IF(tbl_F[[#This Row],[RS]]= "", "", 100-(100/(1+tbl_F[[#This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IF(tbl_F[[#This Row],[BB_Mean]]="", "", tbl_F[[#This Row],[BB_Mean]]+(BB_Width*tbl_F[[#This Row],[BB_Stdev]]))</f>
        <v/>
      </c>
      <c r="L7" s="10" t="str">
        <f ca="1">IF(tbl_F[[#This Row],[BB_Mean]]="", "", tbl_F[[#This Row],[BB_Mean]]-(BB_Width*tbl_F[[#This Row],[BB_Stdev]]))</f>
        <v/>
      </c>
      <c r="M7" s="46">
        <f>IF(ROW(tbl_F[[#This Row],[Adj Close]])=5, 0, $F7-$F6)</f>
        <v>-0.12000000000000011</v>
      </c>
      <c r="N7" s="46">
        <f>MAX(tbl_F[[#This Row],[Move]],0)</f>
        <v>0</v>
      </c>
      <c r="O7" s="46">
        <f>MAX(-tbl_F[[#This Row],[Move]],0)</f>
        <v>0.12000000000000011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IF(tbl_F[[#This Row],[Avg_Upmove]]="", "", tbl_F[[#This Row],[Avg_Upmove]]/tbl_F[[#This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7.03</v>
      </c>
      <c r="C8" s="10">
        <v>7.18</v>
      </c>
      <c r="D8" s="10">
        <v>7</v>
      </c>
      <c r="E8" s="10">
        <v>7.03</v>
      </c>
      <c r="F8" s="10">
        <v>7.03</v>
      </c>
      <c r="G8">
        <v>50066800</v>
      </c>
      <c r="H8" s="10">
        <f>IF(tbl_F[[#This Row],[Date]]=$A$5, $F8, EMA_Beta*$H7 + (1-EMA_Beta)*$F8)</f>
        <v>7.0971399999999996</v>
      </c>
      <c r="I8" s="46" t="str">
        <f ca="1">IF(tbl_F[[#This Row],[RS]]= "", "", 100-(100/(1+tbl_F[[#This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IF(tbl_F[[#This Row],[BB_Mean]]="", "", tbl_F[[#This Row],[BB_Mean]]+(BB_Width*tbl_F[[#This Row],[BB_Stdev]]))</f>
        <v/>
      </c>
      <c r="L8" s="10" t="str">
        <f ca="1">IF(tbl_F[[#This Row],[BB_Mean]]="", "", tbl_F[[#This Row],[BB_Mean]]-(BB_Width*tbl_F[[#This Row],[BB_Stdev]]))</f>
        <v/>
      </c>
      <c r="M8" s="46">
        <f>IF(ROW(tbl_F[[#This Row],[Adj Close]])=5, 0, $F8-$F7)</f>
        <v>-8.0000000000000071E-2</v>
      </c>
      <c r="N8" s="46">
        <f>MAX(tbl_F[[#This Row],[Move]],0)</f>
        <v>0</v>
      </c>
      <c r="O8" s="46">
        <f>MAX(-tbl_F[[#This Row],[Move]],0)</f>
        <v>8.0000000000000071E-2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IF(tbl_F[[#This Row],[Avg_Upmove]]="", "", tbl_F[[#This Row],[Avg_Upmove]]/tbl_F[[#This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6.97</v>
      </c>
      <c r="C9" s="10">
        <v>7.11</v>
      </c>
      <c r="D9" s="10">
        <v>6.93</v>
      </c>
      <c r="E9" s="10">
        <v>7.04</v>
      </c>
      <c r="F9" s="10">
        <v>7.04</v>
      </c>
      <c r="G9">
        <v>43517700</v>
      </c>
      <c r="H9" s="10">
        <f>IF(tbl_F[[#This Row],[Date]]=$A$5, $F9, EMA_Beta*$H8 + (1-EMA_Beta)*$F9)</f>
        <v>7.0914259999999993</v>
      </c>
      <c r="I9" s="46" t="str">
        <f ca="1">IF(tbl_F[[#This Row],[RS]]= "", "", 100-(100/(1+tbl_F[[#This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IF(tbl_F[[#This Row],[BB_Mean]]="", "", tbl_F[[#This Row],[BB_Mean]]+(BB_Width*tbl_F[[#This Row],[BB_Stdev]]))</f>
        <v/>
      </c>
      <c r="L9" s="10" t="str">
        <f ca="1">IF(tbl_F[[#This Row],[BB_Mean]]="", "", tbl_F[[#This Row],[BB_Mean]]-(BB_Width*tbl_F[[#This Row],[BB_Stdev]]))</f>
        <v/>
      </c>
      <c r="M9" s="46">
        <f>IF(ROW(tbl_F[[#This Row],[Adj Close]])=5, 0, $F9-$F8)</f>
        <v>9.9999999999997868E-3</v>
      </c>
      <c r="N9" s="46">
        <f>MAX(tbl_F[[#This Row],[Move]],0)</f>
        <v>9.9999999999997868E-3</v>
      </c>
      <c r="O9" s="46">
        <f>MAX(-tbl_F[[#This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IF(tbl_F[[#This Row],[Avg_Upmove]]="", "", tbl_F[[#This Row],[Avg_Upmove]]/tbl_F[[#This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7.05</v>
      </c>
      <c r="C10" s="10">
        <v>7.06</v>
      </c>
      <c r="D10" s="10">
        <v>6.87</v>
      </c>
      <c r="E10" s="10">
        <v>6.98</v>
      </c>
      <c r="F10" s="10">
        <v>6.98</v>
      </c>
      <c r="G10">
        <v>64555200</v>
      </c>
      <c r="H10" s="10">
        <f>IF(tbl_F[[#This Row],[Date]]=$A$5, $F10, EMA_Beta*$H9 + (1-EMA_Beta)*$F10)</f>
        <v>7.080283399999999</v>
      </c>
      <c r="I10" s="46" t="str">
        <f ca="1">IF(tbl_F[[#This Row],[RS]]= "", "", 100-(100/(1+tbl_F[[#This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IF(tbl_F[[#This Row],[BB_Mean]]="", "", tbl_F[[#This Row],[BB_Mean]]+(BB_Width*tbl_F[[#This Row],[BB_Stdev]]))</f>
        <v/>
      </c>
      <c r="L10" s="10" t="str">
        <f ca="1">IF(tbl_F[[#This Row],[BB_Mean]]="", "", tbl_F[[#This Row],[BB_Mean]]-(BB_Width*tbl_F[[#This Row],[BB_Stdev]]))</f>
        <v/>
      </c>
      <c r="M10" s="46">
        <f>IF(ROW(tbl_F[[#This Row],[Adj Close]])=5, 0, $F10-$F9)</f>
        <v>-5.9999999999999609E-2</v>
      </c>
      <c r="N10" s="46">
        <f>MAX(tbl_F[[#This Row],[Move]],0)</f>
        <v>0</v>
      </c>
      <c r="O10" s="46">
        <f>MAX(-tbl_F[[#This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IF(tbl_F[[#This Row],[Avg_Upmove]]="", "", tbl_F[[#This Row],[Avg_Upmove]]/tbl_F[[#This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6.98</v>
      </c>
      <c r="C11" s="10">
        <v>7.01</v>
      </c>
      <c r="D11" s="10">
        <v>6.89</v>
      </c>
      <c r="E11" s="10">
        <v>6.89</v>
      </c>
      <c r="F11" s="10">
        <v>6.89</v>
      </c>
      <c r="G11">
        <v>40444200</v>
      </c>
      <c r="H11" s="10">
        <f>IF(tbl_F[[#This Row],[Date]]=$A$5, $F11, EMA_Beta*$H10 + (1-EMA_Beta)*$F11)</f>
        <v>7.0612550599999997</v>
      </c>
      <c r="I11" s="46" t="str">
        <f ca="1">IF(tbl_F[[#This Row],[RS]]= "", "", 100-(100/(1+tbl_F[[#This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IF(tbl_F[[#This Row],[BB_Mean]]="", "", tbl_F[[#This Row],[BB_Mean]]+(BB_Width*tbl_F[[#This Row],[BB_Stdev]]))</f>
        <v/>
      </c>
      <c r="L11" s="10" t="str">
        <f ca="1">IF(tbl_F[[#This Row],[BB_Mean]]="", "", tbl_F[[#This Row],[BB_Mean]]-(BB_Width*tbl_F[[#This Row],[BB_Stdev]]))</f>
        <v/>
      </c>
      <c r="M11" s="46">
        <f>IF(ROW(tbl_F[[#This Row],[Adj Close]])=5, 0, $F11-$F10)</f>
        <v>-9.0000000000000746E-2</v>
      </c>
      <c r="N11" s="46">
        <f>MAX(tbl_F[[#This Row],[Move]],0)</f>
        <v>0</v>
      </c>
      <c r="O11" s="46">
        <f>MAX(-tbl_F[[#This Row],[Move]],0)</f>
        <v>9.0000000000000746E-2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IF(tbl_F[[#This Row],[Avg_Upmove]]="", "", tbl_F[[#This Row],[Avg_Upmove]]/tbl_F[[#This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6.89</v>
      </c>
      <c r="C12" s="10">
        <v>7.02</v>
      </c>
      <c r="D12" s="10">
        <v>6.86</v>
      </c>
      <c r="E12" s="10">
        <v>6.87</v>
      </c>
      <c r="F12" s="10">
        <v>6.87</v>
      </c>
      <c r="G12">
        <v>44158100</v>
      </c>
      <c r="H12" s="10">
        <f>IF(tbl_F[[#This Row],[Date]]=$A$5, $F12, EMA_Beta*$H11 + (1-EMA_Beta)*$F12)</f>
        <v>7.0421295539999988</v>
      </c>
      <c r="I12" s="46" t="str">
        <f ca="1">IF(tbl_F[[#This Row],[RS]]= "", "", 100-(100/(1+tbl_F[[#This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IF(tbl_F[[#This Row],[BB_Mean]]="", "", tbl_F[[#This Row],[BB_Mean]]+(BB_Width*tbl_F[[#This Row],[BB_Stdev]]))</f>
        <v/>
      </c>
      <c r="L12" s="10" t="str">
        <f ca="1">IF(tbl_F[[#This Row],[BB_Mean]]="", "", tbl_F[[#This Row],[BB_Mean]]-(BB_Width*tbl_F[[#This Row],[BB_Stdev]]))</f>
        <v/>
      </c>
      <c r="M12" s="46">
        <f>IF(ROW(tbl_F[[#This Row],[Adj Close]])=5, 0, $F12-$F11)</f>
        <v>-1.9999999999999574E-2</v>
      </c>
      <c r="N12" s="46">
        <f>MAX(tbl_F[[#This Row],[Move]],0)</f>
        <v>0</v>
      </c>
      <c r="O12" s="46">
        <f>MAX(-tbl_F[[#This Row],[Move]],0)</f>
        <v>1.9999999999999574E-2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IF(tbl_F[[#This Row],[Avg_Upmove]]="", "", tbl_F[[#This Row],[Avg_Upmove]]/tbl_F[[#This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6.77</v>
      </c>
      <c r="C13" s="10">
        <v>6.89</v>
      </c>
      <c r="D13" s="10">
        <v>6.73</v>
      </c>
      <c r="E13" s="10">
        <v>6.84</v>
      </c>
      <c r="F13" s="10">
        <v>6.84</v>
      </c>
      <c r="G13">
        <v>41824500</v>
      </c>
      <c r="H13" s="10">
        <f>IF(tbl_F[[#This Row],[Date]]=$A$5, $F13, EMA_Beta*$H12 + (1-EMA_Beta)*$F13)</f>
        <v>7.0219165985999989</v>
      </c>
      <c r="I13" s="46" t="str">
        <f ca="1">IF(tbl_F[[#This Row],[RS]]= "", "", 100-(100/(1+tbl_F[[#This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IF(tbl_F[[#This Row],[BB_Mean]]="", "", tbl_F[[#This Row],[BB_Mean]]+(BB_Width*tbl_F[[#This Row],[BB_Stdev]]))</f>
        <v/>
      </c>
      <c r="L13" s="10" t="str">
        <f ca="1">IF(tbl_F[[#This Row],[BB_Mean]]="", "", tbl_F[[#This Row],[BB_Mean]]-(BB_Width*tbl_F[[#This Row],[BB_Stdev]]))</f>
        <v/>
      </c>
      <c r="M13" s="46">
        <f>IF(ROW(tbl_F[[#This Row],[Adj Close]])=5, 0, $F13-$F12)</f>
        <v>-3.0000000000000249E-2</v>
      </c>
      <c r="N13" s="46">
        <f>MAX(tbl_F[[#This Row],[Move]],0)</f>
        <v>0</v>
      </c>
      <c r="O13" s="46">
        <f>MAX(-tbl_F[[#This Row],[Move]],0)</f>
        <v>3.0000000000000249E-2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IF(tbl_F[[#This Row],[Avg_Upmove]]="", "", tbl_F[[#This Row],[Avg_Upmove]]/tbl_F[[#This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6.78</v>
      </c>
      <c r="C14" s="10">
        <v>6.85</v>
      </c>
      <c r="D14" s="10">
        <v>6.65</v>
      </c>
      <c r="E14" s="10">
        <v>6.66</v>
      </c>
      <c r="F14" s="10">
        <v>6.66</v>
      </c>
      <c r="G14">
        <v>39158900</v>
      </c>
      <c r="H14" s="10">
        <f>IF(tbl_F[[#This Row],[Date]]=$A$5, $F14, EMA_Beta*$H13 + (1-EMA_Beta)*$F14)</f>
        <v>6.9857249387399989</v>
      </c>
      <c r="I14" s="46" t="str">
        <f ca="1">IF(tbl_F[[#This Row],[RS]]= "", "", 100-(100/(1+tbl_F[[#This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IF(tbl_F[[#This Row],[BB_Mean]]="", "", tbl_F[[#This Row],[BB_Mean]]+(BB_Width*tbl_F[[#This Row],[BB_Stdev]]))</f>
        <v/>
      </c>
      <c r="L14" s="10" t="str">
        <f ca="1">IF(tbl_F[[#This Row],[BB_Mean]]="", "", tbl_F[[#This Row],[BB_Mean]]-(BB_Width*tbl_F[[#This Row],[BB_Stdev]]))</f>
        <v/>
      </c>
      <c r="M14" s="46">
        <f>IF(ROW(tbl_F[[#This Row],[Adj Close]])=5, 0, $F14-$F13)</f>
        <v>-0.17999999999999972</v>
      </c>
      <c r="N14" s="46">
        <f>MAX(tbl_F[[#This Row],[Move]],0)</f>
        <v>0</v>
      </c>
      <c r="O14" s="46">
        <f>MAX(-tbl_F[[#This Row],[Move]],0)</f>
        <v>0.17999999999999972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IF(tbl_F[[#This Row],[Avg_Upmove]]="", "", tbl_F[[#This Row],[Avg_Upmove]]/tbl_F[[#This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6.73</v>
      </c>
      <c r="C15" s="10">
        <v>7</v>
      </c>
      <c r="D15" s="10">
        <v>6.69</v>
      </c>
      <c r="E15" s="10">
        <v>6.98</v>
      </c>
      <c r="F15" s="10">
        <v>6.98</v>
      </c>
      <c r="G15">
        <v>64974700</v>
      </c>
      <c r="H15" s="10">
        <f>IF(tbl_F[[#This Row],[Date]]=$A$5, $F15, EMA_Beta*$H14 + (1-EMA_Beta)*$F15)</f>
        <v>6.9851524448659985</v>
      </c>
      <c r="I15" s="46" t="str">
        <f ca="1">IF(tbl_F[[#This Row],[RS]]= "", "", 100-(100/(1+tbl_F[[#This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IF(tbl_F[[#This Row],[BB_Mean]]="", "", tbl_F[[#This Row],[BB_Mean]]+(BB_Width*tbl_F[[#This Row],[BB_Stdev]]))</f>
        <v/>
      </c>
      <c r="L15" s="10" t="str">
        <f ca="1">IF(tbl_F[[#This Row],[BB_Mean]]="", "", tbl_F[[#This Row],[BB_Mean]]-(BB_Width*tbl_F[[#This Row],[BB_Stdev]]))</f>
        <v/>
      </c>
      <c r="M15" s="46">
        <f>IF(ROW(tbl_F[[#This Row],[Adj Close]])=5, 0, $F15-$F14)</f>
        <v>0.32000000000000028</v>
      </c>
      <c r="N15" s="46">
        <f>MAX(tbl_F[[#This Row],[Move]],0)</f>
        <v>0.32000000000000028</v>
      </c>
      <c r="O15" s="46">
        <f>MAX(-tbl_F[[#This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IF(tbl_F[[#This Row],[Avg_Upmove]]="", "", tbl_F[[#This Row],[Avg_Upmove]]/tbl_F[[#This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7.01</v>
      </c>
      <c r="C16" s="10">
        <v>7.1</v>
      </c>
      <c r="D16" s="10">
        <v>6.86</v>
      </c>
      <c r="E16" s="10">
        <v>6.94</v>
      </c>
      <c r="F16" s="10">
        <v>6.94</v>
      </c>
      <c r="G16">
        <v>49550000</v>
      </c>
      <c r="H16" s="10">
        <f>IF(tbl_F[[#This Row],[Date]]=$A$5, $F16, EMA_Beta*$H15 + (1-EMA_Beta)*$F16)</f>
        <v>6.9806372003793991</v>
      </c>
      <c r="I16" s="46" t="str">
        <f ca="1">IF(tbl_F[[#This Row],[RS]]= "", "", 100-(100/(1+tbl_F[[#This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IF(tbl_F[[#This Row],[BB_Mean]]="", "", tbl_F[[#This Row],[BB_Mean]]+(BB_Width*tbl_F[[#This Row],[BB_Stdev]]))</f>
        <v/>
      </c>
      <c r="L16" s="10" t="str">
        <f ca="1">IF(tbl_F[[#This Row],[BB_Mean]]="", "", tbl_F[[#This Row],[BB_Mean]]-(BB_Width*tbl_F[[#This Row],[BB_Stdev]]))</f>
        <v/>
      </c>
      <c r="M16" s="46">
        <f>IF(ROW(tbl_F[[#This Row],[Adj Close]])=5, 0, $F16-$F15)</f>
        <v>-4.0000000000000036E-2</v>
      </c>
      <c r="N16" s="46">
        <f>MAX(tbl_F[[#This Row],[Move]],0)</f>
        <v>0</v>
      </c>
      <c r="O16" s="46">
        <f>MAX(-tbl_F[[#This Row],[Move]],0)</f>
        <v>4.0000000000000036E-2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IF(tbl_F[[#This Row],[Avg_Upmove]]="", "", tbl_F[[#This Row],[Avg_Upmove]]/tbl_F[[#This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6.94</v>
      </c>
      <c r="C17" s="10">
        <v>6.97</v>
      </c>
      <c r="D17" s="10">
        <v>6.77</v>
      </c>
      <c r="E17" s="10">
        <v>6.82</v>
      </c>
      <c r="F17" s="10">
        <v>6.82</v>
      </c>
      <c r="G17">
        <v>48600100</v>
      </c>
      <c r="H17" s="10">
        <f>IF(tbl_F[[#This Row],[Date]]=$A$5, $F17, EMA_Beta*$H16 + (1-EMA_Beta)*$F17)</f>
        <v>6.9645734803414587</v>
      </c>
      <c r="I17" s="46" t="str">
        <f ca="1">IF(tbl_F[[#This Row],[RS]]= "", "", 100-(100/(1+tbl_F[[#This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IF(tbl_F[[#This Row],[BB_Mean]]="", "", tbl_F[[#This Row],[BB_Mean]]+(BB_Width*tbl_F[[#This Row],[BB_Stdev]]))</f>
        <v/>
      </c>
      <c r="L17" s="10" t="str">
        <f ca="1">IF(tbl_F[[#This Row],[BB_Mean]]="", "", tbl_F[[#This Row],[BB_Mean]]-(BB_Width*tbl_F[[#This Row],[BB_Stdev]]))</f>
        <v/>
      </c>
      <c r="M17" s="46">
        <f>IF(ROW(tbl_F[[#This Row],[Adj Close]])=5, 0, $F17-$F16)</f>
        <v>-0.12000000000000011</v>
      </c>
      <c r="N17" s="46">
        <f>MAX(tbl_F[[#This Row],[Move]],0)</f>
        <v>0</v>
      </c>
      <c r="O17" s="46">
        <f>MAX(-tbl_F[[#This Row],[Move]],0)</f>
        <v>0.12000000000000011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IF(tbl_F[[#This Row],[Avg_Upmove]]="", "", tbl_F[[#This Row],[Avg_Upmove]]/tbl_F[[#This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6.83</v>
      </c>
      <c r="C18" s="10">
        <v>6.98</v>
      </c>
      <c r="D18" s="10">
        <v>6.83</v>
      </c>
      <c r="E18" s="10">
        <v>6.91</v>
      </c>
      <c r="F18" s="10">
        <v>6.91</v>
      </c>
      <c r="G18">
        <v>45740900</v>
      </c>
      <c r="H18" s="10">
        <f>IF(tbl_F[[#This Row],[Date]]=$A$5, $F18, EMA_Beta*$H17 + (1-EMA_Beta)*$F18)</f>
        <v>6.9591161323073125</v>
      </c>
      <c r="I18" s="46" t="str">
        <f ca="1">IF(tbl_F[[#This Row],[RS]]= "", "", 100-(100/(1+tbl_F[[#This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6.9564285714285701</v>
      </c>
      <c r="K18" s="10">
        <f ca="1">IF(tbl_F[[#This Row],[BB_Mean]]="", "", tbl_F[[#This Row],[BB_Mean]]+(BB_Width*tbl_F[[#This Row],[BB_Stdev]]))</f>
        <v>7.2415042313298184</v>
      </c>
      <c r="L18" s="10">
        <f ca="1">IF(tbl_F[[#This Row],[BB_Mean]]="", "", tbl_F[[#This Row],[BB_Mean]]-(BB_Width*tbl_F[[#This Row],[BB_Stdev]]))</f>
        <v>6.6713529115273218</v>
      </c>
      <c r="M18" s="46">
        <f>IF(ROW(tbl_F[[#This Row],[Adj Close]])=5, 0, $F18-$F17)</f>
        <v>8.9999999999999858E-2</v>
      </c>
      <c r="N18" s="46">
        <f>MAX(tbl_F[[#This Row],[Move]],0)</f>
        <v>8.9999999999999858E-2</v>
      </c>
      <c r="O18" s="46">
        <f>MAX(-tbl_F[[#This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IF(tbl_F[[#This Row],[Avg_Upmove]]="", "", tbl_F[[#This Row],[Avg_Upmove]]/tbl_F[[#This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0.14253782995062392</v>
      </c>
    </row>
    <row r="19" spans="1:19" x14ac:dyDescent="0.35">
      <c r="A19" s="8">
        <v>44071</v>
      </c>
      <c r="B19" s="10">
        <v>6.93</v>
      </c>
      <c r="C19" s="10">
        <v>6.95</v>
      </c>
      <c r="D19" s="10">
        <v>6.86</v>
      </c>
      <c r="E19" s="10">
        <v>6.94</v>
      </c>
      <c r="F19" s="10">
        <v>6.94</v>
      </c>
      <c r="G19">
        <v>39936900</v>
      </c>
      <c r="H19" s="10">
        <f>IF(tbl_F[[#This Row],[Date]]=$A$5, $F19, EMA_Beta*$H18 + (1-EMA_Beta)*$F19)</f>
        <v>6.9572045190765817</v>
      </c>
      <c r="I19" s="46">
        <f ca="1">IF(tbl_F[[#This Row],[RS]]= "", "", 100-(100/(1+tbl_F[[#This Row],[RS]])))</f>
        <v>44.360902255639118</v>
      </c>
      <c r="J19" s="10">
        <f ca="1">IF(ROW($N19)-4&lt;BB_Periods, "", AVERAGE(INDIRECT(ADDRESS(ROW($F19)-RSI_Periods +1, MATCH("Adj Close", Price_Header,0))): INDIRECT(ADDRESS(ROW($F19),MATCH("Adj Close", Price_Header,0)))))</f>
        <v>6.945714285714284</v>
      </c>
      <c r="K19" s="10">
        <f ca="1">IF(tbl_F[[#This Row],[BB_Mean]]="", "", tbl_F[[#This Row],[BB_Mean]]+(BB_Width*tbl_F[[#This Row],[BB_Stdev]]))</f>
        <v>7.2202448540796906</v>
      </c>
      <c r="L19" s="10">
        <f ca="1">IF(tbl_F[[#This Row],[BB_Mean]]="", "", tbl_F[[#This Row],[BB_Mean]]-(BB_Width*tbl_F[[#This Row],[BB_Stdev]]))</f>
        <v>6.6711837173488773</v>
      </c>
      <c r="M19" s="46">
        <f>IF(ROW(tbl_F[[#This Row],[Adj Close]])=5, 0, $F19-$F18)</f>
        <v>3.0000000000000249E-2</v>
      </c>
      <c r="N19" s="46">
        <f>MAX(tbl_F[[#This Row],[Move]],0)</f>
        <v>3.0000000000000249E-2</v>
      </c>
      <c r="O19" s="46">
        <f>MAX(-tbl_F[[#This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4.2142857142857197E-2</v>
      </c>
      <c r="Q19" s="46">
        <f ca="1">IF(ROW($O19)-5&lt;RSI_Periods, "", AVERAGE(INDIRECT(ADDRESS(ROW($O19)-RSI_Periods +1, MATCH("Downmove", Price_Header,0))): INDIRECT(ADDRESS(ROW($O19),MATCH("Downmove", Price_Header,0)))))</f>
        <v>5.2857142857142873E-2</v>
      </c>
      <c r="R19" s="46">
        <f ca="1">IF(tbl_F[[#This Row],[Avg_Upmove]]="", "", tbl_F[[#This Row],[Avg_Upmove]]/tbl_F[[#This Row],[Avg_Downmove]])</f>
        <v>0.79729729729729804</v>
      </c>
      <c r="S19" s="10">
        <f ca="1">IF(ROW($N19)-4&lt;BB_Periods, "", _xlfn.STDEV.S(INDIRECT(ADDRESS(ROW($F19)-RSI_Periods +1, MATCH("Adj Close", Price_Header,0))): INDIRECT(ADDRESS(ROW($F19),MATCH("Adj Close", Price_Header,0)))))</f>
        <v>0.1372652841827032</v>
      </c>
    </row>
    <row r="20" spans="1:19" x14ac:dyDescent="0.35">
      <c r="A20" s="8">
        <v>44074</v>
      </c>
      <c r="B20" s="10">
        <v>6.9</v>
      </c>
      <c r="C20" s="10">
        <v>6.93</v>
      </c>
      <c r="D20" s="10">
        <v>6.79</v>
      </c>
      <c r="E20" s="10">
        <v>6.82</v>
      </c>
      <c r="F20" s="10">
        <v>6.82</v>
      </c>
      <c r="G20">
        <v>50089500</v>
      </c>
      <c r="H20" s="10">
        <f>IF(tbl_F[[#This Row],[Date]]=$A$5, $F20, EMA_Beta*$H19 + (1-EMA_Beta)*$F20)</f>
        <v>6.9434840671689235</v>
      </c>
      <c r="I20" s="46">
        <f ca="1">IF(tbl_F[[#This Row],[RS]]= "", "", 100-(100/(1+tbl_F[[#This Row],[RS]])))</f>
        <v>34.351145038167942</v>
      </c>
      <c r="J20" s="10">
        <f ca="1">IF(ROW($N20)-4&lt;BB_Periods, "", AVERAGE(INDIRECT(ADDRESS(ROW($F20)-RSI_Periods +1, MATCH("Adj Close", Price_Header,0))): INDIRECT(ADDRESS(ROW($F20),MATCH("Adj Close", Price_Header,0)))))</f>
        <v>6.91642857142857</v>
      </c>
      <c r="K20" s="10">
        <f ca="1">IF(tbl_F[[#This Row],[BB_Mean]]="", "", tbl_F[[#This Row],[BB_Mean]]+(BB_Width*tbl_F[[#This Row],[BB_Stdev]]))</f>
        <v>7.143734822702335</v>
      </c>
      <c r="L20" s="10">
        <f ca="1">IF(tbl_F[[#This Row],[BB_Mean]]="", "", tbl_F[[#This Row],[BB_Mean]]-(BB_Width*tbl_F[[#This Row],[BB_Stdev]]))</f>
        <v>6.6891223201548051</v>
      </c>
      <c r="M20" s="46">
        <f>IF(ROW(tbl_F[[#This Row],[Adj Close]])=5, 0, $F20-$F19)</f>
        <v>-0.12000000000000011</v>
      </c>
      <c r="N20" s="46">
        <f>MAX(tbl_F[[#This Row],[Move]],0)</f>
        <v>0</v>
      </c>
      <c r="O20" s="46">
        <f>MAX(-tbl_F[[#This Row],[Move]],0)</f>
        <v>0.12000000000000011</v>
      </c>
      <c r="P20" s="46">
        <f ca="1">IF(ROW($N20)-5&lt;RSI_Periods, "", AVERAGE(INDIRECT(ADDRESS(ROW($N20)-RSI_Periods +1, MATCH("Upmove", Price_Header,0))): INDIRECT(ADDRESS(ROW($N20),MATCH("Upmove", Price_Header,0)))))</f>
        <v>3.2142857142857154E-2</v>
      </c>
      <c r="Q20" s="46">
        <f ca="1">IF(ROW($O20)-5&lt;RSI_Periods, "", AVERAGE(INDIRECT(ADDRESS(ROW($O20)-RSI_Periods +1, MATCH("Downmove", Price_Header,0))): INDIRECT(ADDRESS(ROW($O20),MATCH("Downmove", Price_Header,0)))))</f>
        <v>6.142857142857145E-2</v>
      </c>
      <c r="R20" s="46">
        <f ca="1">IF(tbl_F[[#This Row],[Avg_Upmove]]="", "", tbl_F[[#This Row],[Avg_Upmove]]/tbl_F[[#This Row],[Avg_Downmove]])</f>
        <v>0.52325581395348841</v>
      </c>
      <c r="S20" s="10">
        <f ca="1">IF(ROW($N20)-4&lt;BB_Periods, "", _xlfn.STDEV.S(INDIRECT(ADDRESS(ROW($F20)-RSI_Periods +1, MATCH("Adj Close", Price_Header,0))): INDIRECT(ADDRESS(ROW($F20),MATCH("Adj Close", Price_Header,0)))))</f>
        <v>0.11365312563688242</v>
      </c>
    </row>
    <row r="21" spans="1:19" x14ac:dyDescent="0.35">
      <c r="A21" s="8">
        <v>44075</v>
      </c>
      <c r="B21" s="10">
        <v>6.77</v>
      </c>
      <c r="C21" s="10">
        <v>6.87</v>
      </c>
      <c r="D21" s="10">
        <v>6.72</v>
      </c>
      <c r="E21" s="10">
        <v>6.83</v>
      </c>
      <c r="F21" s="10">
        <v>6.83</v>
      </c>
      <c r="G21">
        <v>48214200</v>
      </c>
      <c r="H21" s="10">
        <f>IF(tbl_F[[#This Row],[Date]]=$A$5, $F21, EMA_Beta*$H20 + (1-EMA_Beta)*$F21)</f>
        <v>6.9321356604520314</v>
      </c>
      <c r="I21" s="46">
        <f ca="1">IF(tbl_F[[#This Row],[RS]]= "", "", 100-(100/(1+tbl_F[[#This Row],[RS]])))</f>
        <v>38.333333333333329</v>
      </c>
      <c r="J21" s="10">
        <f ca="1">IF(ROW($N21)-4&lt;BB_Periods, "", AVERAGE(INDIRECT(ADDRESS(ROW($F21)-RSI_Periods +1, MATCH("Adj Close", Price_Header,0))): INDIRECT(ADDRESS(ROW($F21),MATCH("Adj Close", Price_Header,0)))))</f>
        <v>6.8964285714285714</v>
      </c>
      <c r="K21" s="10">
        <f ca="1">IF(tbl_F[[#This Row],[BB_Mean]]="", "", tbl_F[[#This Row],[BB_Mean]]+(BB_Width*tbl_F[[#This Row],[BB_Stdev]]))</f>
        <v>7.098206384168936</v>
      </c>
      <c r="L21" s="10">
        <f ca="1">IF(tbl_F[[#This Row],[BB_Mean]]="", "", tbl_F[[#This Row],[BB_Mean]]-(BB_Width*tbl_F[[#This Row],[BB_Stdev]]))</f>
        <v>6.6946507586882067</v>
      </c>
      <c r="M21" s="46">
        <f>IF(ROW(tbl_F[[#This Row],[Adj Close]])=5, 0, $F21-$F20)</f>
        <v>9.9999999999997868E-3</v>
      </c>
      <c r="N21" s="46">
        <f>MAX(tbl_F[[#This Row],[Move]],0)</f>
        <v>9.9999999999997868E-3</v>
      </c>
      <c r="O21" s="46">
        <f>MAX(-tbl_F[[#This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3.2857142857142856E-2</v>
      </c>
      <c r="Q21" s="46">
        <f ca="1">IF(ROW($O21)-5&lt;RSI_Periods, "", AVERAGE(INDIRECT(ADDRESS(ROW($O21)-RSI_Periods +1, MATCH("Downmove", Price_Header,0))): INDIRECT(ADDRESS(ROW($O21),MATCH("Downmove", Price_Header,0)))))</f>
        <v>5.2857142857142873E-2</v>
      </c>
      <c r="R21" s="46">
        <f ca="1">IF(tbl_F[[#This Row],[Avg_Upmove]]="", "", tbl_F[[#This Row],[Avg_Upmove]]/tbl_F[[#This Row],[Avg_Downmove]])</f>
        <v>0.62162162162162138</v>
      </c>
      <c r="S21" s="10">
        <f ca="1">IF(ROW($N21)-4&lt;BB_Periods, "", _xlfn.STDEV.S(INDIRECT(ADDRESS(ROW($F21)-RSI_Periods +1, MATCH("Adj Close", Price_Header,0))): INDIRECT(ADDRESS(ROW($F21),MATCH("Adj Close", Price_Header,0)))))</f>
        <v>0.10088890637018244</v>
      </c>
    </row>
    <row r="22" spans="1:19" x14ac:dyDescent="0.35">
      <c r="A22" s="8">
        <v>44076</v>
      </c>
      <c r="B22" s="10">
        <v>6.81</v>
      </c>
      <c r="C22" s="10">
        <v>6.97</v>
      </c>
      <c r="D22" s="10">
        <v>6.77</v>
      </c>
      <c r="E22" s="10">
        <v>6.95</v>
      </c>
      <c r="F22" s="10">
        <v>6.95</v>
      </c>
      <c r="G22">
        <v>59008900</v>
      </c>
      <c r="H22" s="10">
        <f>IF(tbl_F[[#This Row],[Date]]=$A$5, $F22, EMA_Beta*$H21 + (1-EMA_Beta)*$F22)</f>
        <v>6.9339220944068281</v>
      </c>
      <c r="I22" s="46">
        <f ca="1">IF(tbl_F[[#This Row],[RS]]= "", "", 100-(100/(1+tbl_F[[#This Row],[RS]])))</f>
        <v>46.774193548387096</v>
      </c>
      <c r="J22" s="10">
        <f ca="1">IF(ROW($N22)-4&lt;BB_Periods, "", AVERAGE(INDIRECT(ADDRESS(ROW($F22)-RSI_Periods +1, MATCH("Adj Close", Price_Header,0))): INDIRECT(ADDRESS(ROW($F22),MATCH("Adj Close", Price_Header,0)))))</f>
        <v>6.890714285714286</v>
      </c>
      <c r="K22" s="10">
        <f ca="1">IF(tbl_F[[#This Row],[BB_Mean]]="", "", tbl_F[[#This Row],[BB_Mean]]+(BB_Width*tbl_F[[#This Row],[BB_Stdev]]))</f>
        <v>7.080364049666243</v>
      </c>
      <c r="L22" s="10">
        <f ca="1">IF(tbl_F[[#This Row],[BB_Mean]]="", "", tbl_F[[#This Row],[BB_Mean]]-(BB_Width*tbl_F[[#This Row],[BB_Stdev]]))</f>
        <v>6.701064521762329</v>
      </c>
      <c r="M22" s="46">
        <f>IF(ROW(tbl_F[[#This Row],[Adj Close]])=5, 0, $F22-$F21)</f>
        <v>0.12000000000000011</v>
      </c>
      <c r="N22" s="46">
        <f>MAX(tbl_F[[#This Row],[Move]],0)</f>
        <v>0.12000000000000011</v>
      </c>
      <c r="O22" s="46">
        <f>MAX(-tbl_F[[#This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4.1428571428571433E-2</v>
      </c>
      <c r="Q22" s="46">
        <f ca="1">IF(ROW($O22)-5&lt;RSI_Periods, "", AVERAGE(INDIRECT(ADDRESS(ROW($O22)-RSI_Periods +1, MATCH("Downmove", Price_Header,0))): INDIRECT(ADDRESS(ROW($O22),MATCH("Downmove", Price_Header,0)))))</f>
        <v>4.7142857142857153E-2</v>
      </c>
      <c r="R22" s="46">
        <f ca="1">IF(tbl_F[[#This Row],[Avg_Upmove]]="", "", tbl_F[[#This Row],[Avg_Upmove]]/tbl_F[[#This Row],[Avg_Downmove]])</f>
        <v>0.87878787878787867</v>
      </c>
      <c r="S22" s="10">
        <f ca="1">IF(ROW($N22)-4&lt;BB_Periods, "", _xlfn.STDEV.S(INDIRECT(ADDRESS(ROW($F22)-RSI_Periods +1, MATCH("Adj Close", Price_Header,0))): INDIRECT(ADDRESS(ROW($F22),MATCH("Adj Close", Price_Header,0)))))</f>
        <v>9.4824881975978492E-2</v>
      </c>
    </row>
    <row r="23" spans="1:19" x14ac:dyDescent="0.35">
      <c r="A23" s="8">
        <v>44077</v>
      </c>
      <c r="B23" s="10">
        <v>6.92</v>
      </c>
      <c r="C23" s="10">
        <v>7.09</v>
      </c>
      <c r="D23" s="10">
        <v>6.76</v>
      </c>
      <c r="E23" s="10">
        <v>6.82</v>
      </c>
      <c r="F23" s="10">
        <v>6.82</v>
      </c>
      <c r="G23">
        <v>78130900</v>
      </c>
      <c r="H23" s="10">
        <f>IF(tbl_F[[#This Row],[Date]]=$A$5, $F23, EMA_Beta*$H22 + (1-EMA_Beta)*$F23)</f>
        <v>6.9225298849661447</v>
      </c>
      <c r="I23" s="46">
        <f ca="1">IF(tbl_F[[#This Row],[RS]]= "", "", 100-(100/(1+tbl_F[[#This Row],[RS]])))</f>
        <v>41.911764705882362</v>
      </c>
      <c r="J23" s="10">
        <f ca="1">IF(ROW($N23)-4&lt;BB_Periods, "", AVERAGE(INDIRECT(ADDRESS(ROW($F23)-RSI_Periods +1, MATCH("Adj Close", Price_Header,0))): INDIRECT(ADDRESS(ROW($F23),MATCH("Adj Close", Price_Header,0)))))</f>
        <v>6.875</v>
      </c>
      <c r="K23" s="10">
        <f ca="1">IF(tbl_F[[#This Row],[BB_Mean]]="", "", tbl_F[[#This Row],[BB_Mean]]+(BB_Width*tbl_F[[#This Row],[BB_Stdev]]))</f>
        <v>7.0470017888994629</v>
      </c>
      <c r="L23" s="10">
        <f ca="1">IF(tbl_F[[#This Row],[BB_Mean]]="", "", tbl_F[[#This Row],[BB_Mean]]-(BB_Width*tbl_F[[#This Row],[BB_Stdev]]))</f>
        <v>6.7029982111005371</v>
      </c>
      <c r="M23" s="46">
        <f>IF(ROW(tbl_F[[#This Row],[Adj Close]])=5, 0, $F23-$F22)</f>
        <v>-0.12999999999999989</v>
      </c>
      <c r="N23" s="46">
        <f>MAX(tbl_F[[#This Row],[Move]],0)</f>
        <v>0</v>
      </c>
      <c r="O23" s="46">
        <f>MAX(-tbl_F[[#This Row],[Move]],0)</f>
        <v>0.12999999999999989</v>
      </c>
      <c r="P23" s="46">
        <f ca="1">IF(ROW($N23)-5&lt;RSI_Periods, "", AVERAGE(INDIRECT(ADDRESS(ROW($N23)-RSI_Periods +1, MATCH("Upmove", Price_Header,0))): INDIRECT(ADDRESS(ROW($N23),MATCH("Upmove", Price_Header,0)))))</f>
        <v>4.0714285714285738E-2</v>
      </c>
      <c r="Q23" s="46">
        <f ca="1">IF(ROW($O23)-5&lt;RSI_Periods, "", AVERAGE(INDIRECT(ADDRESS(ROW($O23)-RSI_Periods +1, MATCH("Downmove", Price_Header,0))): INDIRECT(ADDRESS(ROW($O23),MATCH("Downmove", Price_Header,0)))))</f>
        <v>5.6428571428571432E-2</v>
      </c>
      <c r="R23" s="46">
        <f ca="1">IF(tbl_F[[#This Row],[Avg_Upmove]]="", "", tbl_F[[#This Row],[Avg_Upmove]]/tbl_F[[#This Row],[Avg_Downmove]])</f>
        <v>0.72151898734177256</v>
      </c>
      <c r="S23" s="10">
        <f ca="1">IF(ROW($N23)-4&lt;BB_Periods, "", _xlfn.STDEV.S(INDIRECT(ADDRESS(ROW($F23)-RSI_Periods +1, MATCH("Adj Close", Price_Header,0))): INDIRECT(ADDRESS(ROW($F23),MATCH("Adj Close", Price_Header,0)))))</f>
        <v>8.6000894449731496E-2</v>
      </c>
    </row>
    <row r="24" spans="1:19" x14ac:dyDescent="0.35">
      <c r="A24" s="8">
        <v>44078</v>
      </c>
      <c r="B24" s="10">
        <v>6.86</v>
      </c>
      <c r="C24" s="10">
        <v>6.95</v>
      </c>
      <c r="D24" s="10">
        <v>6.75</v>
      </c>
      <c r="E24" s="10">
        <v>6.9</v>
      </c>
      <c r="F24" s="10">
        <v>6.9</v>
      </c>
      <c r="G24">
        <v>70017500</v>
      </c>
      <c r="H24" s="10">
        <f>IF(tbl_F[[#This Row],[Date]]=$A$5, $F24, EMA_Beta*$H23 + (1-EMA_Beta)*$F24)</f>
        <v>6.92027689646953</v>
      </c>
      <c r="I24" s="46">
        <f ca="1">IF(tbl_F[[#This Row],[RS]]= "", "", 100-(100/(1+tbl_F[[#This Row],[RS]])))</f>
        <v>47.10144927536232</v>
      </c>
      <c r="J24" s="10">
        <f ca="1">IF(ROW($N24)-4&lt;BB_Periods, "", AVERAGE(INDIRECT(ADDRESS(ROW($F24)-RSI_Periods +1, MATCH("Adj Close", Price_Header,0))): INDIRECT(ADDRESS(ROW($F24),MATCH("Adj Close", Price_Header,0)))))</f>
        <v>6.8692857142857138</v>
      </c>
      <c r="K24" s="10">
        <f ca="1">IF(tbl_F[[#This Row],[BB_Mean]]="", "", tbl_F[[#This Row],[BB_Mean]]+(BB_Width*tbl_F[[#This Row],[BB_Stdev]]))</f>
        <v>7.0312855786188546</v>
      </c>
      <c r="L24" s="10">
        <f ca="1">IF(tbl_F[[#This Row],[BB_Mean]]="", "", tbl_F[[#This Row],[BB_Mean]]-(BB_Width*tbl_F[[#This Row],[BB_Stdev]]))</f>
        <v>6.7072858499525729</v>
      </c>
      <c r="M24" s="46">
        <f>IF(ROW(tbl_F[[#This Row],[Adj Close]])=5, 0, $F24-$F23)</f>
        <v>8.0000000000000071E-2</v>
      </c>
      <c r="N24" s="46">
        <f>MAX(tbl_F[[#This Row],[Move]],0)</f>
        <v>8.0000000000000071E-2</v>
      </c>
      <c r="O24" s="46">
        <f>MAX(-tbl_F[[#This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4.6428571428571451E-2</v>
      </c>
      <c r="Q24" s="46">
        <f ca="1">IF(ROW($O24)-5&lt;RSI_Periods, "", AVERAGE(INDIRECT(ADDRESS(ROW($O24)-RSI_Periods +1, MATCH("Downmove", Price_Header,0))): INDIRECT(ADDRESS(ROW($O24),MATCH("Downmove", Price_Header,0)))))</f>
        <v>5.2142857142857171E-2</v>
      </c>
      <c r="R24" s="46">
        <f ca="1">IF(tbl_F[[#This Row],[Avg_Upmove]]="", "", tbl_F[[#This Row],[Avg_Upmove]]/tbl_F[[#This Row],[Avg_Downmove]])</f>
        <v>0.89041095890410948</v>
      </c>
      <c r="S24" s="10">
        <f ca="1">IF(ROW($N24)-4&lt;BB_Periods, "", _xlfn.STDEV.S(INDIRECT(ADDRESS(ROW($F24)-RSI_Periods +1, MATCH("Adj Close", Price_Header,0))): INDIRECT(ADDRESS(ROW($F24),MATCH("Adj Close", Price_Header,0)))))</f>
        <v>8.099993216657049E-2</v>
      </c>
    </row>
    <row r="25" spans="1:19" x14ac:dyDescent="0.35">
      <c r="A25" s="8">
        <v>44082</v>
      </c>
      <c r="B25" s="10">
        <v>6.83</v>
      </c>
      <c r="C25" s="10">
        <v>7.17</v>
      </c>
      <c r="D25" s="10">
        <v>6.81</v>
      </c>
      <c r="E25" s="10">
        <v>7.03</v>
      </c>
      <c r="F25" s="10">
        <v>7.03</v>
      </c>
      <c r="G25">
        <v>84749300</v>
      </c>
      <c r="H25" s="10">
        <f>IF(tbl_F[[#This Row],[Date]]=$A$5, $F25, EMA_Beta*$H24 + (1-EMA_Beta)*$F25)</f>
        <v>6.9312492068225762</v>
      </c>
      <c r="I25" s="46">
        <f ca="1">IF(tbl_F[[#This Row],[RS]]= "", "", 100-(100/(1+tbl_F[[#This Row],[RS]])))</f>
        <v>54.92957746478875</v>
      </c>
      <c r="J25" s="10">
        <f ca="1">IF(ROW($N25)-4&lt;BB_Periods, "", AVERAGE(INDIRECT(ADDRESS(ROW($F25)-RSI_Periods +1, MATCH("Adj Close", Price_Header,0))): INDIRECT(ADDRESS(ROW($F25),MATCH("Adj Close", Price_Header,0)))))</f>
        <v>6.8792857142857144</v>
      </c>
      <c r="K25" s="10">
        <f ca="1">IF(tbl_F[[#This Row],[BB_Mean]]="", "", tbl_F[[#This Row],[BB_Mean]]+(BB_Width*tbl_F[[#This Row],[BB_Stdev]]))</f>
        <v>7.0626666604839805</v>
      </c>
      <c r="L25" s="10">
        <f ca="1">IF(tbl_F[[#This Row],[BB_Mean]]="", "", tbl_F[[#This Row],[BB_Mean]]-(BB_Width*tbl_F[[#This Row],[BB_Stdev]]))</f>
        <v>6.6959047680874484</v>
      </c>
      <c r="M25" s="46">
        <f>IF(ROW(tbl_F[[#This Row],[Adj Close]])=5, 0, $F25-$F24)</f>
        <v>0.12999999999999989</v>
      </c>
      <c r="N25" s="46">
        <f>MAX(tbl_F[[#This Row],[Move]],0)</f>
        <v>0.12999999999999989</v>
      </c>
      <c r="O25" s="46">
        <f>MAX(-tbl_F[[#This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5.571428571428573E-2</v>
      </c>
      <c r="Q25" s="46">
        <f ca="1">IF(ROW($O25)-5&lt;RSI_Periods, "", AVERAGE(INDIRECT(ADDRESS(ROW($O25)-RSI_Periods +1, MATCH("Downmove", Price_Header,0))): INDIRECT(ADDRESS(ROW($O25),MATCH("Downmove", Price_Header,0)))))</f>
        <v>4.5714285714285693E-2</v>
      </c>
      <c r="R25" s="46">
        <f ca="1">IF(tbl_F[[#This Row],[Avg_Upmove]]="", "", tbl_F[[#This Row],[Avg_Upmove]]/tbl_F[[#This Row],[Avg_Downmove]])</f>
        <v>1.2187500000000009</v>
      </c>
      <c r="S25" s="10">
        <f ca="1">IF(ROW($N25)-4&lt;BB_Periods, "", _xlfn.STDEV.S(INDIRECT(ADDRESS(ROW($F25)-RSI_Periods +1, MATCH("Adj Close", Price_Header,0))): INDIRECT(ADDRESS(ROW($F25),MATCH("Adj Close", Price_Header,0)))))</f>
        <v>9.1690473099133182E-2</v>
      </c>
    </row>
    <row r="26" spans="1:19" x14ac:dyDescent="0.35">
      <c r="A26" s="8">
        <v>44083</v>
      </c>
      <c r="B26" s="10">
        <v>7.07</v>
      </c>
      <c r="C26" s="10">
        <v>7.1</v>
      </c>
      <c r="D26" s="10">
        <v>6.93</v>
      </c>
      <c r="E26" s="10">
        <v>6.97</v>
      </c>
      <c r="F26" s="10">
        <v>6.97</v>
      </c>
      <c r="G26">
        <v>56501400</v>
      </c>
      <c r="H26" s="10">
        <f>IF(tbl_F[[#This Row],[Date]]=$A$5, $F26, EMA_Beta*$H25 + (1-EMA_Beta)*$F26)</f>
        <v>6.9351242861403186</v>
      </c>
      <c r="I26" s="46">
        <f ca="1">IF(tbl_F[[#This Row],[RS]]= "", "", 100-(100/(1+tbl_F[[#This Row],[RS]])))</f>
        <v>53.424657534246563</v>
      </c>
      <c r="J26" s="10">
        <f ca="1">IF(ROW($N26)-4&lt;BB_Periods, "", AVERAGE(INDIRECT(ADDRESS(ROW($F26)-RSI_Periods +1, MATCH("Adj Close", Price_Header,0))): INDIRECT(ADDRESS(ROW($F26),MATCH("Adj Close", Price_Header,0)))))</f>
        <v>6.8864285714285716</v>
      </c>
      <c r="K26" s="10">
        <f ca="1">IF(tbl_F[[#This Row],[BB_Mean]]="", "", tbl_F[[#This Row],[BB_Mean]]+(BB_Width*tbl_F[[#This Row],[BB_Stdev]]))</f>
        <v>7.0759392194520681</v>
      </c>
      <c r="L26" s="10">
        <f ca="1">IF(tbl_F[[#This Row],[BB_Mean]]="", "", tbl_F[[#This Row],[BB_Mean]]-(BB_Width*tbl_F[[#This Row],[BB_Stdev]]))</f>
        <v>6.6969179234050751</v>
      </c>
      <c r="M26" s="46">
        <f>IF(ROW(tbl_F[[#This Row],[Adj Close]])=5, 0, $F26-$F25)</f>
        <v>-6.0000000000000497E-2</v>
      </c>
      <c r="N26" s="46">
        <f>MAX(tbl_F[[#This Row],[Move]],0)</f>
        <v>0</v>
      </c>
      <c r="O26" s="46">
        <f>MAX(-tbl_F[[#This Row],[Move]],0)</f>
        <v>6.0000000000000497E-2</v>
      </c>
      <c r="P26" s="46">
        <f ca="1">IF(ROW($N26)-5&lt;RSI_Periods, "", AVERAGE(INDIRECT(ADDRESS(ROW($N26)-RSI_Periods +1, MATCH("Upmove", Price_Header,0))): INDIRECT(ADDRESS(ROW($N26),MATCH("Upmove", Price_Header,0)))))</f>
        <v>5.571428571428573E-2</v>
      </c>
      <c r="Q26" s="46">
        <f ca="1">IF(ROW($O26)-5&lt;RSI_Periods, "", AVERAGE(INDIRECT(ADDRESS(ROW($O26)-RSI_Periods +1, MATCH("Downmove", Price_Header,0))): INDIRECT(ADDRESS(ROW($O26),MATCH("Downmove", Price_Header,0)))))</f>
        <v>4.8571428571428613E-2</v>
      </c>
      <c r="R26" s="46">
        <f ca="1">IF(tbl_F[[#This Row],[Avg_Upmove]]="", "", tbl_F[[#This Row],[Avg_Upmove]]/tbl_F[[#This Row],[Avg_Downmove]])</f>
        <v>1.147058823529411</v>
      </c>
      <c r="S26" s="10">
        <f ca="1">IF(ROW($N26)-4&lt;BB_Periods, "", _xlfn.STDEV.S(INDIRECT(ADDRESS(ROW($F26)-RSI_Periods +1, MATCH("Adj Close", Price_Header,0))): INDIRECT(ADDRESS(ROW($F26),MATCH("Adj Close", Price_Header,0)))))</f>
        <v>9.4755324011748451E-2</v>
      </c>
    </row>
    <row r="27" spans="1:19" x14ac:dyDescent="0.35">
      <c r="A27" s="8">
        <v>44084</v>
      </c>
      <c r="B27" s="10">
        <v>6.99</v>
      </c>
      <c r="C27" s="10">
        <v>7.04</v>
      </c>
      <c r="D27" s="10">
        <v>6.87</v>
      </c>
      <c r="E27" s="10">
        <v>6.91</v>
      </c>
      <c r="F27" s="10">
        <v>6.91</v>
      </c>
      <c r="G27">
        <v>69228600</v>
      </c>
      <c r="H27" s="10">
        <f>IF(tbl_F[[#This Row],[Date]]=$A$5, $F27, EMA_Beta*$H26 + (1-EMA_Beta)*$F27)</f>
        <v>6.9326118575262869</v>
      </c>
      <c r="I27" s="46">
        <f ca="1">IF(tbl_F[[#This Row],[RS]]= "", "", 100-(100/(1+tbl_F[[#This Row],[RS]])))</f>
        <v>52.348993288590613</v>
      </c>
      <c r="J27" s="10">
        <f ca="1">IF(ROW($N27)-4&lt;BB_Periods, "", AVERAGE(INDIRECT(ADDRESS(ROW($F27)-RSI_Periods +1, MATCH("Adj Close", Price_Header,0))): INDIRECT(ADDRESS(ROW($F27),MATCH("Adj Close", Price_Header,0)))))</f>
        <v>6.8914285714285715</v>
      </c>
      <c r="K27" s="10">
        <f ca="1">IF(tbl_F[[#This Row],[BB_Mean]]="", "", tbl_F[[#This Row],[BB_Mean]]+(BB_Width*tbl_F[[#This Row],[BB_Stdev]]))</f>
        <v>7.0793495274560616</v>
      </c>
      <c r="L27" s="10">
        <f ca="1">IF(tbl_F[[#This Row],[BB_Mean]]="", "", tbl_F[[#This Row],[BB_Mean]]-(BB_Width*tbl_F[[#This Row],[BB_Stdev]]))</f>
        <v>6.7035076154010813</v>
      </c>
      <c r="M27" s="46">
        <f>IF(ROW(tbl_F[[#This Row],[Adj Close]])=5, 0, $F27-$F26)</f>
        <v>-5.9999999999999609E-2</v>
      </c>
      <c r="N27" s="46">
        <f>MAX(tbl_F[[#This Row],[Move]],0)</f>
        <v>0</v>
      </c>
      <c r="O27" s="46">
        <f>MAX(-tbl_F[[#This Row],[Move]],0)</f>
        <v>5.9999999999999609E-2</v>
      </c>
      <c r="P27" s="46">
        <f ca="1">IF(ROW($N27)-5&lt;RSI_Periods, "", AVERAGE(INDIRECT(ADDRESS(ROW($N27)-RSI_Periods +1, MATCH("Upmove", Price_Header,0))): INDIRECT(ADDRESS(ROW($N27),MATCH("Upmove", Price_Header,0)))))</f>
        <v>5.571428571428573E-2</v>
      </c>
      <c r="Q27" s="46">
        <f ca="1">IF(ROW($O27)-5&lt;RSI_Periods, "", AVERAGE(INDIRECT(ADDRESS(ROW($O27)-RSI_Periods +1, MATCH("Downmove", Price_Header,0))): INDIRECT(ADDRESS(ROW($O27),MATCH("Downmove", Price_Header,0)))))</f>
        <v>5.0714285714285712E-2</v>
      </c>
      <c r="R27" s="46">
        <f ca="1">IF(tbl_F[[#This Row],[Avg_Upmove]]="", "", tbl_F[[#This Row],[Avg_Upmove]]/tbl_F[[#This Row],[Avg_Downmove]])</f>
        <v>1.098591549295775</v>
      </c>
      <c r="S27" s="10">
        <f ca="1">IF(ROW($N27)-4&lt;BB_Periods, "", _xlfn.STDEV.S(INDIRECT(ADDRESS(ROW($F27)-RSI_Periods +1, MATCH("Adj Close", Price_Header,0))): INDIRECT(ADDRESS(ROW($F27),MATCH("Adj Close", Price_Header,0)))))</f>
        <v>9.3960478013744853E-2</v>
      </c>
    </row>
    <row r="28" spans="1:19" x14ac:dyDescent="0.35">
      <c r="A28" s="8">
        <v>44085</v>
      </c>
      <c r="B28" s="10">
        <v>6.94</v>
      </c>
      <c r="C28" s="10">
        <v>7</v>
      </c>
      <c r="D28" s="10">
        <v>6.85</v>
      </c>
      <c r="E28" s="10">
        <v>7</v>
      </c>
      <c r="F28" s="10">
        <v>7</v>
      </c>
      <c r="G28">
        <v>55080600</v>
      </c>
      <c r="H28" s="10">
        <f>IF(tbl_F[[#This Row],[Date]]=$A$5, $F28, EMA_Beta*$H27 + (1-EMA_Beta)*$F28)</f>
        <v>6.9393506717736582</v>
      </c>
      <c r="I28" s="46">
        <f ca="1">IF(tbl_F[[#This Row],[RS]]= "", "", 100-(100/(1+tbl_F[[#This Row],[RS]])))</f>
        <v>62.142857142857132</v>
      </c>
      <c r="J28" s="10">
        <f ca="1">IF(ROW($N28)-4&lt;BB_Periods, "", AVERAGE(INDIRECT(ADDRESS(ROW($F28)-RSI_Periods +1, MATCH("Adj Close", Price_Header,0))): INDIRECT(ADDRESS(ROW($F28),MATCH("Adj Close", Price_Header,0)))))</f>
        <v>6.9157142857142864</v>
      </c>
      <c r="K28" s="10">
        <f ca="1">IF(tbl_F[[#This Row],[BB_Mean]]="", "", tbl_F[[#This Row],[BB_Mean]]+(BB_Width*tbl_F[[#This Row],[BB_Stdev]]))</f>
        <v>7.056855630191655</v>
      </c>
      <c r="L28" s="10">
        <f ca="1">IF(tbl_F[[#This Row],[BB_Mean]]="", "", tbl_F[[#This Row],[BB_Mean]]-(BB_Width*tbl_F[[#This Row],[BB_Stdev]]))</f>
        <v>6.7745729412369178</v>
      </c>
      <c r="M28" s="46">
        <f>IF(ROW(tbl_F[[#This Row],[Adj Close]])=5, 0, $F28-$F27)</f>
        <v>8.9999999999999858E-2</v>
      </c>
      <c r="N28" s="46">
        <f>MAX(tbl_F[[#This Row],[Move]],0)</f>
        <v>8.9999999999999858E-2</v>
      </c>
      <c r="O28" s="46">
        <f>MAX(-tbl_F[[#This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6.2142857142857152E-2</v>
      </c>
      <c r="Q28" s="46">
        <f ca="1">IF(ROW($O28)-5&lt;RSI_Periods, "", AVERAGE(INDIRECT(ADDRESS(ROW($O28)-RSI_Periods +1, MATCH("Downmove", Price_Header,0))): INDIRECT(ADDRESS(ROW($O28),MATCH("Downmove", Price_Header,0)))))</f>
        <v>3.7857142857142874E-2</v>
      </c>
      <c r="R28" s="46">
        <f ca="1">IF(tbl_F[[#This Row],[Avg_Upmove]]="", "", tbl_F[[#This Row],[Avg_Upmove]]/tbl_F[[#This Row],[Avg_Downmove]])</f>
        <v>1.6415094339622638</v>
      </c>
      <c r="S28" s="10">
        <f ca="1">IF(ROW($N28)-4&lt;BB_Periods, "", _xlfn.STDEV.S(INDIRECT(ADDRESS(ROW($F28)-RSI_Periods +1, MATCH("Adj Close", Price_Header,0))): INDIRECT(ADDRESS(ROW($F28),MATCH("Adj Close", Price_Header,0)))))</f>
        <v>7.0570672238684087E-2</v>
      </c>
    </row>
    <row r="29" spans="1:19" x14ac:dyDescent="0.35">
      <c r="A29" s="8">
        <v>44088</v>
      </c>
      <c r="B29" s="10">
        <v>7.01</v>
      </c>
      <c r="C29" s="10">
        <v>7.18</v>
      </c>
      <c r="D29" s="10">
        <v>6.98</v>
      </c>
      <c r="E29" s="10">
        <v>7.12</v>
      </c>
      <c r="F29" s="10">
        <v>7.12</v>
      </c>
      <c r="G29">
        <v>58704300</v>
      </c>
      <c r="H29" s="10">
        <f>IF(tbl_F[[#This Row],[Date]]=$A$5, $F29, EMA_Beta*$H28 + (1-EMA_Beta)*$F29)</f>
        <v>6.9574156045962923</v>
      </c>
      <c r="I29" s="46">
        <f ca="1">IF(tbl_F[[#This Row],[RS]]= "", "", 100-(100/(1+tbl_F[[#This Row],[RS]])))</f>
        <v>55.833333333333321</v>
      </c>
      <c r="J29" s="10">
        <f ca="1">IF(ROW($N29)-4&lt;BB_Periods, "", AVERAGE(INDIRECT(ADDRESS(ROW($F29)-RSI_Periods +1, MATCH("Adj Close", Price_Header,0))): INDIRECT(ADDRESS(ROW($F29),MATCH("Adj Close", Price_Header,0)))))</f>
        <v>6.9257142857142862</v>
      </c>
      <c r="K29" s="10">
        <f ca="1">IF(tbl_F[[#This Row],[BB_Mean]]="", "", tbl_F[[#This Row],[BB_Mean]]+(BB_Width*tbl_F[[#This Row],[BB_Stdev]]))</f>
        <v>7.1019508899125645</v>
      </c>
      <c r="L29" s="10">
        <f ca="1">IF(tbl_F[[#This Row],[BB_Mean]]="", "", tbl_F[[#This Row],[BB_Mean]]-(BB_Width*tbl_F[[#This Row],[BB_Stdev]]))</f>
        <v>6.7494776815160078</v>
      </c>
      <c r="M29" s="46">
        <f>IF(ROW(tbl_F[[#This Row],[Adj Close]])=5, 0, $F29-$F28)</f>
        <v>0.12000000000000011</v>
      </c>
      <c r="N29" s="46">
        <f>MAX(tbl_F[[#This Row],[Move]],0)</f>
        <v>0.12000000000000011</v>
      </c>
      <c r="O29" s="46">
        <f>MAX(-tbl_F[[#This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4.7857142857142855E-2</v>
      </c>
      <c r="Q29" s="46">
        <f ca="1">IF(ROW($O29)-5&lt;RSI_Periods, "", AVERAGE(INDIRECT(ADDRESS(ROW($O29)-RSI_Periods +1, MATCH("Downmove", Price_Header,0))): INDIRECT(ADDRESS(ROW($O29),MATCH("Downmove", Price_Header,0)))))</f>
        <v>3.7857142857142874E-2</v>
      </c>
      <c r="R29" s="46">
        <f ca="1">IF(tbl_F[[#This Row],[Avg_Upmove]]="", "", tbl_F[[#This Row],[Avg_Upmove]]/tbl_F[[#This Row],[Avg_Downmove]])</f>
        <v>1.2641509433962257</v>
      </c>
      <c r="S29" s="10">
        <f ca="1">IF(ROW($N29)-4&lt;BB_Periods, "", _xlfn.STDEV.S(INDIRECT(ADDRESS(ROW($F29)-RSI_Periods +1, MATCH("Adj Close", Price_Header,0))): INDIRECT(ADDRESS(ROW($F29),MATCH("Adj Close", Price_Header,0)))))</f>
        <v>8.8118302099139179E-2</v>
      </c>
    </row>
    <row r="30" spans="1:19" x14ac:dyDescent="0.35">
      <c r="A30" s="8">
        <v>44089</v>
      </c>
      <c r="B30" s="10">
        <v>7.16</v>
      </c>
      <c r="C30" s="10">
        <v>7.18</v>
      </c>
      <c r="D30" s="10">
        <v>7</v>
      </c>
      <c r="E30" s="10">
        <v>7.04</v>
      </c>
      <c r="F30" s="10">
        <v>7.04</v>
      </c>
      <c r="G30">
        <v>65198500</v>
      </c>
      <c r="H30" s="10">
        <f>IF(tbl_F[[#This Row],[Date]]=$A$5, $F30, EMA_Beta*$H29 + (1-EMA_Beta)*$F30)</f>
        <v>6.9656740441366631</v>
      </c>
      <c r="I30" s="46">
        <f ca="1">IF(tbl_F[[#This Row],[RS]]= "", "", 100-(100/(1+tbl_F[[#This Row],[RS]])))</f>
        <v>54.032258064516114</v>
      </c>
      <c r="J30" s="10">
        <f ca="1">IF(ROW($N30)-4&lt;BB_Periods, "", AVERAGE(INDIRECT(ADDRESS(ROW($F30)-RSI_Periods +1, MATCH("Adj Close", Price_Header,0))): INDIRECT(ADDRESS(ROW($F30),MATCH("Adj Close", Price_Header,0)))))</f>
        <v>6.9328571428571442</v>
      </c>
      <c r="K30" s="10">
        <f ca="1">IF(tbl_F[[#This Row],[BB_Mean]]="", "", tbl_F[[#This Row],[BB_Mean]]+(BB_Width*tbl_F[[#This Row],[BB_Stdev]]))</f>
        <v>7.1193929420904398</v>
      </c>
      <c r="L30" s="10">
        <f ca="1">IF(tbl_F[[#This Row],[BB_Mean]]="", "", tbl_F[[#This Row],[BB_Mean]]-(BB_Width*tbl_F[[#This Row],[BB_Stdev]]))</f>
        <v>6.7463213436238485</v>
      </c>
      <c r="M30" s="46">
        <f>IF(ROW(tbl_F[[#This Row],[Adj Close]])=5, 0, $F30-$F29)</f>
        <v>-8.0000000000000071E-2</v>
      </c>
      <c r="N30" s="46">
        <f>MAX(tbl_F[[#This Row],[Move]],0)</f>
        <v>0</v>
      </c>
      <c r="O30" s="46">
        <f>MAX(-tbl_F[[#This Row],[Move]],0)</f>
        <v>8.0000000000000071E-2</v>
      </c>
      <c r="P30" s="46">
        <f ca="1">IF(ROW($N30)-5&lt;RSI_Periods, "", AVERAGE(INDIRECT(ADDRESS(ROW($N30)-RSI_Periods +1, MATCH("Upmove", Price_Header,0))): INDIRECT(ADDRESS(ROW($N30),MATCH("Upmove", Price_Header,0)))))</f>
        <v>4.7857142857142855E-2</v>
      </c>
      <c r="Q30" s="46">
        <f ca="1">IF(ROW($O30)-5&lt;RSI_Periods, "", AVERAGE(INDIRECT(ADDRESS(ROW($O30)-RSI_Periods +1, MATCH("Downmove", Price_Header,0))): INDIRECT(ADDRESS(ROW($O30),MATCH("Downmove", Price_Header,0)))))</f>
        <v>4.0714285714285738E-2</v>
      </c>
      <c r="R30" s="46">
        <f ca="1">IF(tbl_F[[#This Row],[Avg_Upmove]]="", "", tbl_F[[#This Row],[Avg_Upmove]]/tbl_F[[#This Row],[Avg_Downmove]])</f>
        <v>1.1754385964912273</v>
      </c>
      <c r="S30" s="10">
        <f ca="1">IF(ROW($N30)-4&lt;BB_Periods, "", _xlfn.STDEV.S(INDIRECT(ADDRESS(ROW($F30)-RSI_Periods +1, MATCH("Adj Close", Price_Header,0))): INDIRECT(ADDRESS(ROW($F30),MATCH("Adj Close", Price_Header,0)))))</f>
        <v>9.3267899616647776E-2</v>
      </c>
    </row>
    <row r="31" spans="1:19" x14ac:dyDescent="0.35">
      <c r="A31" s="8">
        <v>44090</v>
      </c>
      <c r="B31" s="10">
        <v>7.05</v>
      </c>
      <c r="C31" s="10">
        <v>7.12</v>
      </c>
      <c r="D31" s="10">
        <v>6.99</v>
      </c>
      <c r="E31" s="10">
        <v>7.02</v>
      </c>
      <c r="F31" s="10">
        <v>7.02</v>
      </c>
      <c r="G31">
        <v>46245800</v>
      </c>
      <c r="H31" s="10">
        <f>IF(tbl_F[[#This Row],[Date]]=$A$5, $F31, EMA_Beta*$H30 + (1-EMA_Beta)*$F31)</f>
        <v>6.971106639722997</v>
      </c>
      <c r="I31" s="46">
        <f ca="1">IF(tbl_F[[#This Row],[RS]]= "", "", 100-(100/(1+tbl_F[[#This Row],[RS]])))</f>
        <v>58.771929824561369</v>
      </c>
      <c r="J31" s="10">
        <f ca="1">IF(ROW($N31)-4&lt;BB_Periods, "", AVERAGE(INDIRECT(ADDRESS(ROW($F31)-RSI_Periods +1, MATCH("Adj Close", Price_Header,0))): INDIRECT(ADDRESS(ROW($F31),MATCH("Adj Close", Price_Header,0)))))</f>
        <v>6.9471428571428575</v>
      </c>
      <c r="K31" s="10">
        <f ca="1">IF(tbl_F[[#This Row],[BB_Mean]]="", "", tbl_F[[#This Row],[BB_Mean]]+(BB_Width*tbl_F[[#This Row],[BB_Stdev]]))</f>
        <v>7.1269596136870295</v>
      </c>
      <c r="L31" s="10">
        <f ca="1">IF(tbl_F[[#This Row],[BB_Mean]]="", "", tbl_F[[#This Row],[BB_Mean]]-(BB_Width*tbl_F[[#This Row],[BB_Stdev]]))</f>
        <v>6.7673261005986856</v>
      </c>
      <c r="M31" s="46">
        <f>IF(ROW(tbl_F[[#This Row],[Adj Close]])=5, 0, $F31-$F30)</f>
        <v>-2.0000000000000462E-2</v>
      </c>
      <c r="N31" s="46">
        <f>MAX(tbl_F[[#This Row],[Move]],0)</f>
        <v>0</v>
      </c>
      <c r="O31" s="46">
        <f>MAX(-tbl_F[[#This Row],[Move]],0)</f>
        <v>2.0000000000000462E-2</v>
      </c>
      <c r="P31" s="46">
        <f ca="1">IF(ROW($N31)-5&lt;RSI_Periods, "", AVERAGE(INDIRECT(ADDRESS(ROW($N31)-RSI_Periods +1, MATCH("Upmove", Price_Header,0))): INDIRECT(ADDRESS(ROW($N31),MATCH("Upmove", Price_Header,0)))))</f>
        <v>4.7857142857142855E-2</v>
      </c>
      <c r="Q31" s="46">
        <f ca="1">IF(ROW($O31)-5&lt;RSI_Periods, "", AVERAGE(INDIRECT(ADDRESS(ROW($O31)-RSI_Periods +1, MATCH("Downmove", Price_Header,0))): INDIRECT(ADDRESS(ROW($O31),MATCH("Downmove", Price_Header,0)))))</f>
        <v>3.357142857142862E-2</v>
      </c>
      <c r="R31" s="46">
        <f ca="1">IF(tbl_F[[#This Row],[Avg_Upmove]]="", "", tbl_F[[#This Row],[Avg_Upmove]]/tbl_F[[#This Row],[Avg_Downmove]])</f>
        <v>1.425531914893615</v>
      </c>
      <c r="S31" s="10">
        <f ca="1">IF(ROW($N31)-4&lt;BB_Periods, "", _xlfn.STDEV.S(INDIRECT(ADDRESS(ROW($F31)-RSI_Periods +1, MATCH("Adj Close", Price_Header,0))): INDIRECT(ADDRESS(ROW($F31),MATCH("Adj Close", Price_Header,0)))))</f>
        <v>8.9908378272085782E-2</v>
      </c>
    </row>
    <row r="32" spans="1:19" x14ac:dyDescent="0.35">
      <c r="A32" s="8">
        <v>44091</v>
      </c>
      <c r="B32" s="10">
        <v>7.04</v>
      </c>
      <c r="C32" s="10">
        <v>7.34</v>
      </c>
      <c r="D32" s="10">
        <v>6.98</v>
      </c>
      <c r="E32" s="10">
        <v>7.28</v>
      </c>
      <c r="F32" s="10">
        <v>7.28</v>
      </c>
      <c r="G32">
        <v>84850100</v>
      </c>
      <c r="H32" s="10">
        <f>IF(tbl_F[[#This Row],[Date]]=$A$5, $F32, EMA_Beta*$H31 + (1-EMA_Beta)*$F32)</f>
        <v>7.0019959757506971</v>
      </c>
      <c r="I32" s="46">
        <f ca="1">IF(tbl_F[[#This Row],[RS]]= "", "", 100-(100/(1+tbl_F[[#This Row],[RS]])))</f>
        <v>64.122137404580144</v>
      </c>
      <c r="J32" s="10">
        <f ca="1">IF(ROW($N32)-4&lt;BB_Periods, "", AVERAGE(INDIRECT(ADDRESS(ROW($F32)-RSI_Periods +1, MATCH("Adj Close", Price_Header,0))): INDIRECT(ADDRESS(ROW($F32),MATCH("Adj Close", Price_Header,0)))))</f>
        <v>6.9735714285714296</v>
      </c>
      <c r="K32" s="10">
        <f ca="1">IF(tbl_F[[#This Row],[BB_Mean]]="", "", tbl_F[[#This Row],[BB_Mean]]+(BB_Width*tbl_F[[#This Row],[BB_Stdev]]))</f>
        <v>7.2245519234135767</v>
      </c>
      <c r="L32" s="10">
        <f ca="1">IF(tbl_F[[#This Row],[BB_Mean]]="", "", tbl_F[[#This Row],[BB_Mean]]-(BB_Width*tbl_F[[#This Row],[BB_Stdev]]))</f>
        <v>6.7225909337292826</v>
      </c>
      <c r="M32" s="46">
        <f>IF(ROW(tbl_F[[#This Row],[Adj Close]])=5, 0, $F32-$F31)</f>
        <v>0.26000000000000068</v>
      </c>
      <c r="N32" s="46">
        <f>MAX(tbl_F[[#This Row],[Move]],0)</f>
        <v>0.26000000000000068</v>
      </c>
      <c r="O32" s="46">
        <f>MAX(-tbl_F[[#This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6.0000000000000053E-2</v>
      </c>
      <c r="Q32" s="46">
        <f ca="1">IF(ROW($O32)-5&lt;RSI_Periods, "", AVERAGE(INDIRECT(ADDRESS(ROW($O32)-RSI_Periods +1, MATCH("Downmove", Price_Header,0))): INDIRECT(ADDRESS(ROW($O32),MATCH("Downmove", Price_Header,0)))))</f>
        <v>3.357142857142862E-2</v>
      </c>
      <c r="R32" s="46">
        <f ca="1">IF(tbl_F[[#This Row],[Avg_Upmove]]="", "", tbl_F[[#This Row],[Avg_Upmove]]/tbl_F[[#This Row],[Avg_Downmove]])</f>
        <v>1.7872340425531905</v>
      </c>
      <c r="S32" s="10">
        <f ca="1">IF(ROW($N32)-4&lt;BB_Periods, "", _xlfn.STDEV.S(INDIRECT(ADDRESS(ROW($F32)-RSI_Periods +1, MATCH("Adj Close", Price_Header,0))): INDIRECT(ADDRESS(ROW($F32),MATCH("Adj Close", Price_Header,0)))))</f>
        <v>0.12549024742107329</v>
      </c>
    </row>
    <row r="33" spans="1:19" x14ac:dyDescent="0.35">
      <c r="A33" s="8">
        <v>44092</v>
      </c>
      <c r="B33" s="10">
        <v>7.31</v>
      </c>
      <c r="C33" s="10">
        <v>7.4</v>
      </c>
      <c r="D33" s="10">
        <v>7.22</v>
      </c>
      <c r="E33" s="10">
        <v>7.23</v>
      </c>
      <c r="F33" s="10">
        <v>7.23</v>
      </c>
      <c r="G33">
        <v>71929400</v>
      </c>
      <c r="H33" s="10">
        <f>IF(tbl_F[[#This Row],[Date]]=$A$5, $F33, EMA_Beta*$H32 + (1-EMA_Beta)*$F33)</f>
        <v>7.0247963781756271</v>
      </c>
      <c r="I33" s="46">
        <f ca="1">IF(tbl_F[[#This Row],[RS]]= "", "", 100-(100/(1+tbl_F[[#This Row],[RS]])))</f>
        <v>60.902255639097731</v>
      </c>
      <c r="J33" s="10">
        <f ca="1">IF(ROW($N33)-4&lt;BB_Periods, "", AVERAGE(INDIRECT(ADDRESS(ROW($F33)-RSI_Periods +1, MATCH("Adj Close", Price_Header,0))): INDIRECT(ADDRESS(ROW($F33),MATCH("Adj Close", Price_Header,0)))))</f>
        <v>6.9942857142857155</v>
      </c>
      <c r="K33" s="10">
        <f ca="1">IF(tbl_F[[#This Row],[BB_Mean]]="", "", tbl_F[[#This Row],[BB_Mean]]+(BB_Width*tbl_F[[#This Row],[BB_Stdev]]))</f>
        <v>7.2789408941587883</v>
      </c>
      <c r="L33" s="10">
        <f ca="1">IF(tbl_F[[#This Row],[BB_Mean]]="", "", tbl_F[[#This Row],[BB_Mean]]-(BB_Width*tbl_F[[#This Row],[BB_Stdev]]))</f>
        <v>6.7096305344126428</v>
      </c>
      <c r="M33" s="46">
        <f>IF(ROW(tbl_F[[#This Row],[Adj Close]])=5, 0, $F33-$F32)</f>
        <v>-4.9999999999999822E-2</v>
      </c>
      <c r="N33" s="46">
        <f>MAX(tbl_F[[#This Row],[Move]],0)</f>
        <v>0</v>
      </c>
      <c r="O33" s="46">
        <f>MAX(-tbl_F[[#This Row],[Move]],0)</f>
        <v>4.9999999999999822E-2</v>
      </c>
      <c r="P33" s="46">
        <f ca="1">IF(ROW($N33)-5&lt;RSI_Periods, "", AVERAGE(INDIRECT(ADDRESS(ROW($N33)-RSI_Periods +1, MATCH("Upmove", Price_Header,0))): INDIRECT(ADDRESS(ROW($N33),MATCH("Upmove", Price_Header,0)))))</f>
        <v>5.7857142857142892E-2</v>
      </c>
      <c r="Q33" s="46">
        <f ca="1">IF(ROW($O33)-5&lt;RSI_Periods, "", AVERAGE(INDIRECT(ADDRESS(ROW($O33)-RSI_Periods +1, MATCH("Downmove", Price_Header,0))): INDIRECT(ADDRESS(ROW($O33),MATCH("Downmove", Price_Header,0)))))</f>
        <v>3.7142857142857179E-2</v>
      </c>
      <c r="R33" s="46">
        <f ca="1">IF(tbl_F[[#This Row],[Avg_Upmove]]="", "", tbl_F[[#This Row],[Avg_Upmove]]/tbl_F[[#This Row],[Avg_Downmove]])</f>
        <v>1.557692307692307</v>
      </c>
      <c r="S33" s="10">
        <f ca="1">IF(ROW($N33)-4&lt;BB_Periods, "", _xlfn.STDEV.S(INDIRECT(ADDRESS(ROW($F33)-RSI_Periods +1, MATCH("Adj Close", Price_Header,0))): INDIRECT(ADDRESS(ROW($F33),MATCH("Adj Close", Price_Header,0)))))</f>
        <v>0.14232758993653641</v>
      </c>
    </row>
    <row r="34" spans="1:19" x14ac:dyDescent="0.35">
      <c r="A34" s="8">
        <v>44095</v>
      </c>
      <c r="B34" s="10">
        <v>7.09</v>
      </c>
      <c r="C34" s="10">
        <v>7.09</v>
      </c>
      <c r="D34" s="10">
        <v>6.81</v>
      </c>
      <c r="E34" s="10">
        <v>6.87</v>
      </c>
      <c r="F34" s="10">
        <v>6.87</v>
      </c>
      <c r="G34">
        <v>72850300</v>
      </c>
      <c r="H34" s="10">
        <f>IF(tbl_F[[#This Row],[Date]]=$A$5, $F34, EMA_Beta*$H33 + (1-EMA_Beta)*$F34)</f>
        <v>7.0093167403580647</v>
      </c>
      <c r="I34" s="46">
        <f ca="1">IF(tbl_F[[#This Row],[RS]]= "", "", 100-(100/(1+tbl_F[[#This Row],[RS]])))</f>
        <v>51.592356687898082</v>
      </c>
      <c r="J34" s="10">
        <f ca="1">IF(ROW($N34)-4&lt;BB_Periods, "", AVERAGE(INDIRECT(ADDRESS(ROW($F34)-RSI_Periods +1, MATCH("Adj Close", Price_Header,0))): INDIRECT(ADDRESS(ROW($F34),MATCH("Adj Close", Price_Header,0)))))</f>
        <v>6.9978571428571428</v>
      </c>
      <c r="K34" s="10">
        <f ca="1">IF(tbl_F[[#This Row],[BB_Mean]]="", "", tbl_F[[#This Row],[BB_Mean]]+(BB_Width*tbl_F[[#This Row],[BB_Stdev]]))</f>
        <v>7.2742268586007821</v>
      </c>
      <c r="L34" s="10">
        <f ca="1">IF(tbl_F[[#This Row],[BB_Mean]]="", "", tbl_F[[#This Row],[BB_Mean]]-(BB_Width*tbl_F[[#This Row],[BB_Stdev]]))</f>
        <v>6.7214874271135034</v>
      </c>
      <c r="M34" s="46">
        <f>IF(ROW(tbl_F[[#This Row],[Adj Close]])=5, 0, $F34-$F33)</f>
        <v>-0.36000000000000032</v>
      </c>
      <c r="N34" s="46">
        <f>MAX(tbl_F[[#This Row],[Move]],0)</f>
        <v>0</v>
      </c>
      <c r="O34" s="46">
        <f>MAX(-tbl_F[[#This Row],[Move]],0)</f>
        <v>0.36000000000000032</v>
      </c>
      <c r="P34" s="46">
        <f ca="1">IF(ROW($N34)-5&lt;RSI_Periods, "", AVERAGE(INDIRECT(ADDRESS(ROW($N34)-RSI_Periods +1, MATCH("Upmove", Price_Header,0))): INDIRECT(ADDRESS(ROW($N34),MATCH("Upmove", Price_Header,0)))))</f>
        <v>5.7857142857142892E-2</v>
      </c>
      <c r="Q34" s="46">
        <f ca="1">IF(ROW($O34)-5&lt;RSI_Periods, "", AVERAGE(INDIRECT(ADDRESS(ROW($O34)-RSI_Periods +1, MATCH("Downmove", Price_Header,0))): INDIRECT(ADDRESS(ROW($O34),MATCH("Downmove", Price_Header,0)))))</f>
        <v>5.4285714285714333E-2</v>
      </c>
      <c r="R34" s="46">
        <f ca="1">IF(tbl_F[[#This Row],[Avg_Upmove]]="", "", tbl_F[[#This Row],[Avg_Upmove]]/tbl_F[[#This Row],[Avg_Downmove]])</f>
        <v>1.0657894736842102</v>
      </c>
      <c r="S34" s="10">
        <f ca="1">IF(ROW($N34)-4&lt;BB_Periods, "", _xlfn.STDEV.S(INDIRECT(ADDRESS(ROW($F34)-RSI_Periods +1, MATCH("Adj Close", Price_Header,0))): INDIRECT(ADDRESS(ROW($F34),MATCH("Adj Close", Price_Header,0)))))</f>
        <v>0.13818485787181947</v>
      </c>
    </row>
    <row r="35" spans="1:19" x14ac:dyDescent="0.35">
      <c r="A35" s="8">
        <v>44096</v>
      </c>
      <c r="B35" s="10">
        <v>6.89</v>
      </c>
      <c r="C35" s="10">
        <v>6.99</v>
      </c>
      <c r="D35" s="10">
        <v>6.77</v>
      </c>
      <c r="E35" s="10">
        <v>6.78</v>
      </c>
      <c r="F35" s="10">
        <v>6.78</v>
      </c>
      <c r="G35">
        <v>55865500</v>
      </c>
      <c r="H35" s="10">
        <f>IF(tbl_F[[#This Row],[Date]]=$A$5, $F35, EMA_Beta*$H34 + (1-EMA_Beta)*$F35)</f>
        <v>6.9863850663222582</v>
      </c>
      <c r="I35" s="46">
        <f ca="1">IF(tbl_F[[#This Row],[RS]]= "", "", 100-(100/(1+tbl_F[[#This Row],[RS]])))</f>
        <v>48.484848484848492</v>
      </c>
      <c r="J35" s="10">
        <f ca="1">IF(ROW($N35)-4&lt;BB_Periods, "", AVERAGE(INDIRECT(ADDRESS(ROW($F35)-RSI_Periods +1, MATCH("Adj Close", Price_Header,0))): INDIRECT(ADDRESS(ROW($F35),MATCH("Adj Close", Price_Header,0)))))</f>
        <v>6.9942857142857147</v>
      </c>
      <c r="K35" s="10">
        <f ca="1">IF(tbl_F[[#This Row],[BB_Mean]]="", "", tbl_F[[#This Row],[BB_Mean]]+(BB_Width*tbl_F[[#This Row],[BB_Stdev]]))</f>
        <v>7.28109460651073</v>
      </c>
      <c r="L35" s="10">
        <f ca="1">IF(tbl_F[[#This Row],[BB_Mean]]="", "", tbl_F[[#This Row],[BB_Mean]]-(BB_Width*tbl_F[[#This Row],[BB_Stdev]]))</f>
        <v>6.7074768220606993</v>
      </c>
      <c r="M35" s="46">
        <f>IF(ROW(tbl_F[[#This Row],[Adj Close]])=5, 0, $F35-$F34)</f>
        <v>-8.9999999999999858E-2</v>
      </c>
      <c r="N35" s="46">
        <f>MAX(tbl_F[[#This Row],[Move]],0)</f>
        <v>0</v>
      </c>
      <c r="O35" s="46">
        <f>MAX(-tbl_F[[#This Row],[Move]],0)</f>
        <v>8.9999999999999858E-2</v>
      </c>
      <c r="P35" s="46">
        <f ca="1">IF(ROW($N35)-5&lt;RSI_Periods, "", AVERAGE(INDIRECT(ADDRESS(ROW($N35)-RSI_Periods +1, MATCH("Upmove", Price_Header,0))): INDIRECT(ADDRESS(ROW($N35),MATCH("Upmove", Price_Header,0)))))</f>
        <v>5.7142857142857197E-2</v>
      </c>
      <c r="Q35" s="46">
        <f ca="1">IF(ROW($O35)-5&lt;RSI_Periods, "", AVERAGE(INDIRECT(ADDRESS(ROW($O35)-RSI_Periods +1, MATCH("Downmove", Price_Header,0))): INDIRECT(ADDRESS(ROW($O35),MATCH("Downmove", Price_Header,0)))))</f>
        <v>6.0714285714285755E-2</v>
      </c>
      <c r="R35" s="46">
        <f ca="1">IF(tbl_F[[#This Row],[Avg_Upmove]]="", "", tbl_F[[#This Row],[Avg_Upmove]]/tbl_F[[#This Row],[Avg_Downmove]])</f>
        <v>0.9411764705882355</v>
      </c>
      <c r="S35" s="10">
        <f ca="1">IF(ROW($N35)-4&lt;BB_Periods, "", _xlfn.STDEV.S(INDIRECT(ADDRESS(ROW($F35)-RSI_Periods +1, MATCH("Adj Close", Price_Header,0))): INDIRECT(ADDRESS(ROW($F35),MATCH("Adj Close", Price_Header,0)))))</f>
        <v>0.14340444611250786</v>
      </c>
    </row>
    <row r="36" spans="1:19" x14ac:dyDescent="0.35">
      <c r="A36" s="8">
        <v>44097</v>
      </c>
      <c r="B36" s="10">
        <v>6.81</v>
      </c>
      <c r="C36" s="10">
        <v>6.93</v>
      </c>
      <c r="D36" s="10">
        <v>6.63</v>
      </c>
      <c r="E36" s="10">
        <v>6.64</v>
      </c>
      <c r="F36" s="10">
        <v>6.64</v>
      </c>
      <c r="G36">
        <v>52588600</v>
      </c>
      <c r="H36" s="10">
        <f>IF(tbl_F[[#This Row],[Date]]=$A$5, $F36, EMA_Beta*$H35 + (1-EMA_Beta)*$F36)</f>
        <v>6.9517465596900321</v>
      </c>
      <c r="I36" s="46">
        <f ca="1">IF(tbl_F[[#This Row],[RS]]= "", "", 100-(100/(1+tbl_F[[#This Row],[RS]])))</f>
        <v>40.718562874251489</v>
      </c>
      <c r="J36" s="10">
        <f ca="1">IF(ROW($N36)-4&lt;BB_Periods, "", AVERAGE(INDIRECT(ADDRESS(ROW($F36)-RSI_Periods +1, MATCH("Adj Close", Price_Header,0))): INDIRECT(ADDRESS(ROW($F36),MATCH("Adj Close", Price_Header,0)))))</f>
        <v>6.972142857142857</v>
      </c>
      <c r="K36" s="10">
        <f ca="1">IF(tbl_F[[#This Row],[BB_Mean]]="", "", tbl_F[[#This Row],[BB_Mean]]+(BB_Width*tbl_F[[#This Row],[BB_Stdev]]))</f>
        <v>7.3158939810171439</v>
      </c>
      <c r="L36" s="10">
        <f ca="1">IF(tbl_F[[#This Row],[BB_Mean]]="", "", tbl_F[[#This Row],[BB_Mean]]-(BB_Width*tbl_F[[#This Row],[BB_Stdev]]))</f>
        <v>6.62839173326857</v>
      </c>
      <c r="M36" s="46">
        <f>IF(ROW(tbl_F[[#This Row],[Adj Close]])=5, 0, $F36-$F35)</f>
        <v>-0.14000000000000057</v>
      </c>
      <c r="N36" s="46">
        <f>MAX(tbl_F[[#This Row],[Move]],0)</f>
        <v>0</v>
      </c>
      <c r="O36" s="46">
        <f>MAX(-tbl_F[[#This Row],[Move]],0)</f>
        <v>0.14000000000000057</v>
      </c>
      <c r="P36" s="46">
        <f ca="1">IF(ROW($N36)-5&lt;RSI_Periods, "", AVERAGE(INDIRECT(ADDRESS(ROW($N36)-RSI_Periods +1, MATCH("Upmove", Price_Header,0))): INDIRECT(ADDRESS(ROW($N36),MATCH("Upmove", Price_Header,0)))))</f>
        <v>4.8571428571428613E-2</v>
      </c>
      <c r="Q36" s="46">
        <f ca="1">IF(ROW($O36)-5&lt;RSI_Periods, "", AVERAGE(INDIRECT(ADDRESS(ROW($O36)-RSI_Periods +1, MATCH("Downmove", Price_Header,0))): INDIRECT(ADDRESS(ROW($O36),MATCH("Downmove", Price_Header,0)))))</f>
        <v>7.0714285714285799E-2</v>
      </c>
      <c r="R36" s="46">
        <f ca="1">IF(tbl_F[[#This Row],[Avg_Upmove]]="", "", tbl_F[[#This Row],[Avg_Upmove]]/tbl_F[[#This Row],[Avg_Downmove]])</f>
        <v>0.68686868686868663</v>
      </c>
      <c r="S36" s="10">
        <f ca="1">IF(ROW($N36)-4&lt;BB_Periods, "", _xlfn.STDEV.S(INDIRECT(ADDRESS(ROW($F36)-RSI_Periods +1, MATCH("Adj Close", Price_Header,0))): INDIRECT(ADDRESS(ROW($F36),MATCH("Adj Close", Price_Header,0)))))</f>
        <v>0.1718755619371434</v>
      </c>
    </row>
    <row r="37" spans="1:19" x14ac:dyDescent="0.35">
      <c r="A37" s="8">
        <v>44098</v>
      </c>
      <c r="B37" s="10">
        <v>6.6</v>
      </c>
      <c r="C37" s="10">
        <v>6.76</v>
      </c>
      <c r="D37" s="10">
        <v>6.41</v>
      </c>
      <c r="E37" s="10">
        <v>6.66</v>
      </c>
      <c r="F37" s="10">
        <v>6.66</v>
      </c>
      <c r="G37">
        <v>59822900</v>
      </c>
      <c r="H37" s="10">
        <f>IF(tbl_F[[#This Row],[Date]]=$A$5, $F37, EMA_Beta*$H36 + (1-EMA_Beta)*$F37)</f>
        <v>6.9225719037210283</v>
      </c>
      <c r="I37" s="46">
        <f ca="1">IF(tbl_F[[#This Row],[RS]]= "", "", 100-(100/(1+tbl_F[[#This Row],[RS]])))</f>
        <v>44.871794871794876</v>
      </c>
      <c r="J37" s="10">
        <f ca="1">IF(ROW($N37)-4&lt;BB_Periods, "", AVERAGE(INDIRECT(ADDRESS(ROW($F37)-RSI_Periods +1, MATCH("Adj Close", Price_Header,0))): INDIRECT(ADDRESS(ROW($F37),MATCH("Adj Close", Price_Header,0)))))</f>
        <v>6.9607142857142863</v>
      </c>
      <c r="K37" s="10">
        <f ca="1">IF(tbl_F[[#This Row],[BB_Mean]]="", "", tbl_F[[#This Row],[BB_Mean]]+(BB_Width*tbl_F[[#This Row],[BB_Stdev]]))</f>
        <v>7.3354933415049492</v>
      </c>
      <c r="L37" s="10">
        <f ca="1">IF(tbl_F[[#This Row],[BB_Mean]]="", "", tbl_F[[#This Row],[BB_Mean]]-(BB_Width*tbl_F[[#This Row],[BB_Stdev]]))</f>
        <v>6.5859352299236233</v>
      </c>
      <c r="M37" s="46">
        <f>IF(ROW(tbl_F[[#This Row],[Adj Close]])=5, 0, $F37-$F36)</f>
        <v>2.0000000000000462E-2</v>
      </c>
      <c r="N37" s="46">
        <f>MAX(tbl_F[[#This Row],[Move]],0)</f>
        <v>2.0000000000000462E-2</v>
      </c>
      <c r="O37" s="46">
        <f>MAX(-tbl_F[[#This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5.0000000000000079E-2</v>
      </c>
      <c r="Q37" s="46">
        <f ca="1">IF(ROW($O37)-5&lt;RSI_Periods, "", AVERAGE(INDIRECT(ADDRESS(ROW($O37)-RSI_Periods +1, MATCH("Downmove", Price_Header,0))): INDIRECT(ADDRESS(ROW($O37),MATCH("Downmove", Price_Header,0)))))</f>
        <v>6.1428571428571513E-2</v>
      </c>
      <c r="R37" s="46">
        <f ca="1">IF(tbl_F[[#This Row],[Avg_Upmove]]="", "", tbl_F[[#This Row],[Avg_Upmove]]/tbl_F[[#This Row],[Avg_Downmove]])</f>
        <v>0.81395348837209325</v>
      </c>
      <c r="S37" s="10">
        <f ca="1">IF(ROW($N37)-4&lt;BB_Periods, "", _xlfn.STDEV.S(INDIRECT(ADDRESS(ROW($F37)-RSI_Periods +1, MATCH("Adj Close", Price_Header,0))): INDIRECT(ADDRESS(ROW($F37),MATCH("Adj Close", Price_Header,0)))))</f>
        <v>0.18738952789533145</v>
      </c>
    </row>
    <row r="38" spans="1:19" x14ac:dyDescent="0.35">
      <c r="A38" s="8">
        <v>44099</v>
      </c>
      <c r="B38" s="10">
        <v>6.61</v>
      </c>
      <c r="C38" s="10">
        <v>6.71</v>
      </c>
      <c r="D38" s="10">
        <v>6.5</v>
      </c>
      <c r="E38" s="10">
        <v>6.51</v>
      </c>
      <c r="F38" s="10">
        <v>6.51</v>
      </c>
      <c r="G38">
        <v>53761800</v>
      </c>
      <c r="H38" s="10">
        <f>IF(tbl_F[[#This Row],[Date]]=$A$5, $F38, EMA_Beta*$H37 + (1-EMA_Beta)*$F38)</f>
        <v>6.8813147133489254</v>
      </c>
      <c r="I38" s="46">
        <f ca="1">IF(tbl_F[[#This Row],[RS]]= "", "", 100-(100/(1+tbl_F[[#This Row],[RS]])))</f>
        <v>38.036809815950924</v>
      </c>
      <c r="J38" s="10">
        <f ca="1">IF(ROW($N38)-4&lt;BB_Periods, "", AVERAGE(INDIRECT(ADDRESS(ROW($F38)-RSI_Periods +1, MATCH("Adj Close", Price_Header,0))): INDIRECT(ADDRESS(ROW($F38),MATCH("Adj Close", Price_Header,0)))))</f>
        <v>6.9328571428571442</v>
      </c>
      <c r="K38" s="10">
        <f ca="1">IF(tbl_F[[#This Row],[BB_Mean]]="", "", tbl_F[[#This Row],[BB_Mean]]+(BB_Width*tbl_F[[#This Row],[BB_Stdev]]))</f>
        <v>7.3783769651859741</v>
      </c>
      <c r="L38" s="10">
        <f ca="1">IF(tbl_F[[#This Row],[BB_Mean]]="", "", tbl_F[[#This Row],[BB_Mean]]-(BB_Width*tbl_F[[#This Row],[BB_Stdev]]))</f>
        <v>6.4873373205283142</v>
      </c>
      <c r="M38" s="46">
        <f>IF(ROW(tbl_F[[#This Row],[Adj Close]])=5, 0, $F38-$F37)</f>
        <v>-0.15000000000000036</v>
      </c>
      <c r="N38" s="46">
        <f>MAX(tbl_F[[#This Row],[Move]],0)</f>
        <v>0</v>
      </c>
      <c r="O38" s="46">
        <f>MAX(-tbl_F[[#This Row],[Move]],0)</f>
        <v>0.15000000000000036</v>
      </c>
      <c r="P38" s="46">
        <f ca="1">IF(ROW($N38)-5&lt;RSI_Periods, "", AVERAGE(INDIRECT(ADDRESS(ROW($N38)-RSI_Periods +1, MATCH("Upmove", Price_Header,0))): INDIRECT(ADDRESS(ROW($N38),MATCH("Upmove", Price_Header,0)))))</f>
        <v>4.4285714285714359E-2</v>
      </c>
      <c r="Q38" s="46">
        <f ca="1">IF(ROW($O38)-5&lt;RSI_Periods, "", AVERAGE(INDIRECT(ADDRESS(ROW($O38)-RSI_Periods +1, MATCH("Downmove", Price_Header,0))): INDIRECT(ADDRESS(ROW($O38),MATCH("Downmove", Price_Header,0)))))</f>
        <v>7.2142857142857258E-2</v>
      </c>
      <c r="R38" s="46">
        <f ca="1">IF(tbl_F[[#This Row],[Avg_Upmove]]="", "", tbl_F[[#This Row],[Avg_Upmove]]/tbl_F[[#This Row],[Avg_Downmove]])</f>
        <v>0.61386138613861385</v>
      </c>
      <c r="S38" s="10">
        <f ca="1">IF(ROW($N38)-4&lt;BB_Periods, "", _xlfn.STDEV.S(INDIRECT(ADDRESS(ROW($F38)-RSI_Periods +1, MATCH("Adj Close", Price_Header,0))): INDIRECT(ADDRESS(ROW($F38),MATCH("Adj Close", Price_Header,0)))))</f>
        <v>0.22275991116441501</v>
      </c>
    </row>
    <row r="39" spans="1:19" x14ac:dyDescent="0.35">
      <c r="A39" s="8">
        <v>44102</v>
      </c>
      <c r="B39" s="10">
        <v>6.59</v>
      </c>
      <c r="C39" s="10">
        <v>6.77</v>
      </c>
      <c r="D39" s="10">
        <v>6.58</v>
      </c>
      <c r="E39" s="10">
        <v>6.69</v>
      </c>
      <c r="F39" s="10">
        <v>6.69</v>
      </c>
      <c r="G39">
        <v>47582600</v>
      </c>
      <c r="H39" s="10">
        <f>IF(tbl_F[[#This Row],[Date]]=$A$5, $F39, EMA_Beta*$H38 + (1-EMA_Beta)*$F39)</f>
        <v>6.8621832420140327</v>
      </c>
      <c r="I39" s="46">
        <f ca="1">IF(tbl_F[[#This Row],[RS]]= "", "", 100-(100/(1+tbl_F[[#This Row],[RS]])))</f>
        <v>39.880952380952401</v>
      </c>
      <c r="J39" s="10">
        <f ca="1">IF(ROW($N39)-4&lt;BB_Periods, "", AVERAGE(INDIRECT(ADDRESS(ROW($F39)-RSI_Periods +1, MATCH("Adj Close", Price_Header,0))): INDIRECT(ADDRESS(ROW($F39),MATCH("Adj Close", Price_Header,0)))))</f>
        <v>6.9085714285714284</v>
      </c>
      <c r="K39" s="10">
        <f ca="1">IF(tbl_F[[#This Row],[BB_Mean]]="", "", tbl_F[[#This Row],[BB_Mean]]+(BB_Width*tbl_F[[#This Row],[BB_Stdev]]))</f>
        <v>7.3681268754885645</v>
      </c>
      <c r="L39" s="10">
        <f ca="1">IF(tbl_F[[#This Row],[BB_Mean]]="", "", tbl_F[[#This Row],[BB_Mean]]-(BB_Width*tbl_F[[#This Row],[BB_Stdev]]))</f>
        <v>6.4490159816542922</v>
      </c>
      <c r="M39" s="46">
        <f>IF(ROW(tbl_F[[#This Row],[Adj Close]])=5, 0, $F39-$F38)</f>
        <v>0.1800000000000006</v>
      </c>
      <c r="N39" s="46">
        <f>MAX(tbl_F[[#This Row],[Move]],0)</f>
        <v>0.1800000000000006</v>
      </c>
      <c r="O39" s="46">
        <f>MAX(-tbl_F[[#This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4.785714285714298E-2</v>
      </c>
      <c r="Q39" s="46">
        <f ca="1">IF(ROW($O39)-5&lt;RSI_Periods, "", AVERAGE(INDIRECT(ADDRESS(ROW($O39)-RSI_Periods +1, MATCH("Downmove", Price_Header,0))): INDIRECT(ADDRESS(ROW($O39),MATCH("Downmove", Price_Header,0)))))</f>
        <v>7.2142857142857258E-2</v>
      </c>
      <c r="R39" s="46">
        <f ca="1">IF(tbl_F[[#This Row],[Avg_Upmove]]="", "", tbl_F[[#This Row],[Avg_Upmove]]/tbl_F[[#This Row],[Avg_Downmove]])</f>
        <v>0.66336633663366396</v>
      </c>
      <c r="S39" s="10">
        <f ca="1">IF(ROW($N39)-4&lt;BB_Periods, "", _xlfn.STDEV.S(INDIRECT(ADDRESS(ROW($F39)-RSI_Periods +1, MATCH("Adj Close", Price_Header,0))): INDIRECT(ADDRESS(ROW($F39),MATCH("Adj Close", Price_Header,0)))))</f>
        <v>0.22977772345856817</v>
      </c>
    </row>
    <row r="40" spans="1:19" x14ac:dyDescent="0.35">
      <c r="A40" s="8">
        <v>44103</v>
      </c>
      <c r="B40" s="10">
        <v>6.69</v>
      </c>
      <c r="C40" s="10">
        <v>6.7</v>
      </c>
      <c r="D40" s="10">
        <v>6.54</v>
      </c>
      <c r="E40" s="10">
        <v>6.6</v>
      </c>
      <c r="F40" s="10">
        <v>6.6</v>
      </c>
      <c r="G40">
        <v>38987300</v>
      </c>
      <c r="H40" s="10">
        <f>IF(tbl_F[[#This Row],[Date]]=$A$5, $F40, EMA_Beta*$H39 + (1-EMA_Beta)*$F40)</f>
        <v>6.83596491781263</v>
      </c>
      <c r="I40" s="46">
        <f ca="1">IF(tbl_F[[#This Row],[RS]]= "", "", 100-(100/(1+tbl_F[[#This Row],[RS]])))</f>
        <v>39.181286549707622</v>
      </c>
      <c r="J40" s="10">
        <f ca="1">IF(ROW($N40)-4&lt;BB_Periods, "", AVERAGE(INDIRECT(ADDRESS(ROW($F40)-RSI_Periods +1, MATCH("Adj Close", Price_Header,0))): INDIRECT(ADDRESS(ROW($F40),MATCH("Adj Close", Price_Header,0)))))</f>
        <v>6.8821428571428571</v>
      </c>
      <c r="K40" s="10">
        <f ca="1">IF(tbl_F[[#This Row],[BB_Mean]]="", "", tbl_F[[#This Row],[BB_Mean]]+(BB_Width*tbl_F[[#This Row],[BB_Stdev]]))</f>
        <v>7.368269056106338</v>
      </c>
      <c r="L40" s="10">
        <f ca="1">IF(tbl_F[[#This Row],[BB_Mean]]="", "", tbl_F[[#This Row],[BB_Mean]]-(BB_Width*tbl_F[[#This Row],[BB_Stdev]]))</f>
        <v>6.3960166581793763</v>
      </c>
      <c r="M40" s="46">
        <f>IF(ROW(tbl_F[[#This Row],[Adj Close]])=5, 0, $F40-$F39)</f>
        <v>-9.0000000000000746E-2</v>
      </c>
      <c r="N40" s="46">
        <f>MAX(tbl_F[[#This Row],[Move]],0)</f>
        <v>0</v>
      </c>
      <c r="O40" s="46">
        <f>MAX(-tbl_F[[#This Row],[Move]],0)</f>
        <v>9.0000000000000746E-2</v>
      </c>
      <c r="P40" s="46">
        <f ca="1">IF(ROW($N40)-5&lt;RSI_Periods, "", AVERAGE(INDIRECT(ADDRESS(ROW($N40)-RSI_Periods +1, MATCH("Upmove", Price_Header,0))): INDIRECT(ADDRESS(ROW($N40),MATCH("Upmove", Price_Header,0)))))</f>
        <v>4.785714285714298E-2</v>
      </c>
      <c r="Q40" s="46">
        <f ca="1">IF(ROW($O40)-5&lt;RSI_Periods, "", AVERAGE(INDIRECT(ADDRESS(ROW($O40)-RSI_Periods +1, MATCH("Downmove", Price_Header,0))): INDIRECT(ADDRESS(ROW($O40),MATCH("Downmove", Price_Header,0)))))</f>
        <v>7.4285714285714413E-2</v>
      </c>
      <c r="R40" s="46">
        <f ca="1">IF(tbl_F[[#This Row],[Avg_Upmove]]="", "", tbl_F[[#This Row],[Avg_Upmove]]/tbl_F[[#This Row],[Avg_Downmove]])</f>
        <v>0.64423076923076983</v>
      </c>
      <c r="S40" s="10">
        <f ca="1">IF(ROW($N40)-4&lt;BB_Periods, "", _xlfn.STDEV.S(INDIRECT(ADDRESS(ROW($F40)-RSI_Periods +1, MATCH("Adj Close", Price_Header,0))): INDIRECT(ADDRESS(ROW($F40),MATCH("Adj Close", Price_Header,0)))))</f>
        <v>0.24306309948174032</v>
      </c>
    </row>
    <row r="41" spans="1:19" x14ac:dyDescent="0.35">
      <c r="A41" s="8">
        <v>44104</v>
      </c>
      <c r="B41" s="10">
        <v>6.61</v>
      </c>
      <c r="C41" s="10">
        <v>6.75</v>
      </c>
      <c r="D41" s="10">
        <v>6.59</v>
      </c>
      <c r="E41" s="10">
        <v>6.66</v>
      </c>
      <c r="F41" s="10">
        <v>6.66</v>
      </c>
      <c r="G41">
        <v>55809500</v>
      </c>
      <c r="H41" s="10">
        <f>IF(tbl_F[[#This Row],[Date]]=$A$5, $F41, EMA_Beta*$H40 + (1-EMA_Beta)*$F41)</f>
        <v>6.8183684260313671</v>
      </c>
      <c r="I41" s="46">
        <f ca="1">IF(tbl_F[[#This Row],[RS]]= "", "", 100-(100/(1+tbl_F[[#This Row],[RS]])))</f>
        <v>42.69005847953219</v>
      </c>
      <c r="J41" s="10">
        <f ca="1">IF(ROW($N41)-4&lt;BB_Periods, "", AVERAGE(INDIRECT(ADDRESS(ROW($F41)-RSI_Periods +1, MATCH("Adj Close", Price_Header,0))): INDIRECT(ADDRESS(ROW($F41),MATCH("Adj Close", Price_Header,0)))))</f>
        <v>6.8642857142857139</v>
      </c>
      <c r="K41" s="10">
        <f ca="1">IF(tbl_F[[#This Row],[BB_Mean]]="", "", tbl_F[[#This Row],[BB_Mean]]+(BB_Width*tbl_F[[#This Row],[BB_Stdev]]))</f>
        <v>7.3641758120973329</v>
      </c>
      <c r="L41" s="10">
        <f ca="1">IF(tbl_F[[#This Row],[BB_Mean]]="", "", tbl_F[[#This Row],[BB_Mean]]-(BB_Width*tbl_F[[#This Row],[BB_Stdev]]))</f>
        <v>6.3643956164740949</v>
      </c>
      <c r="M41" s="46">
        <f>IF(ROW(tbl_F[[#This Row],[Adj Close]])=5, 0, $F41-$F40)</f>
        <v>6.0000000000000497E-2</v>
      </c>
      <c r="N41" s="46">
        <f>MAX(tbl_F[[#This Row],[Move]],0)</f>
        <v>6.0000000000000497E-2</v>
      </c>
      <c r="O41" s="46">
        <f>MAX(-tbl_F[[#This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5.2142857142857303E-2</v>
      </c>
      <c r="Q41" s="46">
        <f ca="1">IF(ROW($O41)-5&lt;RSI_Periods, "", AVERAGE(INDIRECT(ADDRESS(ROW($O41)-RSI_Periods +1, MATCH("Downmove", Price_Header,0))): INDIRECT(ADDRESS(ROW($O41),MATCH("Downmove", Price_Header,0)))))</f>
        <v>7.0000000000000159E-2</v>
      </c>
      <c r="R41" s="46">
        <f ca="1">IF(tbl_F[[#This Row],[Avg_Upmove]]="", "", tbl_F[[#This Row],[Avg_Upmove]]/tbl_F[[#This Row],[Avg_Downmove]])</f>
        <v>0.74489795918367407</v>
      </c>
      <c r="S41" s="10">
        <f ca="1">IF(ROW($N41)-4&lt;BB_Periods, "", _xlfn.STDEV.S(INDIRECT(ADDRESS(ROW($F41)-RSI_Periods +1, MATCH("Adj Close", Price_Header,0))): INDIRECT(ADDRESS(ROW($F41),MATCH("Adj Close", Price_Header,0)))))</f>
        <v>0.24994504890580957</v>
      </c>
    </row>
    <row r="42" spans="1:19" x14ac:dyDescent="0.35">
      <c r="A42" s="8">
        <v>44105</v>
      </c>
      <c r="B42" s="10">
        <v>6.71</v>
      </c>
      <c r="C42" s="10">
        <v>6.77</v>
      </c>
      <c r="D42" s="10">
        <v>6.63</v>
      </c>
      <c r="E42" s="10">
        <v>6.75</v>
      </c>
      <c r="F42" s="10">
        <v>6.75</v>
      </c>
      <c r="G42">
        <v>58340600</v>
      </c>
      <c r="H42" s="10">
        <f>IF(tbl_F[[#This Row],[Date]]=$A$5, $F42, EMA_Beta*$H41 + (1-EMA_Beta)*$F42)</f>
        <v>6.8115315834282306</v>
      </c>
      <c r="I42" s="46">
        <f ca="1">IF(tbl_F[[#This Row],[RS]]= "", "", 100-(100/(1+tbl_F[[#This Row],[RS]])))</f>
        <v>42.69005847953219</v>
      </c>
      <c r="J42" s="10">
        <f ca="1">IF(ROW($N42)-4&lt;BB_Periods, "", AVERAGE(INDIRECT(ADDRESS(ROW($F42)-RSI_Periods +1, MATCH("Adj Close", Price_Header,0))): INDIRECT(ADDRESS(ROW($F42),MATCH("Adj Close", Price_Header,0)))))</f>
        <v>6.8464285714285706</v>
      </c>
      <c r="K42" s="10">
        <f ca="1">IF(tbl_F[[#This Row],[BB_Mean]]="", "", tbl_F[[#This Row],[BB_Mean]]+(BB_Width*tbl_F[[#This Row],[BB_Stdev]]))</f>
        <v>7.3432868327749352</v>
      </c>
      <c r="L42" s="10">
        <f ca="1">IF(tbl_F[[#This Row],[BB_Mean]]="", "", tbl_F[[#This Row],[BB_Mean]]-(BB_Width*tbl_F[[#This Row],[BB_Stdev]]))</f>
        <v>6.3495703100822061</v>
      </c>
      <c r="M42" s="46">
        <f>IF(ROW(tbl_F[[#This Row],[Adj Close]])=5, 0, $F42-$F41)</f>
        <v>8.9999999999999858E-2</v>
      </c>
      <c r="N42" s="46">
        <f>MAX(tbl_F[[#This Row],[Move]],0)</f>
        <v>8.9999999999999858E-2</v>
      </c>
      <c r="O42" s="46">
        <f>MAX(-tbl_F[[#This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5.2142857142857303E-2</v>
      </c>
      <c r="Q42" s="46">
        <f ca="1">IF(ROW($O42)-5&lt;RSI_Periods, "", AVERAGE(INDIRECT(ADDRESS(ROW($O42)-RSI_Periods +1, MATCH("Downmove", Price_Header,0))): INDIRECT(ADDRESS(ROW($O42),MATCH("Downmove", Price_Header,0)))))</f>
        <v>7.0000000000000159E-2</v>
      </c>
      <c r="R42" s="46">
        <f ca="1">IF(tbl_F[[#This Row],[Avg_Upmove]]="", "", tbl_F[[#This Row],[Avg_Upmove]]/tbl_F[[#This Row],[Avg_Downmove]])</f>
        <v>0.74489795918367407</v>
      </c>
      <c r="S42" s="10">
        <f ca="1">IF(ROW($N42)-4&lt;BB_Periods, "", _xlfn.STDEV.S(INDIRECT(ADDRESS(ROW($F42)-RSI_Periods +1, MATCH("Adj Close", Price_Header,0))): INDIRECT(ADDRESS(ROW($F42),MATCH("Adj Close", Price_Header,0)))))</f>
        <v>0.24842913067318215</v>
      </c>
    </row>
    <row r="43" spans="1:19" x14ac:dyDescent="0.35">
      <c r="A43" s="8">
        <v>44106</v>
      </c>
      <c r="B43" s="10">
        <v>6.62</v>
      </c>
      <c r="C43" s="10">
        <v>6.93</v>
      </c>
      <c r="D43" s="10">
        <v>6.6</v>
      </c>
      <c r="E43" s="10">
        <v>6.89</v>
      </c>
      <c r="F43" s="10">
        <v>6.89</v>
      </c>
      <c r="G43">
        <v>60798400</v>
      </c>
      <c r="H43" s="10">
        <f>IF(tbl_F[[#This Row],[Date]]=$A$5, $F43, EMA_Beta*$H42 + (1-EMA_Beta)*$F43)</f>
        <v>6.8193784250854081</v>
      </c>
      <c r="I43" s="46">
        <f ca="1">IF(tbl_F[[#This Row],[RS]]= "", "", 100-(100/(1+tbl_F[[#This Row],[RS]])))</f>
        <v>43.352601156069369</v>
      </c>
      <c r="J43" s="10">
        <f ca="1">IF(ROW($N43)-4&lt;BB_Periods, "", AVERAGE(INDIRECT(ADDRESS(ROW($F43)-RSI_Periods +1, MATCH("Adj Close", Price_Header,0))): INDIRECT(ADDRESS(ROW($F43),MATCH("Adj Close", Price_Header,0)))))</f>
        <v>6.8299999999999992</v>
      </c>
      <c r="K43" s="10">
        <f ca="1">IF(tbl_F[[#This Row],[BB_Mean]]="", "", tbl_F[[#This Row],[BB_Mean]]+(BB_Width*tbl_F[[#This Row],[BB_Stdev]]))</f>
        <v>7.3025055962224554</v>
      </c>
      <c r="L43" s="10">
        <f ca="1">IF(tbl_F[[#This Row],[BB_Mean]]="", "", tbl_F[[#This Row],[BB_Mean]]-(BB_Width*tbl_F[[#This Row],[BB_Stdev]]))</f>
        <v>6.3574944037775429</v>
      </c>
      <c r="M43" s="46">
        <f>IF(ROW(tbl_F[[#This Row],[Adj Close]])=5, 0, $F43-$F42)</f>
        <v>0.13999999999999968</v>
      </c>
      <c r="N43" s="46">
        <f>MAX(tbl_F[[#This Row],[Move]],0)</f>
        <v>0.13999999999999968</v>
      </c>
      <c r="O43" s="46">
        <f>MAX(-tbl_F[[#This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5.35714285714287E-2</v>
      </c>
      <c r="Q43" s="46">
        <f ca="1">IF(ROW($O43)-5&lt;RSI_Periods, "", AVERAGE(INDIRECT(ADDRESS(ROW($O43)-RSI_Periods +1, MATCH("Downmove", Price_Header,0))): INDIRECT(ADDRESS(ROW($O43),MATCH("Downmove", Price_Header,0)))))</f>
        <v>7.0000000000000159E-2</v>
      </c>
      <c r="R43" s="46">
        <f ca="1">IF(tbl_F[[#This Row],[Avg_Upmove]]="", "", tbl_F[[#This Row],[Avg_Upmove]]/tbl_F[[#This Row],[Avg_Downmove]])</f>
        <v>0.76530612244897966</v>
      </c>
      <c r="S43" s="10">
        <f ca="1">IF(ROW($N43)-4&lt;BB_Periods, "", _xlfn.STDEV.S(INDIRECT(ADDRESS(ROW($F43)-RSI_Periods +1, MATCH("Adj Close", Price_Header,0))): INDIRECT(ADDRESS(ROW($F43),MATCH("Adj Close", Price_Header,0)))))</f>
        <v>0.23625279811122801</v>
      </c>
    </row>
    <row r="44" spans="1:19" x14ac:dyDescent="0.35">
      <c r="A44" s="8">
        <v>44109</v>
      </c>
      <c r="B44" s="10">
        <v>6.95</v>
      </c>
      <c r="C44" s="10">
        <v>7.05</v>
      </c>
      <c r="D44" s="10">
        <v>6.95</v>
      </c>
      <c r="E44" s="10">
        <v>7.02</v>
      </c>
      <c r="F44" s="10">
        <v>7.02</v>
      </c>
      <c r="G44">
        <v>42359400</v>
      </c>
      <c r="H44" s="10">
        <f>IF(tbl_F[[#This Row],[Date]]=$A$5, $F44, EMA_Beta*$H43 + (1-EMA_Beta)*$F44)</f>
        <v>6.8394405825768674</v>
      </c>
      <c r="I44" s="46">
        <f ca="1">IF(tbl_F[[#This Row],[RS]]= "", "", 100-(100/(1+tbl_F[[#This Row],[RS]])))</f>
        <v>49.438202247191001</v>
      </c>
      <c r="J44" s="10">
        <f ca="1">IF(ROW($N44)-4&lt;BB_Periods, "", AVERAGE(INDIRECT(ADDRESS(ROW($F44)-RSI_Periods +1, MATCH("Adj Close", Price_Header,0))): INDIRECT(ADDRESS(ROW($F44),MATCH("Adj Close", Price_Header,0)))))</f>
        <v>6.8285714285714283</v>
      </c>
      <c r="K44" s="10">
        <f ca="1">IF(tbl_F[[#This Row],[BB_Mean]]="", "", tbl_F[[#This Row],[BB_Mean]]+(BB_Width*tbl_F[[#This Row],[BB_Stdev]]))</f>
        <v>7.2984556789897725</v>
      </c>
      <c r="L44" s="10">
        <f ca="1">IF(tbl_F[[#This Row],[BB_Mean]]="", "", tbl_F[[#This Row],[BB_Mean]]-(BB_Width*tbl_F[[#This Row],[BB_Stdev]]))</f>
        <v>6.358687178153084</v>
      </c>
      <c r="M44" s="46">
        <f>IF(ROW(tbl_F[[#This Row],[Adj Close]])=5, 0, $F44-$F43)</f>
        <v>0.12999999999999989</v>
      </c>
      <c r="N44" s="46">
        <f>MAX(tbl_F[[#This Row],[Move]],0)</f>
        <v>0.12999999999999989</v>
      </c>
      <c r="O44" s="46">
        <f>MAX(-tbl_F[[#This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6.2857142857142972E-2</v>
      </c>
      <c r="Q44" s="46">
        <f ca="1">IF(ROW($O44)-5&lt;RSI_Periods, "", AVERAGE(INDIRECT(ADDRESS(ROW($O44)-RSI_Periods +1, MATCH("Downmove", Price_Header,0))): INDIRECT(ADDRESS(ROW($O44),MATCH("Downmove", Price_Header,0)))))</f>
        <v>6.4285714285714432E-2</v>
      </c>
      <c r="R44" s="46">
        <f ca="1">IF(tbl_F[[#This Row],[Avg_Upmove]]="", "", tbl_F[[#This Row],[Avg_Upmove]]/tbl_F[[#This Row],[Avg_Downmove]])</f>
        <v>0.9777777777777773</v>
      </c>
      <c r="S44" s="10">
        <f ca="1">IF(ROW($N44)-4&lt;BB_Periods, "", _xlfn.STDEV.S(INDIRECT(ADDRESS(ROW($F44)-RSI_Periods +1, MATCH("Adj Close", Price_Header,0))): INDIRECT(ADDRESS(ROW($F44),MATCH("Adj Close", Price_Header,0)))))</f>
        <v>0.23494212520917196</v>
      </c>
    </row>
    <row r="45" spans="1:19" x14ac:dyDescent="0.35">
      <c r="A45" s="8">
        <v>44110</v>
      </c>
      <c r="B45" s="10">
        <v>7.06</v>
      </c>
      <c r="C45" s="10">
        <v>7.25</v>
      </c>
      <c r="D45" s="10">
        <v>6.96</v>
      </c>
      <c r="E45" s="10">
        <v>6.98</v>
      </c>
      <c r="F45" s="10">
        <v>6.98</v>
      </c>
      <c r="G45">
        <v>78203800</v>
      </c>
      <c r="H45" s="10">
        <f>IF(tbl_F[[#This Row],[Date]]=$A$5, $F45, EMA_Beta*$H44 + (1-EMA_Beta)*$F45)</f>
        <v>6.8534965243191799</v>
      </c>
      <c r="I45" s="46">
        <f ca="1">IF(tbl_F[[#This Row],[RS]]= "", "", 100-(100/(1+tbl_F[[#This Row],[RS]])))</f>
        <v>48.888888888888921</v>
      </c>
      <c r="J45" s="10">
        <f ca="1">IF(ROW($N45)-4&lt;BB_Periods, "", AVERAGE(INDIRECT(ADDRESS(ROW($F45)-RSI_Periods +1, MATCH("Adj Close", Price_Header,0))): INDIRECT(ADDRESS(ROW($F45),MATCH("Adj Close", Price_Header,0)))))</f>
        <v>6.8257142857142856</v>
      </c>
      <c r="K45" s="10">
        <f ca="1">IF(tbl_F[[#This Row],[BB_Mean]]="", "", tbl_F[[#This Row],[BB_Mean]]+(BB_Width*tbl_F[[#This Row],[BB_Stdev]]))</f>
        <v>7.2910488575400461</v>
      </c>
      <c r="L45" s="10">
        <f ca="1">IF(tbl_F[[#This Row],[BB_Mean]]="", "", tbl_F[[#This Row],[BB_Mean]]-(BB_Width*tbl_F[[#This Row],[BB_Stdev]]))</f>
        <v>6.3603797138885252</v>
      </c>
      <c r="M45" s="46">
        <f>IF(ROW(tbl_F[[#This Row],[Adj Close]])=5, 0, $F45-$F44)</f>
        <v>-3.9999999999999147E-2</v>
      </c>
      <c r="N45" s="46">
        <f>MAX(tbl_F[[#This Row],[Move]],0)</f>
        <v>0</v>
      </c>
      <c r="O45" s="46">
        <f>MAX(-tbl_F[[#This Row],[Move]],0)</f>
        <v>3.9999999999999147E-2</v>
      </c>
      <c r="P45" s="46">
        <f ca="1">IF(ROW($N45)-5&lt;RSI_Periods, "", AVERAGE(INDIRECT(ADDRESS(ROW($N45)-RSI_Periods +1, MATCH("Upmove", Price_Header,0))): INDIRECT(ADDRESS(ROW($N45),MATCH("Upmove", Price_Header,0)))))</f>
        <v>6.2857142857142972E-2</v>
      </c>
      <c r="Q45" s="46">
        <f ca="1">IF(ROW($O45)-5&lt;RSI_Periods, "", AVERAGE(INDIRECT(ADDRESS(ROW($O45)-RSI_Periods +1, MATCH("Downmove", Price_Header,0))): INDIRECT(ADDRESS(ROW($O45),MATCH("Downmove", Price_Header,0)))))</f>
        <v>6.5714285714285767E-2</v>
      </c>
      <c r="R45" s="46">
        <f ca="1">IF(tbl_F[[#This Row],[Avg_Upmove]]="", "", tbl_F[[#This Row],[Avg_Upmove]]/tbl_F[[#This Row],[Avg_Downmove]])</f>
        <v>0.95652173913043581</v>
      </c>
      <c r="S45" s="10">
        <f ca="1">IF(ROW($N45)-4&lt;BB_Periods, "", _xlfn.STDEV.S(INDIRECT(ADDRESS(ROW($F45)-RSI_Periods +1, MATCH("Adj Close", Price_Header,0))): INDIRECT(ADDRESS(ROW($F45),MATCH("Adj Close", Price_Header,0)))))</f>
        <v>0.2326672859128803</v>
      </c>
    </row>
    <row r="46" spans="1:19" x14ac:dyDescent="0.35">
      <c r="A46" s="8">
        <v>44111</v>
      </c>
      <c r="B46" s="10">
        <v>7.11</v>
      </c>
      <c r="C46" s="10">
        <v>7.25</v>
      </c>
      <c r="D46" s="10">
        <v>7.06</v>
      </c>
      <c r="E46" s="10">
        <v>7.23</v>
      </c>
      <c r="F46" s="10">
        <v>7.23</v>
      </c>
      <c r="G46">
        <v>50664100</v>
      </c>
      <c r="H46" s="10">
        <f>IF(tbl_F[[#This Row],[Date]]=$A$5, $F46, EMA_Beta*$H45 + (1-EMA_Beta)*$F46)</f>
        <v>6.8911468718872619</v>
      </c>
      <c r="I46" s="46">
        <f ca="1">IF(tbl_F[[#This Row],[RS]]= "", "", 100-(100/(1+tbl_F[[#This Row],[RS]])))</f>
        <v>48.603351955307275</v>
      </c>
      <c r="J46" s="10">
        <f ca="1">IF(ROW($N46)-4&lt;BB_Periods, "", AVERAGE(INDIRECT(ADDRESS(ROW($F46)-RSI_Periods +1, MATCH("Adj Close", Price_Header,0))): INDIRECT(ADDRESS(ROW($F46),MATCH("Adj Close", Price_Header,0)))))</f>
        <v>6.8221428571428575</v>
      </c>
      <c r="K46" s="10">
        <f ca="1">IF(tbl_F[[#This Row],[BB_Mean]]="", "", tbl_F[[#This Row],[BB_Mean]]+(BB_Width*tbl_F[[#This Row],[BB_Stdev]]))</f>
        <v>7.2730004039051668</v>
      </c>
      <c r="L46" s="10">
        <f ca="1">IF(tbl_F[[#This Row],[BB_Mean]]="", "", tbl_F[[#This Row],[BB_Mean]]-(BB_Width*tbl_F[[#This Row],[BB_Stdev]]))</f>
        <v>6.3712853103805482</v>
      </c>
      <c r="M46" s="46">
        <f>IF(ROW(tbl_F[[#This Row],[Adj Close]])=5, 0, $F46-$F45)</f>
        <v>0.25</v>
      </c>
      <c r="N46" s="46">
        <f>MAX(tbl_F[[#This Row],[Move]],0)</f>
        <v>0.25</v>
      </c>
      <c r="O46" s="46">
        <f>MAX(-tbl_F[[#This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6.2142857142857215E-2</v>
      </c>
      <c r="Q46" s="46">
        <f ca="1">IF(ROW($O46)-5&lt;RSI_Periods, "", AVERAGE(INDIRECT(ADDRESS(ROW($O46)-RSI_Periods +1, MATCH("Downmove", Price_Header,0))): INDIRECT(ADDRESS(ROW($O46),MATCH("Downmove", Price_Header,0)))))</f>
        <v>6.5714285714285767E-2</v>
      </c>
      <c r="R46" s="46">
        <f ca="1">IF(tbl_F[[#This Row],[Avg_Upmove]]="", "", tbl_F[[#This Row],[Avg_Upmove]]/tbl_F[[#This Row],[Avg_Downmove]])</f>
        <v>0.94565217391304379</v>
      </c>
      <c r="S46" s="10">
        <f ca="1">IF(ROW($N46)-4&lt;BB_Periods, "", _xlfn.STDEV.S(INDIRECT(ADDRESS(ROW($F46)-RSI_Periods +1, MATCH("Adj Close", Price_Header,0))): INDIRECT(ADDRESS(ROW($F46),MATCH("Adj Close", Price_Header,0)))))</f>
        <v>0.22542877338115455</v>
      </c>
    </row>
    <row r="47" spans="1:19" x14ac:dyDescent="0.35">
      <c r="A47" s="8">
        <v>44112</v>
      </c>
      <c r="B47" s="10">
        <v>7.29</v>
      </c>
      <c r="C47" s="10">
        <v>7.35</v>
      </c>
      <c r="D47" s="10">
        <v>7.2</v>
      </c>
      <c r="E47" s="10">
        <v>7.35</v>
      </c>
      <c r="F47" s="10">
        <v>7.35</v>
      </c>
      <c r="G47">
        <v>54513300</v>
      </c>
      <c r="H47" s="10">
        <f>IF(tbl_F[[#This Row],[Date]]=$A$5, $F47, EMA_Beta*$H46 + (1-EMA_Beta)*$F47)</f>
        <v>6.937032184698535</v>
      </c>
      <c r="I47" s="46">
        <f ca="1">IF(tbl_F[[#This Row],[RS]]= "", "", 100-(100/(1+tbl_F[[#This Row],[RS]])))</f>
        <v>53.225806451612883</v>
      </c>
      <c r="J47" s="10">
        <f ca="1">IF(ROW($N47)-4&lt;BB_Periods, "", AVERAGE(INDIRECT(ADDRESS(ROW($F47)-RSI_Periods +1, MATCH("Adj Close", Price_Header,0))): INDIRECT(ADDRESS(ROW($F47),MATCH("Adj Close", Price_Header,0)))))</f>
        <v>6.8307142857142855</v>
      </c>
      <c r="K47" s="10">
        <f ca="1">IF(tbl_F[[#This Row],[BB_Mean]]="", "", tbl_F[[#This Row],[BB_Mean]]+(BB_Width*tbl_F[[#This Row],[BB_Stdev]]))</f>
        <v>7.3180596401658224</v>
      </c>
      <c r="L47" s="10">
        <f ca="1">IF(tbl_F[[#This Row],[BB_Mean]]="", "", tbl_F[[#This Row],[BB_Mean]]-(BB_Width*tbl_F[[#This Row],[BB_Stdev]]))</f>
        <v>6.3433689312627486</v>
      </c>
      <c r="M47" s="46">
        <f>IF(ROW(tbl_F[[#This Row],[Adj Close]])=5, 0, $F47-$F46)</f>
        <v>0.11999999999999922</v>
      </c>
      <c r="N47" s="46">
        <f>MAX(tbl_F[[#This Row],[Move]],0)</f>
        <v>0.11999999999999922</v>
      </c>
      <c r="O47" s="46">
        <f>MAX(-tbl_F[[#This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7.071428571428573E-2</v>
      </c>
      <c r="Q47" s="46">
        <f ca="1">IF(ROW($O47)-5&lt;RSI_Periods, "", AVERAGE(INDIRECT(ADDRESS(ROW($O47)-RSI_Periods +1, MATCH("Downmove", Price_Header,0))): INDIRECT(ADDRESS(ROW($O47),MATCH("Downmove", Price_Header,0)))))</f>
        <v>6.2142857142857215E-2</v>
      </c>
      <c r="R47" s="46">
        <f ca="1">IF(tbl_F[[#This Row],[Avg_Upmove]]="", "", tbl_F[[#This Row],[Avg_Upmove]]/tbl_F[[#This Row],[Avg_Downmove]])</f>
        <v>1.1379310344827576</v>
      </c>
      <c r="S47" s="10">
        <f ca="1">IF(ROW($N47)-4&lt;BB_Periods, "", _xlfn.STDEV.S(INDIRECT(ADDRESS(ROW($F47)-RSI_Periods +1, MATCH("Adj Close", Price_Header,0))): INDIRECT(ADDRESS(ROW($F47),MATCH("Adj Close", Price_Header,0)))))</f>
        <v>0.24367267722576866</v>
      </c>
    </row>
    <row r="48" spans="1:19" x14ac:dyDescent="0.35">
      <c r="A48" s="8">
        <v>44113</v>
      </c>
      <c r="B48" s="10">
        <v>7.36</v>
      </c>
      <c r="C48" s="10">
        <v>7.44</v>
      </c>
      <c r="D48" s="10">
        <v>7.23</v>
      </c>
      <c r="E48" s="10">
        <v>7.25</v>
      </c>
      <c r="F48" s="10">
        <v>7.25</v>
      </c>
      <c r="G48">
        <v>50977900</v>
      </c>
      <c r="H48" s="10">
        <f>IF(tbl_F[[#This Row],[Date]]=$A$5, $F48, EMA_Beta*$H47 + (1-EMA_Beta)*$F48)</f>
        <v>6.9683289662286816</v>
      </c>
      <c r="I48" s="46">
        <f ca="1">IF(tbl_F[[#This Row],[RS]]= "", "", 100-(100/(1+tbl_F[[#This Row],[RS]])))</f>
        <v>61.874999999999993</v>
      </c>
      <c r="J48" s="10">
        <f ca="1">IF(ROW($N48)-4&lt;BB_Periods, "", AVERAGE(INDIRECT(ADDRESS(ROW($F48)-RSI_Periods +1, MATCH("Adj Close", Price_Header,0))): INDIRECT(ADDRESS(ROW($F48),MATCH("Adj Close", Price_Header,0)))))</f>
        <v>6.8578571428571422</v>
      </c>
      <c r="K48" s="10">
        <f ca="1">IF(tbl_F[[#This Row],[BB_Mean]]="", "", tbl_F[[#This Row],[BB_Mean]]+(BB_Width*tbl_F[[#This Row],[BB_Stdev]]))</f>
        <v>7.3944663587204653</v>
      </c>
      <c r="L48" s="10">
        <f ca="1">IF(tbl_F[[#This Row],[BB_Mean]]="", "", tbl_F[[#This Row],[BB_Mean]]-(BB_Width*tbl_F[[#This Row],[BB_Stdev]]))</f>
        <v>6.3212479269938191</v>
      </c>
      <c r="M48" s="46">
        <f>IF(ROW(tbl_F[[#This Row],[Adj Close]])=5, 0, $F48-$F47)</f>
        <v>-9.9999999999999645E-2</v>
      </c>
      <c r="N48" s="46">
        <f>MAX(tbl_F[[#This Row],[Move]],0)</f>
        <v>0</v>
      </c>
      <c r="O48" s="46">
        <f>MAX(-tbl_F[[#This Row],[Move]],0)</f>
        <v>9.9999999999999645E-2</v>
      </c>
      <c r="P48" s="46">
        <f ca="1">IF(ROW($N48)-5&lt;RSI_Periods, "", AVERAGE(INDIRECT(ADDRESS(ROW($N48)-RSI_Periods +1, MATCH("Upmove", Price_Header,0))): INDIRECT(ADDRESS(ROW($N48),MATCH("Upmove", Price_Header,0)))))</f>
        <v>7.071428571428573E-2</v>
      </c>
      <c r="Q48" s="46">
        <f ca="1">IF(ROW($O48)-5&lt;RSI_Periods, "", AVERAGE(INDIRECT(ADDRESS(ROW($O48)-RSI_Periods +1, MATCH("Downmove", Price_Header,0))): INDIRECT(ADDRESS(ROW($O48),MATCH("Downmove", Price_Header,0)))))</f>
        <v>4.3571428571428594E-2</v>
      </c>
      <c r="R48" s="46">
        <f ca="1">IF(tbl_F[[#This Row],[Avg_Upmove]]="", "", tbl_F[[#This Row],[Avg_Upmove]]/tbl_F[[#This Row],[Avg_Downmove]])</f>
        <v>1.6229508196721307</v>
      </c>
      <c r="S48" s="10">
        <f ca="1">IF(ROW($N48)-4&lt;BB_Periods, "", _xlfn.STDEV.S(INDIRECT(ADDRESS(ROW($F48)-RSI_Periods +1, MATCH("Adj Close", Price_Header,0))): INDIRECT(ADDRESS(ROW($F48),MATCH("Adj Close", Price_Header,0)))))</f>
        <v>0.26830460793166155</v>
      </c>
    </row>
    <row r="49" spans="1:19" x14ac:dyDescent="0.35">
      <c r="A49" s="8">
        <v>44116</v>
      </c>
      <c r="B49" s="10">
        <v>7.36</v>
      </c>
      <c r="C49" s="10">
        <v>7.87</v>
      </c>
      <c r="D49" s="10">
        <v>7.33</v>
      </c>
      <c r="E49" s="10">
        <v>7.67</v>
      </c>
      <c r="F49" s="10">
        <v>7.67</v>
      </c>
      <c r="G49">
        <v>97692900</v>
      </c>
      <c r="H49" s="10">
        <f>IF(tbl_F[[#This Row],[Date]]=$A$5, $F49, EMA_Beta*$H48 + (1-EMA_Beta)*$F49)</f>
        <v>7.038496069605813</v>
      </c>
      <c r="I49" s="46">
        <f ca="1">IF(tbl_F[[#This Row],[RS]]= "", "", 100-(100/(1+tbl_F[[#This Row],[RS]])))</f>
        <v>73.056994818652839</v>
      </c>
      <c r="J49" s="10">
        <f ca="1">IF(ROW($N49)-4&lt;BB_Periods, "", AVERAGE(INDIRECT(ADDRESS(ROW($F49)-RSI_Periods +1, MATCH("Adj Close", Price_Header,0))): INDIRECT(ADDRESS(ROW($F49),MATCH("Adj Close", Price_Header,0)))))</f>
        <v>6.9214285714285717</v>
      </c>
      <c r="K49" s="10">
        <f ca="1">IF(tbl_F[[#This Row],[BB_Mean]]="", "", tbl_F[[#This Row],[BB_Mean]]+(BB_Width*tbl_F[[#This Row],[BB_Stdev]]))</f>
        <v>7.608175961683517</v>
      </c>
      <c r="L49" s="10">
        <f ca="1">IF(tbl_F[[#This Row],[BB_Mean]]="", "", tbl_F[[#This Row],[BB_Mean]]-(BB_Width*tbl_F[[#This Row],[BB_Stdev]]))</f>
        <v>6.2346811811736265</v>
      </c>
      <c r="M49" s="46">
        <f>IF(ROW(tbl_F[[#This Row],[Adj Close]])=5, 0, $F49-$F48)</f>
        <v>0.41999999999999993</v>
      </c>
      <c r="N49" s="46">
        <f>MAX(tbl_F[[#This Row],[Move]],0)</f>
        <v>0.41999999999999993</v>
      </c>
      <c r="O49" s="46">
        <f>MAX(-tbl_F[[#This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0.10071428571428573</v>
      </c>
      <c r="Q49" s="46">
        <f ca="1">IF(ROW($O49)-5&lt;RSI_Periods, "", AVERAGE(INDIRECT(ADDRESS(ROW($O49)-RSI_Periods +1, MATCH("Downmove", Price_Header,0))): INDIRECT(ADDRESS(ROW($O49),MATCH("Downmove", Price_Header,0)))))</f>
        <v>3.7142857142857179E-2</v>
      </c>
      <c r="R49" s="46">
        <f ca="1">IF(tbl_F[[#This Row],[Avg_Upmove]]="", "", tbl_F[[#This Row],[Avg_Upmove]]/tbl_F[[#This Row],[Avg_Downmove]])</f>
        <v>2.7115384615384595</v>
      </c>
      <c r="S49" s="10">
        <f ca="1">IF(ROW($N49)-4&lt;BB_Periods, "", _xlfn.STDEV.S(INDIRECT(ADDRESS(ROW($F49)-RSI_Periods +1, MATCH("Adj Close", Price_Header,0))): INDIRECT(ADDRESS(ROW($F49),MATCH("Adj Close", Price_Header,0)))))</f>
        <v>0.34337369512747257</v>
      </c>
    </row>
    <row r="50" spans="1:19" x14ac:dyDescent="0.35">
      <c r="A50" s="8">
        <v>44117</v>
      </c>
      <c r="B50" s="10">
        <v>7.82</v>
      </c>
      <c r="C50" s="10">
        <v>7.88</v>
      </c>
      <c r="D50" s="10">
        <v>7.63</v>
      </c>
      <c r="E50" s="10">
        <v>7.76</v>
      </c>
      <c r="F50" s="10">
        <v>7.76</v>
      </c>
      <c r="G50">
        <v>74562600</v>
      </c>
      <c r="H50" s="10">
        <f>IF(tbl_F[[#This Row],[Date]]=$A$5, $F50, EMA_Beta*$H49 + (1-EMA_Beta)*$F50)</f>
        <v>7.1106464626452315</v>
      </c>
      <c r="I50" s="46">
        <f ca="1">IF(tbl_F[[#This Row],[RS]]= "", "", 100-(100/(1+tbl_F[[#This Row],[RS]])))</f>
        <v>79.787234042553195</v>
      </c>
      <c r="J50" s="10">
        <f ca="1">IF(ROW($N50)-4&lt;BB_Periods, "", AVERAGE(INDIRECT(ADDRESS(ROW($F50)-RSI_Periods +1, MATCH("Adj Close", Price_Header,0))): INDIRECT(ADDRESS(ROW($F50),MATCH("Adj Close", Price_Header,0)))))</f>
        <v>7.0014285714285718</v>
      </c>
      <c r="K50" s="10">
        <f ca="1">IF(tbl_F[[#This Row],[BB_Mean]]="", "", tbl_F[[#This Row],[BB_Mean]]+(BB_Width*tbl_F[[#This Row],[BB_Stdev]]))</f>
        <v>7.7989577227783808</v>
      </c>
      <c r="L50" s="10">
        <f ca="1">IF(tbl_F[[#This Row],[BB_Mean]]="", "", tbl_F[[#This Row],[BB_Mean]]-(BB_Width*tbl_F[[#This Row],[BB_Stdev]]))</f>
        <v>6.2038994200787627</v>
      </c>
      <c r="M50" s="46">
        <f>IF(ROW(tbl_F[[#This Row],[Adj Close]])=5, 0, $F50-$F49)</f>
        <v>8.9999999999999858E-2</v>
      </c>
      <c r="N50" s="46">
        <f>MAX(tbl_F[[#This Row],[Move]],0)</f>
        <v>8.9999999999999858E-2</v>
      </c>
      <c r="O50" s="46">
        <f>MAX(-tbl_F[[#This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0.10714285714285714</v>
      </c>
      <c r="Q50" s="46">
        <f ca="1">IF(ROW($O50)-5&lt;RSI_Periods, "", AVERAGE(INDIRECT(ADDRESS(ROW($O50)-RSI_Periods +1, MATCH("Downmove", Price_Header,0))): INDIRECT(ADDRESS(ROW($O50),MATCH("Downmove", Price_Header,0)))))</f>
        <v>2.7142857142857135E-2</v>
      </c>
      <c r="R50" s="46">
        <f ca="1">IF(tbl_F[[#This Row],[Avg_Upmove]]="", "", tbl_F[[#This Row],[Avg_Upmove]]/tbl_F[[#This Row],[Avg_Downmove]])</f>
        <v>3.9473684210526323</v>
      </c>
      <c r="S50" s="10">
        <f ca="1">IF(ROW($N50)-4&lt;BB_Periods, "", _xlfn.STDEV.S(INDIRECT(ADDRESS(ROW($F50)-RSI_Periods +1, MATCH("Adj Close", Price_Header,0))): INDIRECT(ADDRESS(ROW($F50),MATCH("Adj Close", Price_Header,0)))))</f>
        <v>0.3987645756749047</v>
      </c>
    </row>
    <row r="51" spans="1:19" x14ac:dyDescent="0.35">
      <c r="A51" s="8">
        <v>44118</v>
      </c>
      <c r="B51" s="10">
        <v>7.73</v>
      </c>
      <c r="C51" s="10">
        <v>7.75</v>
      </c>
      <c r="D51" s="10">
        <v>7.55</v>
      </c>
      <c r="E51" s="10">
        <v>7.57</v>
      </c>
      <c r="F51" s="10">
        <v>7.57</v>
      </c>
      <c r="G51">
        <v>57808900</v>
      </c>
      <c r="H51" s="10">
        <f>IF(tbl_F[[#This Row],[Date]]=$A$5, $F51, EMA_Beta*$H50 + (1-EMA_Beta)*$F51)</f>
        <v>7.156581816380708</v>
      </c>
      <c r="I51" s="46">
        <f ca="1">IF(tbl_F[[#This Row],[RS]]= "", "", 100-(100/(1+tbl_F[[#This Row],[RS]])))</f>
        <v>72.195121951219534</v>
      </c>
      <c r="J51" s="10">
        <f ca="1">IF(ROW($N51)-4&lt;BB_Periods, "", AVERAGE(INDIRECT(ADDRESS(ROW($F51)-RSI_Periods +1, MATCH("Adj Close", Price_Header,0))): INDIRECT(ADDRESS(ROW($F51),MATCH("Adj Close", Price_Header,0)))))</f>
        <v>7.0664285714285722</v>
      </c>
      <c r="K51" s="10">
        <f ca="1">IF(tbl_F[[#This Row],[BB_Mean]]="", "", tbl_F[[#This Row],[BB_Mean]]+(BB_Width*tbl_F[[#This Row],[BB_Stdev]]))</f>
        <v>7.891930083996991</v>
      </c>
      <c r="L51" s="10">
        <f ca="1">IF(tbl_F[[#This Row],[BB_Mean]]="", "", tbl_F[[#This Row],[BB_Mean]]-(BB_Width*tbl_F[[#This Row],[BB_Stdev]]))</f>
        <v>6.2409270588601533</v>
      </c>
      <c r="M51" s="46">
        <f>IF(ROW(tbl_F[[#This Row],[Adj Close]])=5, 0, $F51-$F50)</f>
        <v>-0.1899999999999995</v>
      </c>
      <c r="N51" s="46">
        <f>MAX(tbl_F[[#This Row],[Move]],0)</f>
        <v>0</v>
      </c>
      <c r="O51" s="46">
        <f>MAX(-tbl_F[[#This Row],[Move]],0)</f>
        <v>0.1899999999999995</v>
      </c>
      <c r="P51" s="46">
        <f ca="1">IF(ROW($N51)-5&lt;RSI_Periods, "", AVERAGE(INDIRECT(ADDRESS(ROW($N51)-RSI_Periods +1, MATCH("Upmove", Price_Header,0))): INDIRECT(ADDRESS(ROW($N51),MATCH("Upmove", Price_Header,0)))))</f>
        <v>0.10571428571428568</v>
      </c>
      <c r="Q51" s="46">
        <f ca="1">IF(ROW($O51)-5&lt;RSI_Periods, "", AVERAGE(INDIRECT(ADDRESS(ROW($O51)-RSI_Periods +1, MATCH("Downmove", Price_Header,0))): INDIRECT(ADDRESS(ROW($O51),MATCH("Downmove", Price_Header,0)))))</f>
        <v>4.0714285714285668E-2</v>
      </c>
      <c r="R51" s="46">
        <f ca="1">IF(tbl_F[[#This Row],[Avg_Upmove]]="", "", tbl_F[[#This Row],[Avg_Upmove]]/tbl_F[[#This Row],[Avg_Downmove]])</f>
        <v>2.5964912280701773</v>
      </c>
      <c r="S51" s="10">
        <f ca="1">IF(ROW($N51)-4&lt;BB_Periods, "", _xlfn.STDEV.S(INDIRECT(ADDRESS(ROW($F51)-RSI_Periods +1, MATCH("Adj Close", Price_Header,0))): INDIRECT(ADDRESS(ROW($F51),MATCH("Adj Close", Price_Header,0)))))</f>
        <v>0.41275075628420937</v>
      </c>
    </row>
    <row r="52" spans="1:19" x14ac:dyDescent="0.35">
      <c r="A52" s="8">
        <v>44119</v>
      </c>
      <c r="B52" s="10">
        <v>7.42</v>
      </c>
      <c r="C52" s="10">
        <v>7.62</v>
      </c>
      <c r="D52" s="10">
        <v>7.37</v>
      </c>
      <c r="E52" s="10">
        <v>7.62</v>
      </c>
      <c r="F52" s="10">
        <v>7.62</v>
      </c>
      <c r="G52">
        <v>49336200</v>
      </c>
      <c r="H52" s="10">
        <f>IF(tbl_F[[#This Row],[Date]]=$A$5, $F52, EMA_Beta*$H51 + (1-EMA_Beta)*$F52)</f>
        <v>7.2029236347426373</v>
      </c>
      <c r="I52" s="46">
        <f ca="1">IF(tbl_F[[#This Row],[RS]]= "", "", 100-(100/(1+tbl_F[[#This Row],[RS]])))</f>
        <v>78.461538461538495</v>
      </c>
      <c r="J52" s="10">
        <f ca="1">IF(ROW($N52)-4&lt;BB_Periods, "", AVERAGE(INDIRECT(ADDRESS(ROW($F52)-RSI_Periods +1, MATCH("Adj Close", Price_Header,0))): INDIRECT(ADDRESS(ROW($F52),MATCH("Adj Close", Price_Header,0)))))</f>
        <v>7.1457142857142868</v>
      </c>
      <c r="K52" s="10">
        <f ca="1">IF(tbl_F[[#This Row],[BB_Mean]]="", "", tbl_F[[#This Row],[BB_Mean]]+(BB_Width*tbl_F[[#This Row],[BB_Stdev]]))</f>
        <v>7.9540445413634258</v>
      </c>
      <c r="L52" s="10">
        <f ca="1">IF(tbl_F[[#This Row],[BB_Mean]]="", "", tbl_F[[#This Row],[BB_Mean]]-(BB_Width*tbl_F[[#This Row],[BB_Stdev]]))</f>
        <v>6.3373840300651478</v>
      </c>
      <c r="M52" s="46">
        <f>IF(ROW(tbl_F[[#This Row],[Adj Close]])=5, 0, $F52-$F51)</f>
        <v>4.9999999999999822E-2</v>
      </c>
      <c r="N52" s="46">
        <f>MAX(tbl_F[[#This Row],[Move]],0)</f>
        <v>4.9999999999999822E-2</v>
      </c>
      <c r="O52" s="46">
        <f>MAX(-tbl_F[[#This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0.10928571428571424</v>
      </c>
      <c r="Q52" s="46">
        <f ca="1">IF(ROW($O52)-5&lt;RSI_Periods, "", AVERAGE(INDIRECT(ADDRESS(ROW($O52)-RSI_Periods +1, MATCH("Downmove", Price_Header,0))): INDIRECT(ADDRESS(ROW($O52),MATCH("Downmove", Price_Header,0)))))</f>
        <v>2.9999999999999933E-2</v>
      </c>
      <c r="R52" s="46">
        <f ca="1">IF(tbl_F[[#This Row],[Avg_Upmove]]="", "", tbl_F[[#This Row],[Avg_Upmove]]/tbl_F[[#This Row],[Avg_Downmove]])</f>
        <v>3.6428571428571495</v>
      </c>
      <c r="S52" s="10">
        <f ca="1">IF(ROW($N52)-4&lt;BB_Periods, "", _xlfn.STDEV.S(INDIRECT(ADDRESS(ROW($F52)-RSI_Periods +1, MATCH("Adj Close", Price_Header,0))): INDIRECT(ADDRESS(ROW($F52),MATCH("Adj Close", Price_Header,0)))))</f>
        <v>0.40416512782456943</v>
      </c>
    </row>
    <row r="53" spans="1:19" x14ac:dyDescent="0.35">
      <c r="A53" s="8">
        <v>44120</v>
      </c>
      <c r="B53" s="10">
        <v>7.71</v>
      </c>
      <c r="C53" s="10">
        <v>7.75</v>
      </c>
      <c r="D53" s="10">
        <v>7.61</v>
      </c>
      <c r="E53" s="10">
        <v>7.67</v>
      </c>
      <c r="F53" s="10">
        <v>7.67</v>
      </c>
      <c r="G53">
        <v>47509400</v>
      </c>
      <c r="H53" s="10">
        <f>IF(tbl_F[[#This Row],[Date]]=$A$5, $F53, EMA_Beta*$H52 + (1-EMA_Beta)*$F53)</f>
        <v>7.249631271268373</v>
      </c>
      <c r="I53" s="46">
        <f ca="1">IF(tbl_F[[#This Row],[RS]]= "", "", 100-(100/(1+tbl_F[[#This Row],[RS]])))</f>
        <v>76.923076923076948</v>
      </c>
      <c r="J53" s="10">
        <f ca="1">IF(ROW($N53)-4&lt;BB_Periods, "", AVERAGE(INDIRECT(ADDRESS(ROW($F53)-RSI_Periods +1, MATCH("Adj Close", Price_Header,0))): INDIRECT(ADDRESS(ROW($F53),MATCH("Adj Close", Price_Header,0)))))</f>
        <v>7.2157142857142871</v>
      </c>
      <c r="K53" s="10">
        <f ca="1">IF(tbl_F[[#This Row],[BB_Mean]]="", "", tbl_F[[#This Row],[BB_Mean]]+(BB_Width*tbl_F[[#This Row],[BB_Stdev]]))</f>
        <v>8.0237780412231157</v>
      </c>
      <c r="L53" s="10">
        <f ca="1">IF(tbl_F[[#This Row],[BB_Mean]]="", "", tbl_F[[#This Row],[BB_Mean]]-(BB_Width*tbl_F[[#This Row],[BB_Stdev]]))</f>
        <v>6.4076505302054576</v>
      </c>
      <c r="M53" s="46">
        <f>IF(ROW(tbl_F[[#This Row],[Adj Close]])=5, 0, $F53-$F52)</f>
        <v>4.9999999999999822E-2</v>
      </c>
      <c r="N53" s="46">
        <f>MAX(tbl_F[[#This Row],[Move]],0)</f>
        <v>4.9999999999999822E-2</v>
      </c>
      <c r="O53" s="46">
        <f>MAX(-tbl_F[[#This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9.9999999999999895E-2</v>
      </c>
      <c r="Q53" s="46">
        <f ca="1">IF(ROW($O53)-5&lt;RSI_Periods, "", AVERAGE(INDIRECT(ADDRESS(ROW($O53)-RSI_Periods +1, MATCH("Downmove", Price_Header,0))): INDIRECT(ADDRESS(ROW($O53),MATCH("Downmove", Price_Header,0)))))</f>
        <v>2.9999999999999933E-2</v>
      </c>
      <c r="R53" s="46">
        <f ca="1">IF(tbl_F[[#This Row],[Avg_Upmove]]="", "", tbl_F[[#This Row],[Avg_Upmove]]/tbl_F[[#This Row],[Avg_Downmove]])</f>
        <v>3.3333333333333375</v>
      </c>
      <c r="S53" s="10">
        <f ca="1">IF(ROW($N53)-4&lt;BB_Periods, "", _xlfn.STDEV.S(INDIRECT(ADDRESS(ROW($F53)-RSI_Periods +1, MATCH("Adj Close", Price_Header,0))): INDIRECT(ADDRESS(ROW($F53),MATCH("Adj Close", Price_Header,0)))))</f>
        <v>0.40403187775441468</v>
      </c>
    </row>
    <row r="54" spans="1:19" x14ac:dyDescent="0.35">
      <c r="A54" s="8">
        <v>44123</v>
      </c>
      <c r="B54" s="10">
        <v>7.68</v>
      </c>
      <c r="C54" s="10">
        <v>7.72</v>
      </c>
      <c r="D54" s="10">
        <v>7.57</v>
      </c>
      <c r="E54" s="10">
        <v>7.59</v>
      </c>
      <c r="F54" s="10">
        <v>7.59</v>
      </c>
      <c r="G54">
        <v>38960700</v>
      </c>
      <c r="H54" s="10">
        <f>IF(tbl_F[[#This Row],[Date]]=$A$5, $F54, EMA_Beta*$H53 + (1-EMA_Beta)*$F54)</f>
        <v>7.2836681441415356</v>
      </c>
      <c r="I54" s="46">
        <f ca="1">IF(tbl_F[[#This Row],[RS]]= "", "", 100-(100/(1+tbl_F[[#This Row],[RS]])))</f>
        <v>77.348066298342587</v>
      </c>
      <c r="J54" s="10">
        <f ca="1">IF(ROW($N54)-4&lt;BB_Periods, "", AVERAGE(INDIRECT(ADDRESS(ROW($F54)-RSI_Periods +1, MATCH("Adj Close", Price_Header,0))): INDIRECT(ADDRESS(ROW($F54),MATCH("Adj Close", Price_Header,0)))))</f>
        <v>7.2864285714285719</v>
      </c>
      <c r="K54" s="10">
        <f ca="1">IF(tbl_F[[#This Row],[BB_Mean]]="", "", tbl_F[[#This Row],[BB_Mean]]+(BB_Width*tbl_F[[#This Row],[BB_Stdev]]))</f>
        <v>8.0333445750618555</v>
      </c>
      <c r="L54" s="10">
        <f ca="1">IF(tbl_F[[#This Row],[BB_Mean]]="", "", tbl_F[[#This Row],[BB_Mean]]-(BB_Width*tbl_F[[#This Row],[BB_Stdev]]))</f>
        <v>6.5395125677952874</v>
      </c>
      <c r="M54" s="46">
        <f>IF(ROW(tbl_F[[#This Row],[Adj Close]])=5, 0, $F54-$F53)</f>
        <v>-8.0000000000000071E-2</v>
      </c>
      <c r="N54" s="46">
        <f>MAX(tbl_F[[#This Row],[Move]],0)</f>
        <v>0</v>
      </c>
      <c r="O54" s="46">
        <f>MAX(-tbl_F[[#This Row],[Move]],0)</f>
        <v>8.0000000000000071E-2</v>
      </c>
      <c r="P54" s="46">
        <f ca="1">IF(ROW($N54)-5&lt;RSI_Periods, "", AVERAGE(INDIRECT(ADDRESS(ROW($N54)-RSI_Periods +1, MATCH("Upmove", Price_Header,0))): INDIRECT(ADDRESS(ROW($N54),MATCH("Upmove", Price_Header,0)))))</f>
        <v>9.9999999999999895E-2</v>
      </c>
      <c r="Q54" s="46">
        <f ca="1">IF(ROW($O54)-5&lt;RSI_Periods, "", AVERAGE(INDIRECT(ADDRESS(ROW($O54)-RSI_Periods +1, MATCH("Downmove", Price_Header,0))): INDIRECT(ADDRESS(ROW($O54),MATCH("Downmove", Price_Header,0)))))</f>
        <v>2.9285714285714168E-2</v>
      </c>
      <c r="R54" s="46">
        <f ca="1">IF(tbl_F[[#This Row],[Avg_Upmove]]="", "", tbl_F[[#This Row],[Avg_Upmove]]/tbl_F[[#This Row],[Avg_Downmove]])</f>
        <v>3.4146341463414736</v>
      </c>
      <c r="S54" s="10">
        <f ca="1">IF(ROW($N54)-4&lt;BB_Periods, "", _xlfn.STDEV.S(INDIRECT(ADDRESS(ROW($F54)-RSI_Periods +1, MATCH("Adj Close", Price_Header,0))): INDIRECT(ADDRESS(ROW($F54),MATCH("Adj Close", Price_Header,0)))))</f>
        <v>0.37345800181664218</v>
      </c>
    </row>
    <row r="55" spans="1:19" x14ac:dyDescent="0.35">
      <c r="A55" s="8">
        <v>44124</v>
      </c>
      <c r="B55" s="10">
        <v>7.62</v>
      </c>
      <c r="C55" s="10">
        <v>7.85</v>
      </c>
      <c r="D55" s="10">
        <v>7.58</v>
      </c>
      <c r="E55" s="10">
        <v>7.74</v>
      </c>
      <c r="F55" s="10">
        <v>7.74</v>
      </c>
      <c r="G55">
        <v>63447000</v>
      </c>
      <c r="H55" s="10">
        <f>IF(tbl_F[[#This Row],[Date]]=$A$5, $F55, EMA_Beta*$H54 + (1-EMA_Beta)*$F55)</f>
        <v>7.3293013297273824</v>
      </c>
      <c r="I55" s="46">
        <f ca="1">IF(tbl_F[[#This Row],[RS]]= "", "", 100-(100/(1+tbl_F[[#This Row],[RS]])))</f>
        <v>78.421052631579002</v>
      </c>
      <c r="J55" s="10">
        <f ca="1">IF(ROW($N55)-4&lt;BB_Periods, "", AVERAGE(INDIRECT(ADDRESS(ROW($F55)-RSI_Periods +1, MATCH("Adj Close", Price_Header,0))): INDIRECT(ADDRESS(ROW($F55),MATCH("Adj Close", Price_Header,0)))))</f>
        <v>7.3635714285714284</v>
      </c>
      <c r="K55" s="10">
        <f ca="1">IF(tbl_F[[#This Row],[BB_Mean]]="", "", tbl_F[[#This Row],[BB_Mean]]+(BB_Width*tbl_F[[#This Row],[BB_Stdev]]))</f>
        <v>8.052633540000139</v>
      </c>
      <c r="L55" s="10">
        <f ca="1">IF(tbl_F[[#This Row],[BB_Mean]]="", "", tbl_F[[#This Row],[BB_Mean]]-(BB_Width*tbl_F[[#This Row],[BB_Stdev]]))</f>
        <v>6.674509317142717</v>
      </c>
      <c r="M55" s="46">
        <f>IF(ROW(tbl_F[[#This Row],[Adj Close]])=5, 0, $F55-$F54)</f>
        <v>0.15000000000000036</v>
      </c>
      <c r="N55" s="46">
        <f>MAX(tbl_F[[#This Row],[Move]],0)</f>
        <v>0.15000000000000036</v>
      </c>
      <c r="O55" s="46">
        <f>MAX(-tbl_F[[#This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0.10642857142857132</v>
      </c>
      <c r="Q55" s="46">
        <f ca="1">IF(ROW($O55)-5&lt;RSI_Periods, "", AVERAGE(INDIRECT(ADDRESS(ROW($O55)-RSI_Periods +1, MATCH("Downmove", Price_Header,0))): INDIRECT(ADDRESS(ROW($O55),MATCH("Downmove", Price_Header,0)))))</f>
        <v>2.9285714285714168E-2</v>
      </c>
      <c r="R55" s="46">
        <f ca="1">IF(tbl_F[[#This Row],[Avg_Upmove]]="", "", tbl_F[[#This Row],[Avg_Upmove]]/tbl_F[[#This Row],[Avg_Downmove]])</f>
        <v>3.6341463414634254</v>
      </c>
      <c r="S55" s="10">
        <f ca="1">IF(ROW($N55)-4&lt;BB_Periods, "", _xlfn.STDEV.S(INDIRECT(ADDRESS(ROW($F55)-RSI_Periods +1, MATCH("Adj Close", Price_Header,0))): INDIRECT(ADDRESS(ROW($F55),MATCH("Adj Close", Price_Header,0)))))</f>
        <v>0.34453105571435555</v>
      </c>
    </row>
    <row r="56" spans="1:19" x14ac:dyDescent="0.35">
      <c r="A56" s="8">
        <v>44125</v>
      </c>
      <c r="B56" s="10">
        <v>7.77</v>
      </c>
      <c r="C56" s="10">
        <v>7.88</v>
      </c>
      <c r="D56" s="10">
        <v>7.73</v>
      </c>
      <c r="E56" s="10">
        <v>7.85</v>
      </c>
      <c r="F56" s="10">
        <v>7.85</v>
      </c>
      <c r="G56">
        <v>51981100</v>
      </c>
      <c r="H56" s="10">
        <f>IF(tbl_F[[#This Row],[Date]]=$A$5, $F56, EMA_Beta*$H55 + (1-EMA_Beta)*$F56)</f>
        <v>7.3813711967546443</v>
      </c>
      <c r="I56" s="46">
        <f ca="1">IF(tbl_F[[#This Row],[RS]]= "", "", 100-(100/(1+tbl_F[[#This Row],[RS]])))</f>
        <v>78.645833333333371</v>
      </c>
      <c r="J56" s="10">
        <f ca="1">IF(ROW($N56)-4&lt;BB_Periods, "", AVERAGE(INDIRECT(ADDRESS(ROW($F56)-RSI_Periods +1, MATCH("Adj Close", Price_Header,0))): INDIRECT(ADDRESS(ROW($F56),MATCH("Adj Close", Price_Header,0)))))</f>
        <v>7.4421428571428567</v>
      </c>
      <c r="K56" s="10">
        <f ca="1">IF(tbl_F[[#This Row],[BB_Mean]]="", "", tbl_F[[#This Row],[BB_Mean]]+(BB_Width*tbl_F[[#This Row],[BB_Stdev]]))</f>
        <v>8.0786805384942593</v>
      </c>
      <c r="L56" s="10">
        <f ca="1">IF(tbl_F[[#This Row],[BB_Mean]]="", "", tbl_F[[#This Row],[BB_Mean]]-(BB_Width*tbl_F[[#This Row],[BB_Stdev]]))</f>
        <v>6.8056051757914542</v>
      </c>
      <c r="M56" s="46">
        <f>IF(ROW(tbl_F[[#This Row],[Adj Close]])=5, 0, $F56-$F55)</f>
        <v>0.10999999999999943</v>
      </c>
      <c r="N56" s="46">
        <f>MAX(tbl_F[[#This Row],[Move]],0)</f>
        <v>0.10999999999999943</v>
      </c>
      <c r="O56" s="46">
        <f>MAX(-tbl_F[[#This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0.10785714285714272</v>
      </c>
      <c r="Q56" s="46">
        <f ca="1">IF(ROW($O56)-5&lt;RSI_Periods, "", AVERAGE(INDIRECT(ADDRESS(ROW($O56)-RSI_Periods +1, MATCH("Downmove", Price_Header,0))): INDIRECT(ADDRESS(ROW($O56),MATCH("Downmove", Price_Header,0)))))</f>
        <v>2.9285714285714168E-2</v>
      </c>
      <c r="R56" s="46">
        <f ca="1">IF(tbl_F[[#This Row],[Avg_Upmove]]="", "", tbl_F[[#This Row],[Avg_Upmove]]/tbl_F[[#This Row],[Avg_Downmove]])</f>
        <v>3.6829268292683026</v>
      </c>
      <c r="S56" s="10">
        <f ca="1">IF(ROW($N56)-4&lt;BB_Periods, "", _xlfn.STDEV.S(INDIRECT(ADDRESS(ROW($F56)-RSI_Periods +1, MATCH("Adj Close", Price_Header,0))): INDIRECT(ADDRESS(ROW($F56),MATCH("Adj Close", Price_Header,0)))))</f>
        <v>0.31826884067570127</v>
      </c>
    </row>
    <row r="57" spans="1:19" x14ac:dyDescent="0.35">
      <c r="A57" s="8">
        <v>44126</v>
      </c>
      <c r="B57" s="10">
        <v>7.93</v>
      </c>
      <c r="C57" s="10">
        <v>8.2200000000000006</v>
      </c>
      <c r="D57" s="10">
        <v>7.89</v>
      </c>
      <c r="E57" s="10">
        <v>8.2100000000000009</v>
      </c>
      <c r="F57" s="10">
        <v>8.2100000000000009</v>
      </c>
      <c r="G57">
        <v>74008500</v>
      </c>
      <c r="H57" s="10">
        <f>IF(tbl_F[[#This Row],[Date]]=$A$5, $F57, EMA_Beta*$H56 + (1-EMA_Beta)*$F57)</f>
        <v>7.4642340770791797</v>
      </c>
      <c r="I57" s="46">
        <f ca="1">IF(tbl_F[[#This Row],[RS]]= "", "", 100-(100/(1+tbl_F[[#This Row],[RS]])))</f>
        <v>80.841121495327158</v>
      </c>
      <c r="J57" s="10">
        <f ca="1">IF(ROW($N57)-4&lt;BB_Periods, "", AVERAGE(INDIRECT(ADDRESS(ROW($F57)-RSI_Periods +1, MATCH("Adj Close", Price_Header,0))): INDIRECT(ADDRESS(ROW($F57),MATCH("Adj Close", Price_Header,0)))))</f>
        <v>7.536428571428571</v>
      </c>
      <c r="K57" s="10">
        <f ca="1">IF(tbl_F[[#This Row],[BB_Mean]]="", "", tbl_F[[#This Row],[BB_Mean]]+(BB_Width*tbl_F[[#This Row],[BB_Stdev]]))</f>
        <v>8.2105939080477874</v>
      </c>
      <c r="L57" s="10">
        <f ca="1">IF(tbl_F[[#This Row],[BB_Mean]]="", "", tbl_F[[#This Row],[BB_Mean]]-(BB_Width*tbl_F[[#This Row],[BB_Stdev]]))</f>
        <v>6.8622632348093546</v>
      </c>
      <c r="M57" s="46">
        <f>IF(ROW(tbl_F[[#This Row],[Adj Close]])=5, 0, $F57-$F56)</f>
        <v>0.36000000000000121</v>
      </c>
      <c r="N57" s="46">
        <f>MAX(tbl_F[[#This Row],[Move]],0)</f>
        <v>0.36000000000000121</v>
      </c>
      <c r="O57" s="46">
        <f>MAX(-tbl_F[[#This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0.12357142857142854</v>
      </c>
      <c r="Q57" s="46">
        <f ca="1">IF(ROW($O57)-5&lt;RSI_Periods, "", AVERAGE(INDIRECT(ADDRESS(ROW($O57)-RSI_Periods +1, MATCH("Downmove", Price_Header,0))): INDIRECT(ADDRESS(ROW($O57),MATCH("Downmove", Price_Header,0)))))</f>
        <v>2.9285714285714168E-2</v>
      </c>
      <c r="R57" s="46">
        <f ca="1">IF(tbl_F[[#This Row],[Avg_Upmove]]="", "", tbl_F[[#This Row],[Avg_Upmove]]/tbl_F[[#This Row],[Avg_Downmove]])</f>
        <v>4.2195121951219674</v>
      </c>
      <c r="S57" s="10">
        <f ca="1">IF(ROW($N57)-4&lt;BB_Periods, "", _xlfn.STDEV.S(INDIRECT(ADDRESS(ROW($F57)-RSI_Periods +1, MATCH("Adj Close", Price_Header,0))): INDIRECT(ADDRESS(ROW($F57),MATCH("Adj Close", Price_Header,0)))))</f>
        <v>0.33708266830960815</v>
      </c>
    </row>
    <row r="58" spans="1:19" x14ac:dyDescent="0.35">
      <c r="A58" s="8">
        <v>44127</v>
      </c>
      <c r="B58" s="10">
        <v>8.3000000000000007</v>
      </c>
      <c r="C58" s="10">
        <v>8.35</v>
      </c>
      <c r="D58" s="10">
        <v>8.09</v>
      </c>
      <c r="E58" s="10">
        <v>8.16</v>
      </c>
      <c r="F58" s="10">
        <v>8.16</v>
      </c>
      <c r="G58">
        <v>62249000</v>
      </c>
      <c r="H58" s="10">
        <f>IF(tbl_F[[#This Row],[Date]]=$A$5, $F58, EMA_Beta*$H57 + (1-EMA_Beta)*$F58)</f>
        <v>7.5338106693712614</v>
      </c>
      <c r="I58" s="46">
        <f ca="1">IF(tbl_F[[#This Row],[RS]]= "", "", 100-(100/(1+tbl_F[[#This Row],[RS]])))</f>
        <v>77.669902912621382</v>
      </c>
      <c r="J58" s="10">
        <f ca="1">IF(ROW($N58)-4&lt;BB_Periods, "", AVERAGE(INDIRECT(ADDRESS(ROW($F58)-RSI_Periods +1, MATCH("Adj Close", Price_Header,0))): INDIRECT(ADDRESS(ROW($F58),MATCH("Adj Close", Price_Header,0)))))</f>
        <v>7.6178571428571411</v>
      </c>
      <c r="K58" s="10">
        <f ca="1">IF(tbl_F[[#This Row],[BB_Mean]]="", "", tbl_F[[#This Row],[BB_Mean]]+(BB_Width*tbl_F[[#This Row],[BB_Stdev]]))</f>
        <v>8.2986792057477921</v>
      </c>
      <c r="L58" s="10">
        <f ca="1">IF(tbl_F[[#This Row],[BB_Mean]]="", "", tbl_F[[#This Row],[BB_Mean]]-(BB_Width*tbl_F[[#This Row],[BB_Stdev]]))</f>
        <v>6.9370350799664902</v>
      </c>
      <c r="M58" s="46">
        <f>IF(ROW(tbl_F[[#This Row],[Adj Close]])=5, 0, $F58-$F57)</f>
        <v>-5.0000000000000711E-2</v>
      </c>
      <c r="N58" s="46">
        <f>MAX(tbl_F[[#This Row],[Move]],0)</f>
        <v>0</v>
      </c>
      <c r="O58" s="46">
        <f>MAX(-tbl_F[[#This Row],[Move]],0)</f>
        <v>5.0000000000000711E-2</v>
      </c>
      <c r="P58" s="46">
        <f ca="1">IF(ROW($N58)-5&lt;RSI_Periods, "", AVERAGE(INDIRECT(ADDRESS(ROW($N58)-RSI_Periods +1, MATCH("Upmove", Price_Header,0))): INDIRECT(ADDRESS(ROW($N58),MATCH("Upmove", Price_Header,0)))))</f>
        <v>0.11428571428571425</v>
      </c>
      <c r="Q58" s="46">
        <f ca="1">IF(ROW($O58)-5&lt;RSI_Periods, "", AVERAGE(INDIRECT(ADDRESS(ROW($O58)-RSI_Periods +1, MATCH("Downmove", Price_Header,0))): INDIRECT(ADDRESS(ROW($O58),MATCH("Downmove", Price_Header,0)))))</f>
        <v>3.2857142857142793E-2</v>
      </c>
      <c r="R58" s="46">
        <f ca="1">IF(tbl_F[[#This Row],[Avg_Upmove]]="", "", tbl_F[[#This Row],[Avg_Upmove]]/tbl_F[[#This Row],[Avg_Downmove]])</f>
        <v>3.4782608695652231</v>
      </c>
      <c r="S58" s="10">
        <f ca="1">IF(ROW($N58)-4&lt;BB_Periods, "", _xlfn.STDEV.S(INDIRECT(ADDRESS(ROW($F58)-RSI_Periods +1, MATCH("Adj Close", Price_Header,0))): INDIRECT(ADDRESS(ROW($F58),MATCH("Adj Close", Price_Header,0)))))</f>
        <v>0.34041103144532547</v>
      </c>
    </row>
    <row r="59" spans="1:19" x14ac:dyDescent="0.35">
      <c r="A59" s="8">
        <v>44130</v>
      </c>
      <c r="B59" s="10">
        <v>8.0399999999999991</v>
      </c>
      <c r="C59" s="10">
        <v>8.07</v>
      </c>
      <c r="D59" s="10">
        <v>7.94</v>
      </c>
      <c r="E59" s="10">
        <v>8.0299999999999994</v>
      </c>
      <c r="F59" s="10">
        <v>8.0299999999999994</v>
      </c>
      <c r="G59">
        <v>62131000</v>
      </c>
      <c r="H59" s="10">
        <f>IF(tbl_F[[#This Row],[Date]]=$A$5, $F59, EMA_Beta*$H58 + (1-EMA_Beta)*$F59)</f>
        <v>7.5834296024341352</v>
      </c>
      <c r="I59" s="46">
        <f ca="1">IF(tbl_F[[#This Row],[RS]]= "", "", 100-(100/(1+tbl_F[[#This Row],[RS]])))</f>
        <v>74.418604651162767</v>
      </c>
      <c r="J59" s="10">
        <f ca="1">IF(ROW($N59)-4&lt;BB_Periods, "", AVERAGE(INDIRECT(ADDRESS(ROW($F59)-RSI_Periods +1, MATCH("Adj Close", Price_Header,0))): INDIRECT(ADDRESS(ROW($F59),MATCH("Adj Close", Price_Header,0)))))</f>
        <v>7.6928571428571422</v>
      </c>
      <c r="K59" s="10">
        <f ca="1">IF(tbl_F[[#This Row],[BB_Mean]]="", "", tbl_F[[#This Row],[BB_Mean]]+(BB_Width*tbl_F[[#This Row],[BB_Stdev]]))</f>
        <v>8.2981379332055845</v>
      </c>
      <c r="L59" s="10">
        <f ca="1">IF(tbl_F[[#This Row],[BB_Mean]]="", "", tbl_F[[#This Row],[BB_Mean]]-(BB_Width*tbl_F[[#This Row],[BB_Stdev]]))</f>
        <v>7.0875763525086999</v>
      </c>
      <c r="M59" s="46">
        <f>IF(ROW(tbl_F[[#This Row],[Adj Close]])=5, 0, $F59-$F58)</f>
        <v>-0.13000000000000078</v>
      </c>
      <c r="N59" s="46">
        <f>MAX(tbl_F[[#This Row],[Move]],0)</f>
        <v>0</v>
      </c>
      <c r="O59" s="46">
        <f>MAX(-tbl_F[[#This Row],[Move]],0)</f>
        <v>0.13000000000000078</v>
      </c>
      <c r="P59" s="46">
        <f ca="1">IF(ROW($N59)-5&lt;RSI_Periods, "", AVERAGE(INDIRECT(ADDRESS(ROW($N59)-RSI_Periods +1, MATCH("Upmove", Price_Header,0))): INDIRECT(ADDRESS(ROW($N59),MATCH("Upmove", Price_Header,0)))))</f>
        <v>0.11428571428571425</v>
      </c>
      <c r="Q59" s="46">
        <f ca="1">IF(ROW($O59)-5&lt;RSI_Periods, "", AVERAGE(INDIRECT(ADDRESS(ROW($O59)-RSI_Periods +1, MATCH("Downmove", Price_Header,0))): INDIRECT(ADDRESS(ROW($O59),MATCH("Downmove", Price_Header,0)))))</f>
        <v>3.9285714285714333E-2</v>
      </c>
      <c r="R59" s="46">
        <f ca="1">IF(tbl_F[[#This Row],[Avg_Upmove]]="", "", tbl_F[[#This Row],[Avg_Upmove]]/tbl_F[[#This Row],[Avg_Downmove]])</f>
        <v>2.9090909090909047</v>
      </c>
      <c r="S59" s="10">
        <f ca="1">IF(ROW($N59)-4&lt;BB_Periods, "", _xlfn.STDEV.S(INDIRECT(ADDRESS(ROW($F59)-RSI_Periods +1, MATCH("Adj Close", Price_Header,0))): INDIRECT(ADDRESS(ROW($F59),MATCH("Adj Close", Price_Header,0)))))</f>
        <v>0.30264039517422131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J60" s="61"/>
      <c r="K60" s="61"/>
      <c r="L60" s="61"/>
      <c r="S60" s="61">
        <f ca="1">SUBTOTAL(103,tbl_F[BB_Stdev])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CC"/>
  </sheetPr>
  <dimension ref="A2:J43"/>
  <sheetViews>
    <sheetView topLeftCell="A31" workbookViewId="0">
      <selection activeCell="W45" sqref="W45"/>
    </sheetView>
  </sheetViews>
  <sheetFormatPr defaultRowHeight="14.5" x14ac:dyDescent="0.35"/>
  <sheetData>
    <row r="2" spans="1:10" ht="21" x14ac:dyDescent="0.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5">
      <c r="A3" t="s">
        <v>257</v>
      </c>
    </row>
    <row r="4" spans="1:10" x14ac:dyDescent="0.35">
      <c r="A4" t="s">
        <v>258</v>
      </c>
    </row>
    <row r="6" spans="1:10" ht="15.5" x14ac:dyDescent="0.35">
      <c r="A6" s="7" t="s">
        <v>259</v>
      </c>
    </row>
    <row r="7" spans="1:10" x14ac:dyDescent="0.35">
      <c r="A7" t="s">
        <v>260</v>
      </c>
    </row>
    <row r="9" spans="1:10" x14ac:dyDescent="0.35">
      <c r="A9" s="66" t="s">
        <v>261</v>
      </c>
    </row>
    <row r="10" spans="1:10" x14ac:dyDescent="0.35">
      <c r="A10" t="s">
        <v>262</v>
      </c>
    </row>
    <row r="11" spans="1:10" x14ac:dyDescent="0.35">
      <c r="B11" t="s">
        <v>263</v>
      </c>
    </row>
    <row r="12" spans="1:10" x14ac:dyDescent="0.35">
      <c r="A12" t="s">
        <v>264</v>
      </c>
    </row>
    <row r="13" spans="1:10" x14ac:dyDescent="0.35">
      <c r="B13" t="s">
        <v>267</v>
      </c>
    </row>
    <row r="14" spans="1:10" x14ac:dyDescent="0.35">
      <c r="A14" t="s">
        <v>265</v>
      </c>
    </row>
    <row r="15" spans="1:10" x14ac:dyDescent="0.35">
      <c r="B15" t="s">
        <v>266</v>
      </c>
    </row>
    <row r="17" spans="1:2" ht="15.5" x14ac:dyDescent="0.35">
      <c r="A17" s="7" t="s">
        <v>268</v>
      </c>
    </row>
    <row r="18" spans="1:2" x14ac:dyDescent="0.35">
      <c r="A18" t="s">
        <v>284</v>
      </c>
    </row>
    <row r="20" spans="1:2" x14ac:dyDescent="0.35">
      <c r="A20" s="66" t="s">
        <v>261</v>
      </c>
    </row>
    <row r="21" spans="1:2" x14ac:dyDescent="0.35">
      <c r="A21" t="s">
        <v>269</v>
      </c>
    </row>
    <row r="22" spans="1:2" x14ac:dyDescent="0.35">
      <c r="B22" t="s">
        <v>270</v>
      </c>
    </row>
    <row r="23" spans="1:2" x14ac:dyDescent="0.35">
      <c r="A23" t="s">
        <v>272</v>
      </c>
    </row>
    <row r="26" spans="1:2" ht="15.5" x14ac:dyDescent="0.35">
      <c r="A26" s="7" t="s">
        <v>271</v>
      </c>
    </row>
    <row r="27" spans="1:2" x14ac:dyDescent="0.35">
      <c r="A27" t="s">
        <v>285</v>
      </c>
    </row>
    <row r="28" spans="1:2" x14ac:dyDescent="0.35">
      <c r="A28" s="66" t="s">
        <v>261</v>
      </c>
    </row>
    <row r="29" spans="1:2" x14ac:dyDescent="0.35">
      <c r="A29" t="s">
        <v>273</v>
      </c>
    </row>
    <row r="30" spans="1:2" x14ac:dyDescent="0.35">
      <c r="A30" t="s">
        <v>274</v>
      </c>
    </row>
    <row r="31" spans="1:2" x14ac:dyDescent="0.35">
      <c r="A31" t="s">
        <v>276</v>
      </c>
    </row>
    <row r="33" spans="1:1" ht="15.5" x14ac:dyDescent="0.35">
      <c r="A33" s="7" t="s">
        <v>277</v>
      </c>
    </row>
    <row r="34" spans="1:1" x14ac:dyDescent="0.35">
      <c r="A34" t="s">
        <v>286</v>
      </c>
    </row>
    <row r="35" spans="1:1" x14ac:dyDescent="0.35">
      <c r="A35" s="66" t="s">
        <v>261</v>
      </c>
    </row>
    <row r="36" spans="1:1" x14ac:dyDescent="0.35">
      <c r="A36" t="s">
        <v>278</v>
      </c>
    </row>
    <row r="37" spans="1:1" x14ac:dyDescent="0.35">
      <c r="A37" t="s">
        <v>279</v>
      </c>
    </row>
    <row r="38" spans="1:1" x14ac:dyDescent="0.35">
      <c r="A38" t="s">
        <v>280</v>
      </c>
    </row>
    <row r="39" spans="1:1" x14ac:dyDescent="0.35">
      <c r="A39" t="s">
        <v>281</v>
      </c>
    </row>
    <row r="40" spans="1:1" x14ac:dyDescent="0.35">
      <c r="A40" t="s">
        <v>282</v>
      </c>
    </row>
    <row r="41" spans="1:1" x14ac:dyDescent="0.35">
      <c r="A41" t="s">
        <v>283</v>
      </c>
    </row>
    <row r="43" spans="1:1" x14ac:dyDescent="0.35">
      <c r="A43" t="s">
        <v>287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7BFA-3863-46FB-B985-E8EAE3764F16}">
  <dimension ref="A1:S60"/>
  <sheetViews>
    <sheetView topLeftCell="A36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333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7.1</v>
      </c>
      <c r="C5" s="10">
        <v>7.38</v>
      </c>
      <c r="D5" s="10">
        <v>6.98</v>
      </c>
      <c r="E5" s="10">
        <v>7.33</v>
      </c>
      <c r="F5" s="10">
        <v>7.33</v>
      </c>
      <c r="G5">
        <v>2614500</v>
      </c>
      <c r="H5" s="10">
        <f>IF(tbl_LTHM[[#This Row],[Date]]=$A$5, $F5, EMA_Beta*$H4 + (1-EMA_Beta)*$F5)</f>
        <v>7.33</v>
      </c>
      <c r="I5" s="46" t="str">
        <f ca="1">IF(tbl_LTHM[[#This Row],[RS]]= "", "", 100-(100/(1+tbl_LTHM[[#This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IF(tbl_LTHM[[#This Row],[BB_Mean]]="", "", tbl_LTHM[[#This Row],[BB_Mean]]+(BB_Width*tbl_LTHM[[#This Row],[BB_Stdev]]))</f>
        <v/>
      </c>
      <c r="L5" s="10" t="str">
        <f ca="1">IF(tbl_LTHM[[#This Row],[BB_Mean]]="", "", tbl_LTHM[[#This Row],[BB_Mean]]-(BB_Width*tbl_LTHM[[#This Row],[BB_Stdev]]))</f>
        <v/>
      </c>
      <c r="M5" s="46">
        <f>IF(ROW(tbl_LTHM[[#This Row],[Adj Close]])=5, 0, $F5-$F4)</f>
        <v>0</v>
      </c>
      <c r="N5" s="46">
        <f>MAX(tbl_LTHM[[#This Row],[Move]],0)</f>
        <v>0</v>
      </c>
      <c r="O5" s="46">
        <f>MAX(-tbl_LTHM[[#This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IF(tbl_LTHM[[#This Row],[Avg_Upmove]]="", "", tbl_LTHM[[#This Row],[Avg_Upmove]]/tbl_LTHM[[#This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7.45</v>
      </c>
      <c r="C6" s="10">
        <v>7.92</v>
      </c>
      <c r="D6" s="10">
        <v>7.44</v>
      </c>
      <c r="E6" s="10">
        <v>7.63</v>
      </c>
      <c r="F6" s="10">
        <v>7.63</v>
      </c>
      <c r="G6">
        <v>3068200</v>
      </c>
      <c r="H6" s="10">
        <f>IF(tbl_LTHM[[#This Row],[Date]]=$A$5, $F6, EMA_Beta*$H5 + (1-EMA_Beta)*$F6)</f>
        <v>7.36</v>
      </c>
      <c r="I6" s="46" t="str">
        <f ca="1">IF(tbl_LTHM[[#This Row],[RS]]= "", "", 100-(100/(1+tbl_LTHM[[#This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IF(tbl_LTHM[[#This Row],[BB_Mean]]="", "", tbl_LTHM[[#This Row],[BB_Mean]]+(BB_Width*tbl_LTHM[[#This Row],[BB_Stdev]]))</f>
        <v/>
      </c>
      <c r="L6" s="10" t="str">
        <f ca="1">IF(tbl_LTHM[[#This Row],[BB_Mean]]="", "", tbl_LTHM[[#This Row],[BB_Mean]]-(BB_Width*tbl_LTHM[[#This Row],[BB_Stdev]]))</f>
        <v/>
      </c>
      <c r="M6" s="46">
        <f>IF(ROW(tbl_LTHM[[#This Row],[Adj Close]])=5, 0, $F6-$F5)</f>
        <v>0.29999999999999982</v>
      </c>
      <c r="N6" s="46">
        <f>MAX(tbl_LTHM[[#This Row],[Move]],0)</f>
        <v>0.29999999999999982</v>
      </c>
      <c r="O6" s="46">
        <f>MAX(-tbl_LTHM[[#This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IF(tbl_LTHM[[#This Row],[Avg_Upmove]]="", "", tbl_LTHM[[#This Row],[Avg_Upmove]]/tbl_LTHM[[#This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7.91</v>
      </c>
      <c r="C7" s="10">
        <v>7.92</v>
      </c>
      <c r="D7" s="10">
        <v>7.45</v>
      </c>
      <c r="E7" s="10">
        <v>7.49</v>
      </c>
      <c r="F7" s="10">
        <v>7.49</v>
      </c>
      <c r="G7">
        <v>2069200</v>
      </c>
      <c r="H7" s="10">
        <f>IF(tbl_LTHM[[#This Row],[Date]]=$A$5, $F7, EMA_Beta*$H6 + (1-EMA_Beta)*$F7)</f>
        <v>7.3730000000000002</v>
      </c>
      <c r="I7" s="46" t="str">
        <f ca="1">IF(tbl_LTHM[[#This Row],[RS]]= "", "", 100-(100/(1+tbl_LTHM[[#This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IF(tbl_LTHM[[#This Row],[BB_Mean]]="", "", tbl_LTHM[[#This Row],[BB_Mean]]+(BB_Width*tbl_LTHM[[#This Row],[BB_Stdev]]))</f>
        <v/>
      </c>
      <c r="L7" s="10" t="str">
        <f ca="1">IF(tbl_LTHM[[#This Row],[BB_Mean]]="", "", tbl_LTHM[[#This Row],[BB_Mean]]-(BB_Width*tbl_LTHM[[#This Row],[BB_Stdev]]))</f>
        <v/>
      </c>
      <c r="M7" s="46">
        <f>IF(ROW(tbl_LTHM[[#This Row],[Adj Close]])=5, 0, $F7-$F6)</f>
        <v>-0.13999999999999968</v>
      </c>
      <c r="N7" s="46">
        <f>MAX(tbl_LTHM[[#This Row],[Move]],0)</f>
        <v>0</v>
      </c>
      <c r="O7" s="46">
        <f>MAX(-tbl_LTHM[[#This Row],[Move]],0)</f>
        <v>0.13999999999999968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IF(tbl_LTHM[[#This Row],[Avg_Upmove]]="", "", tbl_LTHM[[#This Row],[Avg_Upmove]]/tbl_LTHM[[#This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7.4</v>
      </c>
      <c r="C8" s="10">
        <v>7.47</v>
      </c>
      <c r="D8" s="10">
        <v>7.26</v>
      </c>
      <c r="E8" s="10">
        <v>7.39</v>
      </c>
      <c r="F8" s="10">
        <v>7.39</v>
      </c>
      <c r="G8">
        <v>1518800</v>
      </c>
      <c r="H8" s="10">
        <f>IF(tbl_LTHM[[#This Row],[Date]]=$A$5, $F8, EMA_Beta*$H7 + (1-EMA_Beta)*$F8)</f>
        <v>7.3746999999999998</v>
      </c>
      <c r="I8" s="46" t="str">
        <f ca="1">IF(tbl_LTHM[[#This Row],[RS]]= "", "", 100-(100/(1+tbl_LTHM[[#This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IF(tbl_LTHM[[#This Row],[BB_Mean]]="", "", tbl_LTHM[[#This Row],[BB_Mean]]+(BB_Width*tbl_LTHM[[#This Row],[BB_Stdev]]))</f>
        <v/>
      </c>
      <c r="L8" s="10" t="str">
        <f ca="1">IF(tbl_LTHM[[#This Row],[BB_Mean]]="", "", tbl_LTHM[[#This Row],[BB_Mean]]-(BB_Width*tbl_LTHM[[#This Row],[BB_Stdev]]))</f>
        <v/>
      </c>
      <c r="M8" s="46">
        <f>IF(ROW(tbl_LTHM[[#This Row],[Adj Close]])=5, 0, $F8-$F7)</f>
        <v>-0.10000000000000053</v>
      </c>
      <c r="N8" s="46">
        <f>MAX(tbl_LTHM[[#This Row],[Move]],0)</f>
        <v>0</v>
      </c>
      <c r="O8" s="46">
        <f>MAX(-tbl_LTHM[[#This Row],[Move]],0)</f>
        <v>0.10000000000000053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IF(tbl_LTHM[[#This Row],[Avg_Upmove]]="", "", tbl_LTHM[[#This Row],[Avg_Upmove]]/tbl_LTHM[[#This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7.35</v>
      </c>
      <c r="C9" s="10">
        <v>7.72</v>
      </c>
      <c r="D9" s="10">
        <v>7.28</v>
      </c>
      <c r="E9" s="10">
        <v>7.64</v>
      </c>
      <c r="F9" s="10">
        <v>7.64</v>
      </c>
      <c r="G9">
        <v>986400</v>
      </c>
      <c r="H9" s="10">
        <f>IF(tbl_LTHM[[#This Row],[Date]]=$A$5, $F9, EMA_Beta*$H8 + (1-EMA_Beta)*$F9)</f>
        <v>7.40123</v>
      </c>
      <c r="I9" s="46" t="str">
        <f ca="1">IF(tbl_LTHM[[#This Row],[RS]]= "", "", 100-(100/(1+tbl_LTHM[[#This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IF(tbl_LTHM[[#This Row],[BB_Mean]]="", "", tbl_LTHM[[#This Row],[BB_Mean]]+(BB_Width*tbl_LTHM[[#This Row],[BB_Stdev]]))</f>
        <v/>
      </c>
      <c r="L9" s="10" t="str">
        <f ca="1">IF(tbl_LTHM[[#This Row],[BB_Mean]]="", "", tbl_LTHM[[#This Row],[BB_Mean]]-(BB_Width*tbl_LTHM[[#This Row],[BB_Stdev]]))</f>
        <v/>
      </c>
      <c r="M9" s="46">
        <f>IF(ROW(tbl_LTHM[[#This Row],[Adj Close]])=5, 0, $F9-$F8)</f>
        <v>0.25</v>
      </c>
      <c r="N9" s="46">
        <f>MAX(tbl_LTHM[[#This Row],[Move]],0)</f>
        <v>0.25</v>
      </c>
      <c r="O9" s="46">
        <f>MAX(-tbl_LTHM[[#This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IF(tbl_LTHM[[#This Row],[Avg_Upmove]]="", "", tbl_LTHM[[#This Row],[Avg_Upmove]]/tbl_LTHM[[#This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7.72</v>
      </c>
      <c r="C10" s="10">
        <v>7.72</v>
      </c>
      <c r="D10" s="10">
        <v>7.5</v>
      </c>
      <c r="E10" s="10">
        <v>7.59</v>
      </c>
      <c r="F10" s="10">
        <v>7.59</v>
      </c>
      <c r="G10">
        <v>980200</v>
      </c>
      <c r="H10" s="10">
        <f>IF(tbl_LTHM[[#This Row],[Date]]=$A$5, $F10, EMA_Beta*$H9 + (1-EMA_Beta)*$F10)</f>
        <v>7.4201069999999998</v>
      </c>
      <c r="I10" s="46" t="str">
        <f ca="1">IF(tbl_LTHM[[#This Row],[RS]]= "", "", 100-(100/(1+tbl_LTHM[[#This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IF(tbl_LTHM[[#This Row],[BB_Mean]]="", "", tbl_LTHM[[#This Row],[BB_Mean]]+(BB_Width*tbl_LTHM[[#This Row],[BB_Stdev]]))</f>
        <v/>
      </c>
      <c r="L10" s="10" t="str">
        <f ca="1">IF(tbl_LTHM[[#This Row],[BB_Mean]]="", "", tbl_LTHM[[#This Row],[BB_Mean]]-(BB_Width*tbl_LTHM[[#This Row],[BB_Stdev]]))</f>
        <v/>
      </c>
      <c r="M10" s="46">
        <f>IF(ROW(tbl_LTHM[[#This Row],[Adj Close]])=5, 0, $F10-$F9)</f>
        <v>-4.9999999999999822E-2</v>
      </c>
      <c r="N10" s="46">
        <f>MAX(tbl_LTHM[[#This Row],[Move]],0)</f>
        <v>0</v>
      </c>
      <c r="O10" s="46">
        <f>MAX(-tbl_LTHM[[#This Row],[Move]],0)</f>
        <v>4.9999999999999822E-2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IF(tbl_LTHM[[#This Row],[Avg_Upmove]]="", "", tbl_LTHM[[#This Row],[Avg_Upmove]]/tbl_LTHM[[#This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7.66</v>
      </c>
      <c r="C11" s="10">
        <v>7.75</v>
      </c>
      <c r="D11" s="10">
        <v>7.57</v>
      </c>
      <c r="E11" s="10">
        <v>7.62</v>
      </c>
      <c r="F11" s="10">
        <v>7.62</v>
      </c>
      <c r="G11">
        <v>1343500</v>
      </c>
      <c r="H11" s="10">
        <f>IF(tbl_LTHM[[#This Row],[Date]]=$A$5, $F11, EMA_Beta*$H10 + (1-EMA_Beta)*$F11)</f>
        <v>7.4400962999999996</v>
      </c>
      <c r="I11" s="46" t="str">
        <f ca="1">IF(tbl_LTHM[[#This Row],[RS]]= "", "", 100-(100/(1+tbl_LTHM[[#This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IF(tbl_LTHM[[#This Row],[BB_Mean]]="", "", tbl_LTHM[[#This Row],[BB_Mean]]+(BB_Width*tbl_LTHM[[#This Row],[BB_Stdev]]))</f>
        <v/>
      </c>
      <c r="L11" s="10" t="str">
        <f ca="1">IF(tbl_LTHM[[#This Row],[BB_Mean]]="", "", tbl_LTHM[[#This Row],[BB_Mean]]-(BB_Width*tbl_LTHM[[#This Row],[BB_Stdev]]))</f>
        <v/>
      </c>
      <c r="M11" s="46">
        <f>IF(ROW(tbl_LTHM[[#This Row],[Adj Close]])=5, 0, $F11-$F10)</f>
        <v>3.0000000000000249E-2</v>
      </c>
      <c r="N11" s="46">
        <f>MAX(tbl_LTHM[[#This Row],[Move]],0)</f>
        <v>3.0000000000000249E-2</v>
      </c>
      <c r="O11" s="46">
        <f>MAX(-tbl_LTHM[[#This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IF(tbl_LTHM[[#This Row],[Avg_Upmove]]="", "", tbl_LTHM[[#This Row],[Avg_Upmove]]/tbl_LTHM[[#This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7.59</v>
      </c>
      <c r="C12" s="10">
        <v>7.75</v>
      </c>
      <c r="D12" s="10">
        <v>7.5</v>
      </c>
      <c r="E12" s="10">
        <v>7.58</v>
      </c>
      <c r="F12" s="10">
        <v>7.58</v>
      </c>
      <c r="G12">
        <v>1130700</v>
      </c>
      <c r="H12" s="10">
        <f>IF(tbl_LTHM[[#This Row],[Date]]=$A$5, $F12, EMA_Beta*$H11 + (1-EMA_Beta)*$F12)</f>
        <v>7.4540866699999997</v>
      </c>
      <c r="I12" s="46" t="str">
        <f ca="1">IF(tbl_LTHM[[#This Row],[RS]]= "", "", 100-(100/(1+tbl_LTHM[[#This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IF(tbl_LTHM[[#This Row],[BB_Mean]]="", "", tbl_LTHM[[#This Row],[BB_Mean]]+(BB_Width*tbl_LTHM[[#This Row],[BB_Stdev]]))</f>
        <v/>
      </c>
      <c r="L12" s="10" t="str">
        <f ca="1">IF(tbl_LTHM[[#This Row],[BB_Mean]]="", "", tbl_LTHM[[#This Row],[BB_Mean]]-(BB_Width*tbl_LTHM[[#This Row],[BB_Stdev]]))</f>
        <v/>
      </c>
      <c r="M12" s="46">
        <f>IF(ROW(tbl_LTHM[[#This Row],[Adj Close]])=5, 0, $F12-$F11)</f>
        <v>-4.0000000000000036E-2</v>
      </c>
      <c r="N12" s="46">
        <f>MAX(tbl_LTHM[[#This Row],[Move]],0)</f>
        <v>0</v>
      </c>
      <c r="O12" s="46">
        <f>MAX(-tbl_LTHM[[#This Row],[Move]],0)</f>
        <v>4.0000000000000036E-2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IF(tbl_LTHM[[#This Row],[Avg_Upmove]]="", "", tbl_LTHM[[#This Row],[Avg_Upmove]]/tbl_LTHM[[#This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7.5</v>
      </c>
      <c r="C13" s="10">
        <v>7.53</v>
      </c>
      <c r="D13" s="10">
        <v>7.33</v>
      </c>
      <c r="E13" s="10">
        <v>7.36</v>
      </c>
      <c r="F13" s="10">
        <v>7.36</v>
      </c>
      <c r="G13">
        <v>2106200</v>
      </c>
      <c r="H13" s="10">
        <f>IF(tbl_LTHM[[#This Row],[Date]]=$A$5, $F13, EMA_Beta*$H12 + (1-EMA_Beta)*$F13)</f>
        <v>7.4446780029999999</v>
      </c>
      <c r="I13" s="46" t="str">
        <f ca="1">IF(tbl_LTHM[[#This Row],[RS]]= "", "", 100-(100/(1+tbl_LTHM[[#This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IF(tbl_LTHM[[#This Row],[BB_Mean]]="", "", tbl_LTHM[[#This Row],[BB_Mean]]+(BB_Width*tbl_LTHM[[#This Row],[BB_Stdev]]))</f>
        <v/>
      </c>
      <c r="L13" s="10" t="str">
        <f ca="1">IF(tbl_LTHM[[#This Row],[BB_Mean]]="", "", tbl_LTHM[[#This Row],[BB_Mean]]-(BB_Width*tbl_LTHM[[#This Row],[BB_Stdev]]))</f>
        <v/>
      </c>
      <c r="M13" s="46">
        <f>IF(ROW(tbl_LTHM[[#This Row],[Adj Close]])=5, 0, $F13-$F12)</f>
        <v>-0.21999999999999975</v>
      </c>
      <c r="N13" s="46">
        <f>MAX(tbl_LTHM[[#This Row],[Move]],0)</f>
        <v>0</v>
      </c>
      <c r="O13" s="46">
        <f>MAX(-tbl_LTHM[[#This Row],[Move]],0)</f>
        <v>0.21999999999999975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IF(tbl_LTHM[[#This Row],[Avg_Upmove]]="", "", tbl_LTHM[[#This Row],[Avg_Upmove]]/tbl_LTHM[[#This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7.43</v>
      </c>
      <c r="C14" s="10">
        <v>7.51</v>
      </c>
      <c r="D14" s="10">
        <v>7.22</v>
      </c>
      <c r="E14" s="10">
        <v>7.3</v>
      </c>
      <c r="F14" s="10">
        <v>7.3</v>
      </c>
      <c r="G14">
        <v>1046700</v>
      </c>
      <c r="H14" s="10">
        <f>IF(tbl_LTHM[[#This Row],[Date]]=$A$5, $F14, EMA_Beta*$H13 + (1-EMA_Beta)*$F14)</f>
        <v>7.4302102026999997</v>
      </c>
      <c r="I14" s="46" t="str">
        <f ca="1">IF(tbl_LTHM[[#This Row],[RS]]= "", "", 100-(100/(1+tbl_LTHM[[#This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IF(tbl_LTHM[[#This Row],[BB_Mean]]="", "", tbl_LTHM[[#This Row],[BB_Mean]]+(BB_Width*tbl_LTHM[[#This Row],[BB_Stdev]]))</f>
        <v/>
      </c>
      <c r="L14" s="10" t="str">
        <f ca="1">IF(tbl_LTHM[[#This Row],[BB_Mean]]="", "", tbl_LTHM[[#This Row],[BB_Mean]]-(BB_Width*tbl_LTHM[[#This Row],[BB_Stdev]]))</f>
        <v/>
      </c>
      <c r="M14" s="46">
        <f>IF(ROW(tbl_LTHM[[#This Row],[Adj Close]])=5, 0, $F14-$F13)</f>
        <v>-6.0000000000000497E-2</v>
      </c>
      <c r="N14" s="46">
        <f>MAX(tbl_LTHM[[#This Row],[Move]],0)</f>
        <v>0</v>
      </c>
      <c r="O14" s="46">
        <f>MAX(-tbl_LTHM[[#This Row],[Move]],0)</f>
        <v>6.0000000000000497E-2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IF(tbl_LTHM[[#This Row],[Avg_Upmove]]="", "", tbl_LTHM[[#This Row],[Avg_Upmove]]/tbl_LTHM[[#This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7.42</v>
      </c>
      <c r="C15" s="10">
        <v>7.61</v>
      </c>
      <c r="D15" s="10">
        <v>7.31</v>
      </c>
      <c r="E15" s="10">
        <v>7.55</v>
      </c>
      <c r="F15" s="10">
        <v>7.55</v>
      </c>
      <c r="G15">
        <v>1327500</v>
      </c>
      <c r="H15" s="10">
        <f>IF(tbl_LTHM[[#This Row],[Date]]=$A$5, $F15, EMA_Beta*$H14 + (1-EMA_Beta)*$F15)</f>
        <v>7.4421891824299999</v>
      </c>
      <c r="I15" s="46" t="str">
        <f ca="1">IF(tbl_LTHM[[#This Row],[RS]]= "", "", 100-(100/(1+tbl_LTHM[[#This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IF(tbl_LTHM[[#This Row],[BB_Mean]]="", "", tbl_LTHM[[#This Row],[BB_Mean]]+(BB_Width*tbl_LTHM[[#This Row],[BB_Stdev]]))</f>
        <v/>
      </c>
      <c r="L15" s="10" t="str">
        <f ca="1">IF(tbl_LTHM[[#This Row],[BB_Mean]]="", "", tbl_LTHM[[#This Row],[BB_Mean]]-(BB_Width*tbl_LTHM[[#This Row],[BB_Stdev]]))</f>
        <v/>
      </c>
      <c r="M15" s="46">
        <f>IF(ROW(tbl_LTHM[[#This Row],[Adj Close]])=5, 0, $F15-$F14)</f>
        <v>0.25</v>
      </c>
      <c r="N15" s="46">
        <f>MAX(tbl_LTHM[[#This Row],[Move]],0)</f>
        <v>0.25</v>
      </c>
      <c r="O15" s="46">
        <f>MAX(-tbl_LTHM[[#This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IF(tbl_LTHM[[#This Row],[Avg_Upmove]]="", "", tbl_LTHM[[#This Row],[Avg_Upmove]]/tbl_LTHM[[#This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7.61</v>
      </c>
      <c r="C16" s="10">
        <v>7.76</v>
      </c>
      <c r="D16" s="10">
        <v>7.55</v>
      </c>
      <c r="E16" s="10">
        <v>7.63</v>
      </c>
      <c r="F16" s="10">
        <v>7.63</v>
      </c>
      <c r="G16">
        <v>942400</v>
      </c>
      <c r="H16" s="10">
        <f>IF(tbl_LTHM[[#This Row],[Date]]=$A$5, $F16, EMA_Beta*$H15 + (1-EMA_Beta)*$F16)</f>
        <v>7.4609702641869999</v>
      </c>
      <c r="I16" s="46" t="str">
        <f ca="1">IF(tbl_LTHM[[#This Row],[RS]]= "", "", 100-(100/(1+tbl_LTHM[[#This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IF(tbl_LTHM[[#This Row],[BB_Mean]]="", "", tbl_LTHM[[#This Row],[BB_Mean]]+(BB_Width*tbl_LTHM[[#This Row],[BB_Stdev]]))</f>
        <v/>
      </c>
      <c r="L16" s="10" t="str">
        <f ca="1">IF(tbl_LTHM[[#This Row],[BB_Mean]]="", "", tbl_LTHM[[#This Row],[BB_Mean]]-(BB_Width*tbl_LTHM[[#This Row],[BB_Stdev]]))</f>
        <v/>
      </c>
      <c r="M16" s="46">
        <f>IF(ROW(tbl_LTHM[[#This Row],[Adj Close]])=5, 0, $F16-$F15)</f>
        <v>8.0000000000000071E-2</v>
      </c>
      <c r="N16" s="46">
        <f>MAX(tbl_LTHM[[#This Row],[Move]],0)</f>
        <v>8.0000000000000071E-2</v>
      </c>
      <c r="O16" s="46">
        <f>MAX(-tbl_LTHM[[#This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IF(tbl_LTHM[[#This Row],[Avg_Upmove]]="", "", tbl_LTHM[[#This Row],[Avg_Upmove]]/tbl_LTHM[[#This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7.9</v>
      </c>
      <c r="C17" s="10">
        <v>8.4700000000000006</v>
      </c>
      <c r="D17" s="10">
        <v>7.88</v>
      </c>
      <c r="E17" s="10">
        <v>8.17</v>
      </c>
      <c r="F17" s="10">
        <v>8.17</v>
      </c>
      <c r="G17">
        <v>4618400</v>
      </c>
      <c r="H17" s="10">
        <f>IF(tbl_LTHM[[#This Row],[Date]]=$A$5, $F17, EMA_Beta*$H16 + (1-EMA_Beta)*$F17)</f>
        <v>7.5318732377683002</v>
      </c>
      <c r="I17" s="46" t="str">
        <f ca="1">IF(tbl_LTHM[[#This Row],[RS]]= "", "", 100-(100/(1+tbl_LTHM[[#This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IF(tbl_LTHM[[#This Row],[BB_Mean]]="", "", tbl_LTHM[[#This Row],[BB_Mean]]+(BB_Width*tbl_LTHM[[#This Row],[BB_Stdev]]))</f>
        <v/>
      </c>
      <c r="L17" s="10" t="str">
        <f ca="1">IF(tbl_LTHM[[#This Row],[BB_Mean]]="", "", tbl_LTHM[[#This Row],[BB_Mean]]-(BB_Width*tbl_LTHM[[#This Row],[BB_Stdev]]))</f>
        <v/>
      </c>
      <c r="M17" s="46">
        <f>IF(ROW(tbl_LTHM[[#This Row],[Adj Close]])=5, 0, $F17-$F16)</f>
        <v>0.54</v>
      </c>
      <c r="N17" s="46">
        <f>MAX(tbl_LTHM[[#This Row],[Move]],0)</f>
        <v>0.54</v>
      </c>
      <c r="O17" s="46">
        <f>MAX(-tbl_LTHM[[#This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IF(tbl_LTHM[[#This Row],[Avg_Upmove]]="", "", tbl_LTHM[[#This Row],[Avg_Upmove]]/tbl_LTHM[[#This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8.3699999999999992</v>
      </c>
      <c r="C18" s="10">
        <v>8.3699999999999992</v>
      </c>
      <c r="D18" s="10">
        <v>7.91</v>
      </c>
      <c r="E18" s="10">
        <v>8.17</v>
      </c>
      <c r="F18" s="10">
        <v>8.17</v>
      </c>
      <c r="G18">
        <v>2104800</v>
      </c>
      <c r="H18" s="10">
        <f>IF(tbl_LTHM[[#This Row],[Date]]=$A$5, $F18, EMA_Beta*$H17 + (1-EMA_Beta)*$F18)</f>
        <v>7.5956859139914705</v>
      </c>
      <c r="I18" s="46" t="str">
        <f ca="1">IF(tbl_LTHM[[#This Row],[RS]]= "", "", 100-(100/(1+tbl_LTHM[[#This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7.6035714285714286</v>
      </c>
      <c r="K18" s="10">
        <f ca="1">IF(tbl_LTHM[[#This Row],[BB_Mean]]="", "", tbl_LTHM[[#This Row],[BB_Mean]]+(BB_Width*tbl_LTHM[[#This Row],[BB_Stdev]]))</f>
        <v>8.1394018921644253</v>
      </c>
      <c r="L18" s="10">
        <f ca="1">IF(tbl_LTHM[[#This Row],[BB_Mean]]="", "", tbl_LTHM[[#This Row],[BB_Mean]]-(BB_Width*tbl_LTHM[[#This Row],[BB_Stdev]]))</f>
        <v>7.067740964978432</v>
      </c>
      <c r="M18" s="46">
        <f>IF(ROW(tbl_LTHM[[#This Row],[Adj Close]])=5, 0, $F18-$F17)</f>
        <v>0</v>
      </c>
      <c r="N18" s="46">
        <f>MAX(tbl_LTHM[[#This Row],[Move]],0)</f>
        <v>0</v>
      </c>
      <c r="O18" s="46">
        <f>MAX(-tbl_LTHM[[#This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IF(tbl_LTHM[[#This Row],[Avg_Upmove]]="", "", tbl_LTHM[[#This Row],[Avg_Upmove]]/tbl_LTHM[[#This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0.26791523179649829</v>
      </c>
    </row>
    <row r="19" spans="1:19" x14ac:dyDescent="0.35">
      <c r="A19" s="8">
        <v>44071</v>
      </c>
      <c r="B19" s="10">
        <v>8.19</v>
      </c>
      <c r="C19" s="10">
        <v>8.6999999999999993</v>
      </c>
      <c r="D19" s="10">
        <v>8.0399999999999991</v>
      </c>
      <c r="E19" s="10">
        <v>8.65</v>
      </c>
      <c r="F19" s="10">
        <v>8.65</v>
      </c>
      <c r="G19">
        <v>2872100</v>
      </c>
      <c r="H19" s="10">
        <f>IF(tbl_LTHM[[#This Row],[Date]]=$A$5, $F19, EMA_Beta*$H18 + (1-EMA_Beta)*$F19)</f>
        <v>7.7011173225923235</v>
      </c>
      <c r="I19" s="46">
        <f ca="1">IF(tbl_LTHM[[#This Row],[RS]]= "", "", 100-(100/(1+tbl_LTHM[[#This Row],[RS]])))</f>
        <v>75.984251968503941</v>
      </c>
      <c r="J19" s="10">
        <f ca="1">IF(ROW($N19)-4&lt;BB_Periods, "", AVERAGE(INDIRECT(ADDRESS(ROW($F19)-RSI_Periods +1, MATCH("Adj Close", Price_Header,0))): INDIRECT(ADDRESS(ROW($F19),MATCH("Adj Close", Price_Header,0)))))</f>
        <v>7.697857142857143</v>
      </c>
      <c r="K19" s="10">
        <f ca="1">IF(tbl_LTHM[[#This Row],[BB_Mean]]="", "", tbl_LTHM[[#This Row],[BB_Mean]]+(BB_Width*tbl_LTHM[[#This Row],[BB_Stdev]]))</f>
        <v>8.4480029162363444</v>
      </c>
      <c r="L19" s="10">
        <f ca="1">IF(tbl_LTHM[[#This Row],[BB_Mean]]="", "", tbl_LTHM[[#This Row],[BB_Mean]]-(BB_Width*tbl_LTHM[[#This Row],[BB_Stdev]]))</f>
        <v>6.9477113694779407</v>
      </c>
      <c r="M19" s="46">
        <f>IF(ROW(tbl_LTHM[[#This Row],[Adj Close]])=5, 0, $F19-$F18)</f>
        <v>0.48000000000000043</v>
      </c>
      <c r="N19" s="46">
        <f>MAX(tbl_LTHM[[#This Row],[Move]],0)</f>
        <v>0.48000000000000043</v>
      </c>
      <c r="O19" s="46">
        <f>MAX(-tbl_LTHM[[#This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0.1378571428571429</v>
      </c>
      <c r="Q19" s="46">
        <f ca="1">IF(ROW($O19)-5&lt;RSI_Periods, "", AVERAGE(INDIRECT(ADDRESS(ROW($O19)-RSI_Periods +1, MATCH("Downmove", Price_Header,0))): INDIRECT(ADDRESS(ROW($O19),MATCH("Downmove", Price_Header,0)))))</f>
        <v>4.3571428571428594E-2</v>
      </c>
      <c r="R19" s="46">
        <f ca="1">IF(tbl_LTHM[[#This Row],[Avg_Upmove]]="", "", tbl_LTHM[[#This Row],[Avg_Upmove]]/tbl_LTHM[[#This Row],[Avg_Downmove]])</f>
        <v>3.1639344262295075</v>
      </c>
      <c r="S19" s="10">
        <f ca="1">IF(ROW($N19)-4&lt;BB_Periods, "", _xlfn.STDEV.S(INDIRECT(ADDRESS(ROW($F19)-RSI_Periods +1, MATCH("Adj Close", Price_Header,0))): INDIRECT(ADDRESS(ROW($F19),MATCH("Adj Close", Price_Header,0)))))</f>
        <v>0.37507288668960115</v>
      </c>
    </row>
    <row r="20" spans="1:19" x14ac:dyDescent="0.35">
      <c r="A20" s="8">
        <v>44074</v>
      </c>
      <c r="B20" s="10">
        <v>8.8000000000000007</v>
      </c>
      <c r="C20" s="10">
        <v>8.9700000000000006</v>
      </c>
      <c r="D20" s="10">
        <v>8.36</v>
      </c>
      <c r="E20" s="10">
        <v>8.48</v>
      </c>
      <c r="F20" s="10">
        <v>8.48</v>
      </c>
      <c r="G20">
        <v>3850800</v>
      </c>
      <c r="H20" s="10">
        <f>IF(tbl_LTHM[[#This Row],[Date]]=$A$5, $F20, EMA_Beta*$H19 + (1-EMA_Beta)*$F20)</f>
        <v>7.7790055903330915</v>
      </c>
      <c r="I20" s="46">
        <f ca="1">IF(tbl_LTHM[[#This Row],[RS]]= "", "", 100-(100/(1+tbl_LTHM[[#This Row],[RS]])))</f>
        <v>67.634854771784234</v>
      </c>
      <c r="J20" s="10">
        <f ca="1">IF(ROW($N20)-4&lt;BB_Periods, "", AVERAGE(INDIRECT(ADDRESS(ROW($F20)-RSI_Periods +1, MATCH("Adj Close", Price_Header,0))): INDIRECT(ADDRESS(ROW($F20),MATCH("Adj Close", Price_Header,0)))))</f>
        <v>7.7585714285714289</v>
      </c>
      <c r="K20" s="10">
        <f ca="1">IF(tbl_LTHM[[#This Row],[BB_Mean]]="", "", tbl_LTHM[[#This Row],[BB_Mean]]+(BB_Width*tbl_LTHM[[#This Row],[BB_Stdev]]))</f>
        <v>8.6151067443948612</v>
      </c>
      <c r="L20" s="10">
        <f ca="1">IF(tbl_LTHM[[#This Row],[BB_Mean]]="", "", tbl_LTHM[[#This Row],[BB_Mean]]-(BB_Width*tbl_LTHM[[#This Row],[BB_Stdev]]))</f>
        <v>6.9020361127479966</v>
      </c>
      <c r="M20" s="46">
        <f>IF(ROW(tbl_LTHM[[#This Row],[Adj Close]])=5, 0, $F20-$F19)</f>
        <v>-0.16999999999999993</v>
      </c>
      <c r="N20" s="46">
        <f>MAX(tbl_LTHM[[#This Row],[Move]],0)</f>
        <v>0</v>
      </c>
      <c r="O20" s="46">
        <f>MAX(-tbl_LTHM[[#This Row],[Move]],0)</f>
        <v>0.16999999999999993</v>
      </c>
      <c r="P20" s="46">
        <f ca="1">IF(ROW($N20)-5&lt;RSI_Periods, "", AVERAGE(INDIRECT(ADDRESS(ROW($N20)-RSI_Periods +1, MATCH("Upmove", Price_Header,0))): INDIRECT(ADDRESS(ROW($N20),MATCH("Upmove", Price_Header,0)))))</f>
        <v>0.11642857142857148</v>
      </c>
      <c r="Q20" s="46">
        <f ca="1">IF(ROW($O20)-5&lt;RSI_Periods, "", AVERAGE(INDIRECT(ADDRESS(ROW($O20)-RSI_Periods +1, MATCH("Downmove", Price_Header,0))): INDIRECT(ADDRESS(ROW($O20),MATCH("Downmove", Price_Header,0)))))</f>
        <v>5.571428571428573E-2</v>
      </c>
      <c r="R20" s="46">
        <f ca="1">IF(tbl_LTHM[[#This Row],[Avg_Upmove]]="", "", tbl_LTHM[[#This Row],[Avg_Upmove]]/tbl_LTHM[[#This Row],[Avg_Downmove]])</f>
        <v>2.0897435897435899</v>
      </c>
      <c r="S20" s="10">
        <f ca="1">IF(ROW($N20)-4&lt;BB_Periods, "", _xlfn.STDEV.S(INDIRECT(ADDRESS(ROW($F20)-RSI_Periods +1, MATCH("Adj Close", Price_Header,0))): INDIRECT(ADDRESS(ROW($F20),MATCH("Adj Close", Price_Header,0)))))</f>
        <v>0.42826765791171634</v>
      </c>
    </row>
    <row r="21" spans="1:19" x14ac:dyDescent="0.35">
      <c r="A21" s="8">
        <v>44075</v>
      </c>
      <c r="B21" s="10">
        <v>8.41</v>
      </c>
      <c r="C21" s="10">
        <v>9.0399999999999991</v>
      </c>
      <c r="D21" s="10">
        <v>8.35</v>
      </c>
      <c r="E21" s="10">
        <v>9</v>
      </c>
      <c r="F21" s="10">
        <v>9</v>
      </c>
      <c r="G21">
        <v>2914600</v>
      </c>
      <c r="H21" s="10">
        <f>IF(tbl_LTHM[[#This Row],[Date]]=$A$5, $F21, EMA_Beta*$H20 + (1-EMA_Beta)*$F21)</f>
        <v>7.9011050312997817</v>
      </c>
      <c r="I21" s="46">
        <f ca="1">IF(tbl_LTHM[[#This Row],[RS]]= "", "", 100-(100/(1+tbl_LTHM[[#This Row],[RS]])))</f>
        <v>77.06093189964156</v>
      </c>
      <c r="J21" s="10">
        <f ca="1">IF(ROW($N21)-4&lt;BB_Periods, "", AVERAGE(INDIRECT(ADDRESS(ROW($F21)-RSI_Periods +1, MATCH("Adj Close", Price_Header,0))): INDIRECT(ADDRESS(ROW($F21),MATCH("Adj Close", Price_Header,0)))))</f>
        <v>7.866428571428572</v>
      </c>
      <c r="K21" s="10">
        <f ca="1">IF(tbl_LTHM[[#This Row],[BB_Mean]]="", "", tbl_LTHM[[#This Row],[BB_Mean]]+(BB_Width*tbl_LTHM[[#This Row],[BB_Stdev]]))</f>
        <v>8.9320481353185439</v>
      </c>
      <c r="L21" s="10">
        <f ca="1">IF(tbl_LTHM[[#This Row],[BB_Mean]]="", "", tbl_LTHM[[#This Row],[BB_Mean]]-(BB_Width*tbl_LTHM[[#This Row],[BB_Stdev]]))</f>
        <v>6.8008090075385992</v>
      </c>
      <c r="M21" s="46">
        <f>IF(ROW(tbl_LTHM[[#This Row],[Adj Close]])=5, 0, $F21-$F20)</f>
        <v>0.51999999999999957</v>
      </c>
      <c r="N21" s="46">
        <f>MAX(tbl_LTHM[[#This Row],[Move]],0)</f>
        <v>0.51999999999999957</v>
      </c>
      <c r="O21" s="46">
        <f>MAX(-tbl_LTHM[[#This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0.15357142857142861</v>
      </c>
      <c r="Q21" s="46">
        <f ca="1">IF(ROW($O21)-5&lt;RSI_Periods, "", AVERAGE(INDIRECT(ADDRESS(ROW($O21)-RSI_Periods +1, MATCH("Downmove", Price_Header,0))): INDIRECT(ADDRESS(ROW($O21),MATCH("Downmove", Price_Header,0)))))</f>
        <v>4.5714285714285756E-2</v>
      </c>
      <c r="R21" s="46">
        <f ca="1">IF(tbl_LTHM[[#This Row],[Avg_Upmove]]="", "", tbl_LTHM[[#This Row],[Avg_Upmove]]/tbl_LTHM[[#This Row],[Avg_Downmove]])</f>
        <v>3.3593749999999978</v>
      </c>
      <c r="S21" s="10">
        <f ca="1">IF(ROW($N21)-4&lt;BB_Periods, "", _xlfn.STDEV.S(INDIRECT(ADDRESS(ROW($F21)-RSI_Periods +1, MATCH("Adj Close", Price_Header,0))): INDIRECT(ADDRESS(ROW($F21),MATCH("Adj Close", Price_Header,0)))))</f>
        <v>0.53280978194498629</v>
      </c>
    </row>
    <row r="22" spans="1:19" x14ac:dyDescent="0.35">
      <c r="A22" s="8">
        <v>44076</v>
      </c>
      <c r="B22" s="10">
        <v>9.0299999999999994</v>
      </c>
      <c r="C22" s="10">
        <v>9.3000000000000007</v>
      </c>
      <c r="D22" s="10">
        <v>8.9700000000000006</v>
      </c>
      <c r="E22" s="10">
        <v>9.26</v>
      </c>
      <c r="F22" s="10">
        <v>9.26</v>
      </c>
      <c r="G22">
        <v>2976500</v>
      </c>
      <c r="H22" s="10">
        <f>IF(tbl_LTHM[[#This Row],[Date]]=$A$5, $F22, EMA_Beta*$H21 + (1-EMA_Beta)*$F22)</f>
        <v>8.036994528169803</v>
      </c>
      <c r="I22" s="46">
        <f ca="1">IF(tbl_LTHM[[#This Row],[RS]]= "", "", 100-(100/(1+tbl_LTHM[[#This Row],[RS]])))</f>
        <v>81.694915254237287</v>
      </c>
      <c r="J22" s="10">
        <f ca="1">IF(ROW($N22)-4&lt;BB_Periods, "", AVERAGE(INDIRECT(ADDRESS(ROW($F22)-RSI_Periods +1, MATCH("Adj Close", Price_Header,0))): INDIRECT(ADDRESS(ROW($F22),MATCH("Adj Close", Price_Header,0)))))</f>
        <v>8.0000000000000018</v>
      </c>
      <c r="K22" s="10">
        <f ca="1">IF(tbl_LTHM[[#This Row],[BB_Mean]]="", "", tbl_LTHM[[#This Row],[BB_Mean]]+(BB_Width*tbl_LTHM[[#This Row],[BB_Stdev]]))</f>
        <v>9.2595237195067046</v>
      </c>
      <c r="L22" s="10">
        <f ca="1">IF(tbl_LTHM[[#This Row],[BB_Mean]]="", "", tbl_LTHM[[#This Row],[BB_Mean]]-(BB_Width*tbl_LTHM[[#This Row],[BB_Stdev]]))</f>
        <v>6.7404762804932989</v>
      </c>
      <c r="M22" s="46">
        <f>IF(ROW(tbl_LTHM[[#This Row],[Adj Close]])=5, 0, $F22-$F21)</f>
        <v>0.25999999999999979</v>
      </c>
      <c r="N22" s="46">
        <f>MAX(tbl_LTHM[[#This Row],[Move]],0)</f>
        <v>0.25999999999999979</v>
      </c>
      <c r="O22" s="46">
        <f>MAX(-tbl_LTHM[[#This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0.17214285714285715</v>
      </c>
      <c r="Q22" s="46">
        <f ca="1">IF(ROW($O22)-5&lt;RSI_Periods, "", AVERAGE(INDIRECT(ADDRESS(ROW($O22)-RSI_Periods +1, MATCH("Downmove", Price_Header,0))): INDIRECT(ADDRESS(ROW($O22),MATCH("Downmove", Price_Header,0)))))</f>
        <v>3.8571428571428576E-2</v>
      </c>
      <c r="R22" s="46">
        <f ca="1">IF(tbl_LTHM[[#This Row],[Avg_Upmove]]="", "", tbl_LTHM[[#This Row],[Avg_Upmove]]/tbl_LTHM[[#This Row],[Avg_Downmove]])</f>
        <v>4.4629629629629628</v>
      </c>
      <c r="S22" s="10">
        <f ca="1">IF(ROW($N22)-4&lt;BB_Periods, "", _xlfn.STDEV.S(INDIRECT(ADDRESS(ROW($F22)-RSI_Periods +1, MATCH("Adj Close", Price_Header,0))): INDIRECT(ADDRESS(ROW($F22),MATCH("Adj Close", Price_Header,0)))))</f>
        <v>0.62976185975335153</v>
      </c>
    </row>
    <row r="23" spans="1:19" x14ac:dyDescent="0.35">
      <c r="A23" s="8">
        <v>44077</v>
      </c>
      <c r="B23" s="10">
        <v>9.15</v>
      </c>
      <c r="C23" s="10">
        <v>9.1999999999999993</v>
      </c>
      <c r="D23" s="10">
        <v>8.5</v>
      </c>
      <c r="E23" s="10">
        <v>8.67</v>
      </c>
      <c r="F23" s="10">
        <v>8.67</v>
      </c>
      <c r="G23">
        <v>3676100</v>
      </c>
      <c r="H23" s="10">
        <f>IF(tbl_LTHM[[#This Row],[Date]]=$A$5, $F23, EMA_Beta*$H22 + (1-EMA_Beta)*$F23)</f>
        <v>8.1002950753528218</v>
      </c>
      <c r="I23" s="46">
        <f ca="1">IF(tbl_LTHM[[#This Row],[RS]]= "", "", 100-(100/(1+tbl_LTHM[[#This Row],[RS]])))</f>
        <v>65.653495440729486</v>
      </c>
      <c r="J23" s="10">
        <f ca="1">IF(ROW($N23)-4&lt;BB_Periods, "", AVERAGE(INDIRECT(ADDRESS(ROW($F23)-RSI_Periods +1, MATCH("Adj Close", Price_Header,0))): INDIRECT(ADDRESS(ROW($F23),MATCH("Adj Close", Price_Header,0)))))</f>
        <v>8.0735714285714302</v>
      </c>
      <c r="K23" s="10">
        <f ca="1">IF(tbl_LTHM[[#This Row],[BB_Mean]]="", "", tbl_LTHM[[#This Row],[BB_Mean]]+(BB_Width*tbl_LTHM[[#This Row],[BB_Stdev]]))</f>
        <v>9.3624972101157642</v>
      </c>
      <c r="L23" s="10">
        <f ca="1">IF(tbl_LTHM[[#This Row],[BB_Mean]]="", "", tbl_LTHM[[#This Row],[BB_Mean]]-(BB_Width*tbl_LTHM[[#This Row],[BB_Stdev]]))</f>
        <v>6.784645647027097</v>
      </c>
      <c r="M23" s="46">
        <f>IF(ROW(tbl_LTHM[[#This Row],[Adj Close]])=5, 0, $F23-$F22)</f>
        <v>-0.58999999999999986</v>
      </c>
      <c r="N23" s="46">
        <f>MAX(tbl_LTHM[[#This Row],[Move]],0)</f>
        <v>0</v>
      </c>
      <c r="O23" s="46">
        <f>MAX(-tbl_LTHM[[#This Row],[Move]],0)</f>
        <v>0.58999999999999986</v>
      </c>
      <c r="P23" s="46">
        <f ca="1">IF(ROW($N23)-5&lt;RSI_Periods, "", AVERAGE(INDIRECT(ADDRESS(ROW($N23)-RSI_Periods +1, MATCH("Upmove", Price_Header,0))): INDIRECT(ADDRESS(ROW($N23),MATCH("Upmove", Price_Header,0)))))</f>
        <v>0.1542857142857143</v>
      </c>
      <c r="Q23" s="46">
        <f ca="1">IF(ROW($O23)-5&lt;RSI_Periods, "", AVERAGE(INDIRECT(ADDRESS(ROW($O23)-RSI_Periods +1, MATCH("Downmove", Price_Header,0))): INDIRECT(ADDRESS(ROW($O23),MATCH("Downmove", Price_Header,0)))))</f>
        <v>8.0714285714285711E-2</v>
      </c>
      <c r="R23" s="46">
        <f ca="1">IF(tbl_LTHM[[#This Row],[Avg_Upmove]]="", "", tbl_LTHM[[#This Row],[Avg_Upmove]]/tbl_LTHM[[#This Row],[Avg_Downmove]])</f>
        <v>1.9115044247787614</v>
      </c>
      <c r="S23" s="10">
        <f ca="1">IF(ROW($N23)-4&lt;BB_Periods, "", _xlfn.STDEV.S(INDIRECT(ADDRESS(ROW($F23)-RSI_Periods +1, MATCH("Adj Close", Price_Header,0))): INDIRECT(ADDRESS(ROW($F23),MATCH("Adj Close", Price_Header,0)))))</f>
        <v>0.64446289077216667</v>
      </c>
    </row>
    <row r="24" spans="1:19" x14ac:dyDescent="0.35">
      <c r="A24" s="8">
        <v>44078</v>
      </c>
      <c r="B24" s="10">
        <v>8.8000000000000007</v>
      </c>
      <c r="C24" s="10">
        <v>8.8800000000000008</v>
      </c>
      <c r="D24" s="10">
        <v>8.25</v>
      </c>
      <c r="E24" s="10">
        <v>8.65</v>
      </c>
      <c r="F24" s="10">
        <v>8.65</v>
      </c>
      <c r="G24">
        <v>1836700</v>
      </c>
      <c r="H24" s="10">
        <f>IF(tbl_LTHM[[#This Row],[Date]]=$A$5, $F24, EMA_Beta*$H23 + (1-EMA_Beta)*$F24)</f>
        <v>8.1552655678175388</v>
      </c>
      <c r="I24" s="46">
        <f ca="1">IF(tbl_LTHM[[#This Row],[RS]]= "", "", 100-(100/(1+tbl_LTHM[[#This Row],[RS]])))</f>
        <v>66.257668711656464</v>
      </c>
      <c r="J24" s="10">
        <f ca="1">IF(ROW($N24)-4&lt;BB_Periods, "", AVERAGE(INDIRECT(ADDRESS(ROW($F24)-RSI_Periods +1, MATCH("Adj Close", Price_Header,0))): INDIRECT(ADDRESS(ROW($F24),MATCH("Adj Close", Price_Header,0)))))</f>
        <v>8.1492857142857158</v>
      </c>
      <c r="K24" s="10">
        <f ca="1">IF(tbl_LTHM[[#This Row],[BB_Mean]]="", "", tbl_LTHM[[#This Row],[BB_Mean]]+(BB_Width*tbl_LTHM[[#This Row],[BB_Stdev]]))</f>
        <v>9.440378615327651</v>
      </c>
      <c r="L24" s="10">
        <f ca="1">IF(tbl_LTHM[[#This Row],[BB_Mean]]="", "", tbl_LTHM[[#This Row],[BB_Mean]]-(BB_Width*tbl_LTHM[[#This Row],[BB_Stdev]]))</f>
        <v>6.8581928132437806</v>
      </c>
      <c r="M24" s="46">
        <f>IF(ROW(tbl_LTHM[[#This Row],[Adj Close]])=5, 0, $F24-$F23)</f>
        <v>-1.9999999999999574E-2</v>
      </c>
      <c r="N24" s="46">
        <f>MAX(tbl_LTHM[[#This Row],[Move]],0)</f>
        <v>0</v>
      </c>
      <c r="O24" s="46">
        <f>MAX(-tbl_LTHM[[#This Row],[Move]],0)</f>
        <v>1.9999999999999574E-2</v>
      </c>
      <c r="P24" s="46">
        <f ca="1">IF(ROW($N24)-5&lt;RSI_Periods, "", AVERAGE(INDIRECT(ADDRESS(ROW($N24)-RSI_Periods +1, MATCH("Upmove", Price_Header,0))): INDIRECT(ADDRESS(ROW($N24),MATCH("Upmove", Price_Header,0)))))</f>
        <v>0.1542857142857143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IF(tbl_LTHM[[#This Row],[Avg_Upmove]]="", "", tbl_LTHM[[#This Row],[Avg_Upmove]]/tbl_LTHM[[#This Row],[Avg_Downmove]])</f>
        <v>1.9636363636363645</v>
      </c>
      <c r="S24" s="10">
        <f ca="1">IF(ROW($N24)-4&lt;BB_Periods, "", _xlfn.STDEV.S(INDIRECT(ADDRESS(ROW($F24)-RSI_Periods +1, MATCH("Adj Close", Price_Header,0))): INDIRECT(ADDRESS(ROW($F24),MATCH("Adj Close", Price_Header,0)))))</f>
        <v>0.64554645052096737</v>
      </c>
    </row>
    <row r="25" spans="1:19" x14ac:dyDescent="0.35">
      <c r="A25" s="8">
        <v>44082</v>
      </c>
      <c r="B25" s="10">
        <v>8.43</v>
      </c>
      <c r="C25" s="10">
        <v>8.59</v>
      </c>
      <c r="D25" s="10">
        <v>8.26</v>
      </c>
      <c r="E25" s="10">
        <v>8.3800000000000008</v>
      </c>
      <c r="F25" s="10">
        <v>8.3800000000000008</v>
      </c>
      <c r="G25">
        <v>1540700</v>
      </c>
      <c r="H25" s="10">
        <f>IF(tbl_LTHM[[#This Row],[Date]]=$A$5, $F25, EMA_Beta*$H24 + (1-EMA_Beta)*$F25)</f>
        <v>8.1777390110357846</v>
      </c>
      <c r="I25" s="46">
        <f ca="1">IF(tbl_LTHM[[#This Row],[RS]]= "", "", 100-(100/(1+tbl_LTHM[[#This Row],[RS]])))</f>
        <v>60.857142857142868</v>
      </c>
      <c r="J25" s="10">
        <f ca="1">IF(ROW($N25)-4&lt;BB_Periods, "", AVERAGE(INDIRECT(ADDRESS(ROW($F25)-RSI_Periods +1, MATCH("Adj Close", Price_Header,0))): INDIRECT(ADDRESS(ROW($F25),MATCH("Adj Close", Price_Header,0)))))</f>
        <v>8.2035714285714292</v>
      </c>
      <c r="K25" s="10">
        <f ca="1">IF(tbl_LTHM[[#This Row],[BB_Mean]]="", "", tbl_LTHM[[#This Row],[BB_Mean]]+(BB_Width*tbl_LTHM[[#This Row],[BB_Stdev]]))</f>
        <v>9.4623035658455166</v>
      </c>
      <c r="L25" s="10">
        <f ca="1">IF(tbl_LTHM[[#This Row],[BB_Mean]]="", "", tbl_LTHM[[#This Row],[BB_Mean]]-(BB_Width*tbl_LTHM[[#This Row],[BB_Stdev]]))</f>
        <v>6.9448392912973409</v>
      </c>
      <c r="M25" s="46">
        <f>IF(ROW(tbl_LTHM[[#This Row],[Adj Close]])=5, 0, $F25-$F24)</f>
        <v>-0.26999999999999957</v>
      </c>
      <c r="N25" s="46">
        <f>MAX(tbl_LTHM[[#This Row],[Move]],0)</f>
        <v>0</v>
      </c>
      <c r="O25" s="46">
        <f>MAX(-tbl_LTHM[[#This Row],[Move]],0)</f>
        <v>0.26999999999999957</v>
      </c>
      <c r="P25" s="46">
        <f ca="1">IF(ROW($N25)-5&lt;RSI_Periods, "", AVERAGE(INDIRECT(ADDRESS(ROW($N25)-RSI_Periods +1, MATCH("Upmove", Price_Header,0))): INDIRECT(ADDRESS(ROW($N25),MATCH("Upmove", Price_Header,0)))))</f>
        <v>0.15214285714285714</v>
      </c>
      <c r="Q25" s="46">
        <f ca="1">IF(ROW($O25)-5&lt;RSI_Periods, "", AVERAGE(INDIRECT(ADDRESS(ROW($O25)-RSI_Periods +1, MATCH("Downmove", Price_Header,0))): INDIRECT(ADDRESS(ROW($O25),MATCH("Downmove", Price_Header,0)))))</f>
        <v>9.7857142857142795E-2</v>
      </c>
      <c r="R25" s="46">
        <f ca="1">IF(tbl_LTHM[[#This Row],[Avg_Upmove]]="", "", tbl_LTHM[[#This Row],[Avg_Upmove]]/tbl_LTHM[[#This Row],[Avg_Downmove]])</f>
        <v>1.5547445255474461</v>
      </c>
      <c r="S25" s="10">
        <f ca="1">IF(ROW($N25)-4&lt;BB_Periods, "", _xlfn.STDEV.S(INDIRECT(ADDRESS(ROW($F25)-RSI_Periods +1, MATCH("Adj Close", Price_Header,0))): INDIRECT(ADDRESS(ROW($F25),MATCH("Adj Close", Price_Header,0)))))</f>
        <v>0.62936606863704414</v>
      </c>
    </row>
    <row r="26" spans="1:19" x14ac:dyDescent="0.35">
      <c r="A26" s="8">
        <v>44083</v>
      </c>
      <c r="B26" s="10">
        <v>8.48</v>
      </c>
      <c r="C26" s="10">
        <v>8.73</v>
      </c>
      <c r="D26" s="10">
        <v>8.3800000000000008</v>
      </c>
      <c r="E26" s="10">
        <v>8.6300000000000008</v>
      </c>
      <c r="F26" s="10">
        <v>8.6300000000000008</v>
      </c>
      <c r="G26">
        <v>1980400</v>
      </c>
      <c r="H26" s="10">
        <f>IF(tbl_LTHM[[#This Row],[Date]]=$A$5, $F26, EMA_Beta*$H25 + (1-EMA_Beta)*$F26)</f>
        <v>8.2229651099322059</v>
      </c>
      <c r="I26" s="46">
        <f ca="1">IF(tbl_LTHM[[#This Row],[RS]]= "", "", 100-(100/(1+tbl_LTHM[[#This Row],[RS]])))</f>
        <v>64.150943396226438</v>
      </c>
      <c r="J26" s="10">
        <f ca="1">IF(ROW($N26)-4&lt;BB_Periods, "", AVERAGE(INDIRECT(ADDRESS(ROW($F26)-RSI_Periods +1, MATCH("Adj Close", Price_Header,0))): INDIRECT(ADDRESS(ROW($F26),MATCH("Adj Close", Price_Header,0)))))</f>
        <v>8.2785714285714285</v>
      </c>
      <c r="K26" s="10">
        <f ca="1">IF(tbl_LTHM[[#This Row],[BB_Mean]]="", "", tbl_LTHM[[#This Row],[BB_Mean]]+(BB_Width*tbl_LTHM[[#This Row],[BB_Stdev]]))</f>
        <v>9.5018798592149505</v>
      </c>
      <c r="L26" s="10">
        <f ca="1">IF(tbl_LTHM[[#This Row],[BB_Mean]]="", "", tbl_LTHM[[#This Row],[BB_Mean]]-(BB_Width*tbl_LTHM[[#This Row],[BB_Stdev]]))</f>
        <v>7.0552629979279065</v>
      </c>
      <c r="M26" s="46">
        <f>IF(ROW(tbl_LTHM[[#This Row],[Adj Close]])=5, 0, $F26-$F25)</f>
        <v>0.25</v>
      </c>
      <c r="N26" s="46">
        <f>MAX(tbl_LTHM[[#This Row],[Move]],0)</f>
        <v>0.25</v>
      </c>
      <c r="O26" s="46">
        <f>MAX(-tbl_LTHM[[#This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0.16999999999999998</v>
      </c>
      <c r="Q26" s="46">
        <f ca="1">IF(ROW($O26)-5&lt;RSI_Periods, "", AVERAGE(INDIRECT(ADDRESS(ROW($O26)-RSI_Periods +1, MATCH("Downmove", Price_Header,0))): INDIRECT(ADDRESS(ROW($O26),MATCH("Downmove", Price_Header,0)))))</f>
        <v>9.4999999999999946E-2</v>
      </c>
      <c r="R26" s="46">
        <f ca="1">IF(tbl_LTHM[[#This Row],[Avg_Upmove]]="", "", tbl_LTHM[[#This Row],[Avg_Upmove]]/tbl_LTHM[[#This Row],[Avg_Downmove]])</f>
        <v>1.7894736842105272</v>
      </c>
      <c r="S26" s="10">
        <f ca="1">IF(ROW($N26)-4&lt;BB_Periods, "", _xlfn.STDEV.S(INDIRECT(ADDRESS(ROW($F26)-RSI_Periods +1, MATCH("Adj Close", Price_Header,0))): INDIRECT(ADDRESS(ROW($F26),MATCH("Adj Close", Price_Header,0)))))</f>
        <v>0.61165421532176112</v>
      </c>
    </row>
    <row r="27" spans="1:19" x14ac:dyDescent="0.35">
      <c r="A27" s="8">
        <v>44084</v>
      </c>
      <c r="B27" s="10">
        <v>8.68</v>
      </c>
      <c r="C27" s="10">
        <v>8.84</v>
      </c>
      <c r="D27" s="10">
        <v>8.4499999999999993</v>
      </c>
      <c r="E27" s="10">
        <v>8.4600000000000009</v>
      </c>
      <c r="F27" s="10">
        <v>8.4600000000000009</v>
      </c>
      <c r="G27">
        <v>1166500</v>
      </c>
      <c r="H27" s="10">
        <f>IF(tbl_LTHM[[#This Row],[Date]]=$A$5, $F27, EMA_Beta*$H26 + (1-EMA_Beta)*$F27)</f>
        <v>8.2466685989389852</v>
      </c>
      <c r="I27" s="46">
        <f ca="1">IF(tbl_LTHM[[#This Row],[RS]]= "", "", 100-(100/(1+tbl_LTHM[[#This Row],[RS]])))</f>
        <v>65.027322404371603</v>
      </c>
      <c r="J27" s="10">
        <f ca="1">IF(ROW($N27)-4&lt;BB_Periods, "", AVERAGE(INDIRECT(ADDRESS(ROW($F27)-RSI_Periods +1, MATCH("Adj Close", Price_Header,0))): INDIRECT(ADDRESS(ROW($F27),MATCH("Adj Close", Price_Header,0)))))</f>
        <v>8.3571428571428577</v>
      </c>
      <c r="K27" s="10">
        <f ca="1">IF(tbl_LTHM[[#This Row],[BB_Mean]]="", "", tbl_LTHM[[#This Row],[BB_Mean]]+(BB_Width*tbl_LTHM[[#This Row],[BB_Stdev]]))</f>
        <v>9.4618580260418845</v>
      </c>
      <c r="L27" s="10">
        <f ca="1">IF(tbl_LTHM[[#This Row],[BB_Mean]]="", "", tbl_LTHM[[#This Row],[BB_Mean]]-(BB_Width*tbl_LTHM[[#This Row],[BB_Stdev]]))</f>
        <v>7.2524276882438308</v>
      </c>
      <c r="M27" s="46">
        <f>IF(ROW(tbl_LTHM[[#This Row],[Adj Close]])=5, 0, $F27-$F26)</f>
        <v>-0.16999999999999993</v>
      </c>
      <c r="N27" s="46">
        <f>MAX(tbl_LTHM[[#This Row],[Move]],0)</f>
        <v>0</v>
      </c>
      <c r="O27" s="46">
        <f>MAX(-tbl_LTHM[[#This Row],[Move]],0)</f>
        <v>0.16999999999999993</v>
      </c>
      <c r="P27" s="46">
        <f ca="1">IF(ROW($N27)-5&lt;RSI_Periods, "", AVERAGE(INDIRECT(ADDRESS(ROW($N27)-RSI_Periods +1, MATCH("Upmove", Price_Header,0))): INDIRECT(ADDRESS(ROW($N27),MATCH("Upmove", Price_Header,0)))))</f>
        <v>0.16999999999999998</v>
      </c>
      <c r="Q27" s="46">
        <f ca="1">IF(ROW($O27)-5&lt;RSI_Periods, "", AVERAGE(INDIRECT(ADDRESS(ROW($O27)-RSI_Periods +1, MATCH("Downmove", Price_Header,0))): INDIRECT(ADDRESS(ROW($O27),MATCH("Downmove", Price_Header,0)))))</f>
        <v>9.1428571428571387E-2</v>
      </c>
      <c r="R27" s="46">
        <f ca="1">IF(tbl_LTHM[[#This Row],[Avg_Upmove]]="", "", tbl_LTHM[[#This Row],[Avg_Upmove]]/tbl_LTHM[[#This Row],[Avg_Downmove]])</f>
        <v>1.8593750000000007</v>
      </c>
      <c r="S27" s="10">
        <f ca="1">IF(ROW($N27)-4&lt;BB_Periods, "", _xlfn.STDEV.S(INDIRECT(ADDRESS(ROW($F27)-RSI_Periods +1, MATCH("Adj Close", Price_Header,0))): INDIRECT(ADDRESS(ROW($F27),MATCH("Adj Close", Price_Header,0)))))</f>
        <v>0.55235758444951333</v>
      </c>
    </row>
    <row r="28" spans="1:19" x14ac:dyDescent="0.35">
      <c r="A28" s="8">
        <v>44085</v>
      </c>
      <c r="B28" s="10">
        <v>8.57</v>
      </c>
      <c r="C28" s="10">
        <v>8.94</v>
      </c>
      <c r="D28" s="10">
        <v>8.43</v>
      </c>
      <c r="E28" s="10">
        <v>8.69</v>
      </c>
      <c r="F28" s="10">
        <v>8.69</v>
      </c>
      <c r="G28">
        <v>1279300</v>
      </c>
      <c r="H28" s="10">
        <f>IF(tbl_LTHM[[#This Row],[Date]]=$A$5, $F28, EMA_Beta*$H27 + (1-EMA_Beta)*$F28)</f>
        <v>8.2910017390450861</v>
      </c>
      <c r="I28" s="46">
        <f ca="1">IF(tbl_LTHM[[#This Row],[RS]]= "", "", 100-(100/(1+tbl_LTHM[[#This Row],[RS]])))</f>
        <v>68.146214099216721</v>
      </c>
      <c r="J28" s="10">
        <f ca="1">IF(ROW($N28)-4&lt;BB_Periods, "", AVERAGE(INDIRECT(ADDRESS(ROW($F28)-RSI_Periods +1, MATCH("Adj Close", Price_Header,0))): INDIRECT(ADDRESS(ROW($F28),MATCH("Adj Close", Price_Header,0)))))</f>
        <v>8.4564285714285727</v>
      </c>
      <c r="K28" s="10">
        <f ca="1">IF(tbl_LTHM[[#This Row],[BB_Mean]]="", "", tbl_LTHM[[#This Row],[BB_Mean]]+(BB_Width*tbl_LTHM[[#This Row],[BB_Stdev]]))</f>
        <v>9.3881798470168807</v>
      </c>
      <c r="L28" s="10">
        <f ca="1">IF(tbl_LTHM[[#This Row],[BB_Mean]]="", "", tbl_LTHM[[#This Row],[BB_Mean]]-(BB_Width*tbl_LTHM[[#This Row],[BB_Stdev]]))</f>
        <v>7.5246772958402648</v>
      </c>
      <c r="M28" s="46">
        <f>IF(ROW(tbl_LTHM[[#This Row],[Adj Close]])=5, 0, $F28-$F27)</f>
        <v>0.22999999999999865</v>
      </c>
      <c r="N28" s="46">
        <f>MAX(tbl_LTHM[[#This Row],[Move]],0)</f>
        <v>0.22999999999999865</v>
      </c>
      <c r="O28" s="46">
        <f>MAX(-tbl_LTHM[[#This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0.18642857142857133</v>
      </c>
      <c r="Q28" s="46">
        <f ca="1">IF(ROW($O28)-5&lt;RSI_Periods, "", AVERAGE(INDIRECT(ADDRESS(ROW($O28)-RSI_Periods +1, MATCH("Downmove", Price_Header,0))): INDIRECT(ADDRESS(ROW($O28),MATCH("Downmove", Price_Header,0)))))</f>
        <v>8.7142857142857064E-2</v>
      </c>
      <c r="R28" s="46">
        <f ca="1">IF(tbl_LTHM[[#This Row],[Avg_Upmove]]="", "", tbl_LTHM[[#This Row],[Avg_Upmove]]/tbl_LTHM[[#This Row],[Avg_Downmove]])</f>
        <v>2.1393442622950829</v>
      </c>
      <c r="S28" s="10">
        <f ca="1">IF(ROW($N28)-4&lt;BB_Periods, "", _xlfn.STDEV.S(INDIRECT(ADDRESS(ROW($F28)-RSI_Periods +1, MATCH("Adj Close", Price_Header,0))): INDIRECT(ADDRESS(ROW($F28),MATCH("Adj Close", Price_Header,0)))))</f>
        <v>0.4658756377941542</v>
      </c>
    </row>
    <row r="29" spans="1:19" x14ac:dyDescent="0.35">
      <c r="A29" s="8">
        <v>44088</v>
      </c>
      <c r="B29" s="10">
        <v>8.77</v>
      </c>
      <c r="C29" s="10">
        <v>9.17</v>
      </c>
      <c r="D29" s="10">
        <v>8.6300000000000008</v>
      </c>
      <c r="E29" s="10">
        <v>8.99</v>
      </c>
      <c r="F29" s="10">
        <v>8.99</v>
      </c>
      <c r="G29">
        <v>3274000</v>
      </c>
      <c r="H29" s="10">
        <f>IF(tbl_LTHM[[#This Row],[Date]]=$A$5, $F29, EMA_Beta*$H28 + (1-EMA_Beta)*$F29)</f>
        <v>8.360901565140578</v>
      </c>
      <c r="I29" s="46">
        <f ca="1">IF(tbl_LTHM[[#This Row],[RS]]= "", "", 100-(100/(1+tbl_LTHM[[#This Row],[RS]])))</f>
        <v>68.556701030927854</v>
      </c>
      <c r="J29" s="10">
        <f ca="1">IF(ROW($N29)-4&lt;BB_Periods, "", AVERAGE(INDIRECT(ADDRESS(ROW($F29)-RSI_Periods +1, MATCH("Adj Close", Price_Header,0))): INDIRECT(ADDRESS(ROW($F29),MATCH("Adj Close", Price_Header,0)))))</f>
        <v>8.5592857142857124</v>
      </c>
      <c r="K29" s="10">
        <f ca="1">IF(tbl_LTHM[[#This Row],[BB_Mean]]="", "", tbl_LTHM[[#This Row],[BB_Mean]]+(BB_Width*tbl_LTHM[[#This Row],[BB_Stdev]]))</f>
        <v>9.3700769436304903</v>
      </c>
      <c r="L29" s="10">
        <f ca="1">IF(tbl_LTHM[[#This Row],[BB_Mean]]="", "", tbl_LTHM[[#This Row],[BB_Mean]]-(BB_Width*tbl_LTHM[[#This Row],[BB_Stdev]]))</f>
        <v>7.7484944849409336</v>
      </c>
      <c r="M29" s="46">
        <f>IF(ROW(tbl_LTHM[[#This Row],[Adj Close]])=5, 0, $F29-$F28)</f>
        <v>0.30000000000000071</v>
      </c>
      <c r="N29" s="46">
        <f>MAX(tbl_LTHM[[#This Row],[Move]],0)</f>
        <v>0.30000000000000071</v>
      </c>
      <c r="O29" s="46">
        <f>MAX(-tbl_LTHM[[#This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0.18999999999999995</v>
      </c>
      <c r="Q29" s="46">
        <f ca="1">IF(ROW($O29)-5&lt;RSI_Periods, "", AVERAGE(INDIRECT(ADDRESS(ROW($O29)-RSI_Periods +1, MATCH("Downmove", Price_Header,0))): INDIRECT(ADDRESS(ROW($O29),MATCH("Downmove", Price_Header,0)))))</f>
        <v>8.7142857142857064E-2</v>
      </c>
      <c r="R29" s="46">
        <f ca="1">IF(tbl_LTHM[[#This Row],[Avg_Upmove]]="", "", tbl_LTHM[[#This Row],[Avg_Upmove]]/tbl_LTHM[[#This Row],[Avg_Downmove]])</f>
        <v>2.1803278688524603</v>
      </c>
      <c r="S29" s="10">
        <f ca="1">IF(ROW($N29)-4&lt;BB_Periods, "", _xlfn.STDEV.S(INDIRECT(ADDRESS(ROW($F29)-RSI_Periods +1, MATCH("Adj Close", Price_Header,0))): INDIRECT(ADDRESS(ROW($F29),MATCH("Adj Close", Price_Header,0)))))</f>
        <v>0.40539561467238933</v>
      </c>
    </row>
    <row r="30" spans="1:19" x14ac:dyDescent="0.35">
      <c r="A30" s="8">
        <v>44089</v>
      </c>
      <c r="B30" s="10">
        <v>9.1</v>
      </c>
      <c r="C30" s="10">
        <v>9.49</v>
      </c>
      <c r="D30" s="10">
        <v>9.02</v>
      </c>
      <c r="E30" s="10">
        <v>9.36</v>
      </c>
      <c r="F30" s="10">
        <v>9.36</v>
      </c>
      <c r="G30">
        <v>2534000</v>
      </c>
      <c r="H30" s="10">
        <f>IF(tbl_LTHM[[#This Row],[Date]]=$A$5, $F30, EMA_Beta*$H29 + (1-EMA_Beta)*$F30)</f>
        <v>8.4608114086265207</v>
      </c>
      <c r="I30" s="46">
        <f ca="1">IF(tbl_LTHM[[#This Row],[RS]]= "", "", 100-(100/(1+tbl_LTHM[[#This Row],[RS]])))</f>
        <v>70.743405275779381</v>
      </c>
      <c r="J30" s="10">
        <f ca="1">IF(ROW($N30)-4&lt;BB_Periods, "", AVERAGE(INDIRECT(ADDRESS(ROW($F30)-RSI_Periods +1, MATCH("Adj Close", Price_Header,0))): INDIRECT(ADDRESS(ROW($F30),MATCH("Adj Close", Price_Header,0)))))</f>
        <v>8.6828571428571415</v>
      </c>
      <c r="K30" s="10">
        <f ca="1">IF(tbl_LTHM[[#This Row],[BB_Mean]]="", "", tbl_LTHM[[#This Row],[BB_Mean]]+(BB_Width*tbl_LTHM[[#This Row],[BB_Stdev]]))</f>
        <v>9.4061584875018447</v>
      </c>
      <c r="L30" s="10">
        <f ca="1">IF(tbl_LTHM[[#This Row],[BB_Mean]]="", "", tbl_LTHM[[#This Row],[BB_Mean]]-(BB_Width*tbl_LTHM[[#This Row],[BB_Stdev]]))</f>
        <v>7.9595557982124392</v>
      </c>
      <c r="M30" s="46">
        <f>IF(ROW(tbl_LTHM[[#This Row],[Adj Close]])=5, 0, $F30-$F29)</f>
        <v>0.36999999999999922</v>
      </c>
      <c r="N30" s="46">
        <f>MAX(tbl_LTHM[[#This Row],[Move]],0)</f>
        <v>0.36999999999999922</v>
      </c>
      <c r="O30" s="46">
        <f>MAX(-tbl_LTHM[[#This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0.2107142857142856</v>
      </c>
      <c r="Q30" s="46">
        <f ca="1">IF(ROW($O30)-5&lt;RSI_Periods, "", AVERAGE(INDIRECT(ADDRESS(ROW($O30)-RSI_Periods +1, MATCH("Downmove", Price_Header,0))): INDIRECT(ADDRESS(ROW($O30),MATCH("Downmove", Price_Header,0)))))</f>
        <v>8.7142857142857064E-2</v>
      </c>
      <c r="R30" s="46">
        <f ca="1">IF(tbl_LTHM[[#This Row],[Avg_Upmove]]="", "", tbl_LTHM[[#This Row],[Avg_Upmove]]/tbl_LTHM[[#This Row],[Avg_Downmove]])</f>
        <v>2.4180327868852469</v>
      </c>
      <c r="S30" s="10">
        <f ca="1">IF(ROW($N30)-4&lt;BB_Periods, "", _xlfn.STDEV.S(INDIRECT(ADDRESS(ROW($F30)-RSI_Periods +1, MATCH("Adj Close", Price_Header,0))): INDIRECT(ADDRESS(ROW($F30),MATCH("Adj Close", Price_Header,0)))))</f>
        <v>0.36165067232235115</v>
      </c>
    </row>
    <row r="31" spans="1:19" x14ac:dyDescent="0.35">
      <c r="A31" s="8">
        <v>44090</v>
      </c>
      <c r="B31" s="10">
        <v>9.52</v>
      </c>
      <c r="C31" s="10">
        <v>9.76</v>
      </c>
      <c r="D31" s="10">
        <v>8.8800000000000008</v>
      </c>
      <c r="E31" s="10">
        <v>9</v>
      </c>
      <c r="F31" s="10">
        <v>9</v>
      </c>
      <c r="G31">
        <v>2997000</v>
      </c>
      <c r="H31" s="10">
        <f>IF(tbl_LTHM[[#This Row],[Date]]=$A$5, $F31, EMA_Beta*$H30 + (1-EMA_Beta)*$F31)</f>
        <v>8.5147302677638681</v>
      </c>
      <c r="I31" s="46">
        <f ca="1">IF(tbl_LTHM[[#This Row],[RS]]= "", "", 100-(100/(1+tbl_LTHM[[#This Row],[RS]])))</f>
        <v>60.401002506265669</v>
      </c>
      <c r="J31" s="10">
        <f ca="1">IF(ROW($N31)-4&lt;BB_Periods, "", AVERAGE(INDIRECT(ADDRESS(ROW($F31)-RSI_Periods +1, MATCH("Adj Close", Price_Header,0))): INDIRECT(ADDRESS(ROW($F31),MATCH("Adj Close", Price_Header,0)))))</f>
        <v>8.7421428571428557</v>
      </c>
      <c r="K31" s="10">
        <f ca="1">IF(tbl_LTHM[[#This Row],[BB_Mean]]="", "", tbl_LTHM[[#This Row],[BB_Mean]]+(BB_Width*tbl_LTHM[[#This Row],[BB_Stdev]]))</f>
        <v>9.4189306807934869</v>
      </c>
      <c r="L31" s="10">
        <f ca="1">IF(tbl_LTHM[[#This Row],[BB_Mean]]="", "", tbl_LTHM[[#This Row],[BB_Mean]]-(BB_Width*tbl_LTHM[[#This Row],[BB_Stdev]]))</f>
        <v>8.0653550334922244</v>
      </c>
      <c r="M31" s="46">
        <f>IF(ROW(tbl_LTHM[[#This Row],[Adj Close]])=5, 0, $F31-$F30)</f>
        <v>-0.35999999999999943</v>
      </c>
      <c r="N31" s="46">
        <f>MAX(tbl_LTHM[[#This Row],[Move]],0)</f>
        <v>0</v>
      </c>
      <c r="O31" s="46">
        <f>MAX(-tbl_LTHM[[#This Row],[Move]],0)</f>
        <v>0.35999999999999943</v>
      </c>
      <c r="P31" s="46">
        <f ca="1">IF(ROW($N31)-5&lt;RSI_Periods, "", AVERAGE(INDIRECT(ADDRESS(ROW($N31)-RSI_Periods +1, MATCH("Upmove", Price_Header,0))): INDIRECT(ADDRESS(ROW($N31),MATCH("Upmove", Price_Header,0)))))</f>
        <v>0.17214285714285701</v>
      </c>
      <c r="Q31" s="46">
        <f ca="1">IF(ROW($O31)-5&lt;RSI_Periods, "", AVERAGE(INDIRECT(ADDRESS(ROW($O31)-RSI_Periods +1, MATCH("Downmove", Price_Header,0))): INDIRECT(ADDRESS(ROW($O31),MATCH("Downmove", Price_Header,0)))))</f>
        <v>0.11285714285714274</v>
      </c>
      <c r="R31" s="46">
        <f ca="1">IF(tbl_LTHM[[#This Row],[Avg_Upmove]]="", "", tbl_LTHM[[#This Row],[Avg_Upmove]]/tbl_LTHM[[#This Row],[Avg_Downmove]])</f>
        <v>1.5253164556962029</v>
      </c>
      <c r="S31" s="10">
        <f ca="1">IF(ROW($N31)-4&lt;BB_Periods, "", _xlfn.STDEV.S(INDIRECT(ADDRESS(ROW($F31)-RSI_Periods +1, MATCH("Adj Close", Price_Header,0))): INDIRECT(ADDRESS(ROW($F31),MATCH("Adj Close", Price_Header,0)))))</f>
        <v>0.33839391182531547</v>
      </c>
    </row>
    <row r="32" spans="1:19" x14ac:dyDescent="0.35">
      <c r="A32" s="8">
        <v>44091</v>
      </c>
      <c r="B32" s="10">
        <v>9</v>
      </c>
      <c r="C32" s="10">
        <v>9.17</v>
      </c>
      <c r="D32" s="10">
        <v>8.7799999999999994</v>
      </c>
      <c r="E32" s="10">
        <v>8.9700000000000006</v>
      </c>
      <c r="F32" s="10">
        <v>8.9700000000000006</v>
      </c>
      <c r="G32">
        <v>2022700</v>
      </c>
      <c r="H32" s="10">
        <f>IF(tbl_LTHM[[#This Row],[Date]]=$A$5, $F32, EMA_Beta*$H31 + (1-EMA_Beta)*$F32)</f>
        <v>8.5602572409874806</v>
      </c>
      <c r="I32" s="46">
        <f ca="1">IF(tbl_LTHM[[#This Row],[RS]]= "", "", 100-(100/(1+tbl_LTHM[[#This Row],[RS]])))</f>
        <v>59.950248756218919</v>
      </c>
      <c r="J32" s="10">
        <f ca="1">IF(ROW($N32)-4&lt;BB_Periods, "", AVERAGE(INDIRECT(ADDRESS(ROW($F32)-RSI_Periods +1, MATCH("Adj Close", Price_Header,0))): INDIRECT(ADDRESS(ROW($F32),MATCH("Adj Close", Price_Header,0)))))</f>
        <v>8.7992857142857144</v>
      </c>
      <c r="K32" s="10">
        <f ca="1">IF(tbl_LTHM[[#This Row],[BB_Mean]]="", "", tbl_LTHM[[#This Row],[BB_Mean]]+(BB_Width*tbl_LTHM[[#This Row],[BB_Stdev]]))</f>
        <v>9.398642512385619</v>
      </c>
      <c r="L32" s="10">
        <f ca="1">IF(tbl_LTHM[[#This Row],[BB_Mean]]="", "", tbl_LTHM[[#This Row],[BB_Mean]]-(BB_Width*tbl_LTHM[[#This Row],[BB_Stdev]]))</f>
        <v>8.1999289161858098</v>
      </c>
      <c r="M32" s="46">
        <f>IF(ROW(tbl_LTHM[[#This Row],[Adj Close]])=5, 0, $F32-$F31)</f>
        <v>-2.9999999999999361E-2</v>
      </c>
      <c r="N32" s="46">
        <f>MAX(tbl_LTHM[[#This Row],[Move]],0)</f>
        <v>0</v>
      </c>
      <c r="O32" s="46">
        <f>MAX(-tbl_LTHM[[#This Row],[Move]],0)</f>
        <v>2.9999999999999361E-2</v>
      </c>
      <c r="P32" s="46">
        <f ca="1">IF(ROW($N32)-5&lt;RSI_Periods, "", AVERAGE(INDIRECT(ADDRESS(ROW($N32)-RSI_Periods +1, MATCH("Upmove", Price_Header,0))): INDIRECT(ADDRESS(ROW($N32),MATCH("Upmove", Price_Header,0)))))</f>
        <v>0.17214285714285701</v>
      </c>
      <c r="Q32" s="46">
        <f ca="1">IF(ROW($O32)-5&lt;RSI_Periods, "", AVERAGE(INDIRECT(ADDRESS(ROW($O32)-RSI_Periods +1, MATCH("Downmove", Price_Header,0))): INDIRECT(ADDRESS(ROW($O32),MATCH("Downmove", Price_Header,0)))))</f>
        <v>0.11499999999999984</v>
      </c>
      <c r="R32" s="46">
        <f ca="1">IF(tbl_LTHM[[#This Row],[Avg_Upmove]]="", "", tbl_LTHM[[#This Row],[Avg_Upmove]]/tbl_LTHM[[#This Row],[Avg_Downmove]])</f>
        <v>1.4968944099378891</v>
      </c>
      <c r="S32" s="10">
        <f ca="1">IF(ROW($N32)-4&lt;BB_Periods, "", _xlfn.STDEV.S(INDIRECT(ADDRESS(ROW($F32)-RSI_Periods +1, MATCH("Adj Close", Price_Header,0))): INDIRECT(ADDRESS(ROW($F32),MATCH("Adj Close", Price_Header,0)))))</f>
        <v>0.29967839904995269</v>
      </c>
    </row>
    <row r="33" spans="1:19" x14ac:dyDescent="0.35">
      <c r="A33" s="8">
        <v>44092</v>
      </c>
      <c r="B33" s="10">
        <v>8.9499999999999993</v>
      </c>
      <c r="C33" s="10">
        <v>9.36</v>
      </c>
      <c r="D33" s="10">
        <v>8.7899999999999991</v>
      </c>
      <c r="E33" s="10">
        <v>9.0500000000000007</v>
      </c>
      <c r="F33" s="10">
        <v>9.0500000000000007</v>
      </c>
      <c r="G33">
        <v>2022700</v>
      </c>
      <c r="H33" s="10">
        <f>IF(tbl_LTHM[[#This Row],[Date]]=$A$5, $F33, EMA_Beta*$H32 + (1-EMA_Beta)*$F33)</f>
        <v>8.6092315168887321</v>
      </c>
      <c r="I33" s="46">
        <f ca="1">IF(tbl_LTHM[[#This Row],[RS]]= "", "", 100-(100/(1+tbl_LTHM[[#This Row],[RS]])))</f>
        <v>55.524861878453045</v>
      </c>
      <c r="J33" s="10">
        <f ca="1">IF(ROW($N33)-4&lt;BB_Periods, "", AVERAGE(INDIRECT(ADDRESS(ROW($F33)-RSI_Periods +1, MATCH("Adj Close", Price_Header,0))): INDIRECT(ADDRESS(ROW($F33),MATCH("Adj Close", Price_Header,0)))))</f>
        <v>8.8278571428571428</v>
      </c>
      <c r="K33" s="10">
        <f ca="1">IF(tbl_LTHM[[#This Row],[BB_Mean]]="", "", tbl_LTHM[[#This Row],[BB_Mean]]+(BB_Width*tbl_LTHM[[#This Row],[BB_Stdev]]))</f>
        <v>9.4346483791119233</v>
      </c>
      <c r="L33" s="10">
        <f ca="1">IF(tbl_LTHM[[#This Row],[BB_Mean]]="", "", tbl_LTHM[[#This Row],[BB_Mean]]-(BB_Width*tbl_LTHM[[#This Row],[BB_Stdev]]))</f>
        <v>8.2210659066023624</v>
      </c>
      <c r="M33" s="46">
        <f>IF(ROW(tbl_LTHM[[#This Row],[Adj Close]])=5, 0, $F33-$F32)</f>
        <v>8.0000000000000071E-2</v>
      </c>
      <c r="N33" s="46">
        <f>MAX(tbl_LTHM[[#This Row],[Move]],0)</f>
        <v>8.0000000000000071E-2</v>
      </c>
      <c r="O33" s="46">
        <f>MAX(-tbl_LTHM[[#This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0.14357142857142843</v>
      </c>
      <c r="Q33" s="46">
        <f ca="1">IF(ROW($O33)-5&lt;RSI_Periods, "", AVERAGE(INDIRECT(ADDRESS(ROW($O33)-RSI_Periods +1, MATCH("Downmove", Price_Header,0))): INDIRECT(ADDRESS(ROW($O33),MATCH("Downmove", Price_Header,0)))))</f>
        <v>0.11499999999999984</v>
      </c>
      <c r="R33" s="46">
        <f ca="1">IF(tbl_LTHM[[#This Row],[Avg_Upmove]]="", "", tbl_LTHM[[#This Row],[Avg_Upmove]]/tbl_LTHM[[#This Row],[Avg_Downmove]])</f>
        <v>1.2484472049689446</v>
      </c>
      <c r="S33" s="10">
        <f ca="1">IF(ROW($N33)-4&lt;BB_Periods, "", _xlfn.STDEV.S(INDIRECT(ADDRESS(ROW($F33)-RSI_Periods +1, MATCH("Adj Close", Price_Header,0))): INDIRECT(ADDRESS(ROW($F33),MATCH("Adj Close", Price_Header,0)))))</f>
        <v>0.30339561812738985</v>
      </c>
    </row>
    <row r="34" spans="1:19" x14ac:dyDescent="0.35">
      <c r="A34" s="8">
        <v>44095</v>
      </c>
      <c r="B34" s="10">
        <v>8.75</v>
      </c>
      <c r="C34" s="10">
        <v>8.7899999999999991</v>
      </c>
      <c r="D34" s="10">
        <v>8.1199999999999992</v>
      </c>
      <c r="E34" s="10">
        <v>8.3800000000000008</v>
      </c>
      <c r="F34" s="10">
        <v>8.3800000000000008</v>
      </c>
      <c r="G34">
        <v>2172400</v>
      </c>
      <c r="H34" s="10">
        <f>IF(tbl_LTHM[[#This Row],[Date]]=$A$5, $F34, EMA_Beta*$H33 + (1-EMA_Beta)*$F34)</f>
        <v>8.5863083651998586</v>
      </c>
      <c r="I34" s="46">
        <f ca="1">IF(tbl_LTHM[[#This Row],[RS]]= "", "", 100-(100/(1+tbl_LTHM[[#This Row],[RS]])))</f>
        <v>48.786407766990294</v>
      </c>
      <c r="J34" s="10">
        <f ca="1">IF(ROW($N34)-4&lt;BB_Periods, "", AVERAGE(INDIRECT(ADDRESS(ROW($F34)-RSI_Periods +1, MATCH("Adj Close", Price_Header,0))): INDIRECT(ADDRESS(ROW($F34),MATCH("Adj Close", Price_Header,0)))))</f>
        <v>8.8207142857142848</v>
      </c>
      <c r="K34" s="10">
        <f ca="1">IF(tbl_LTHM[[#This Row],[BB_Mean]]="", "", tbl_LTHM[[#This Row],[BB_Mean]]+(BB_Width*tbl_LTHM[[#This Row],[BB_Stdev]]))</f>
        <v>9.447180039494441</v>
      </c>
      <c r="L34" s="10">
        <f ca="1">IF(tbl_LTHM[[#This Row],[BB_Mean]]="", "", tbl_LTHM[[#This Row],[BB_Mean]]-(BB_Width*tbl_LTHM[[#This Row],[BB_Stdev]]))</f>
        <v>8.1942485319341287</v>
      </c>
      <c r="M34" s="46">
        <f>IF(ROW(tbl_LTHM[[#This Row],[Adj Close]])=5, 0, $F34-$F33)</f>
        <v>-0.66999999999999993</v>
      </c>
      <c r="N34" s="46">
        <f>MAX(tbl_LTHM[[#This Row],[Move]],0)</f>
        <v>0</v>
      </c>
      <c r="O34" s="46">
        <f>MAX(-tbl_LTHM[[#This Row],[Move]],0)</f>
        <v>0.66999999999999993</v>
      </c>
      <c r="P34" s="46">
        <f ca="1">IF(ROW($N34)-5&lt;RSI_Periods, "", AVERAGE(INDIRECT(ADDRESS(ROW($N34)-RSI_Periods +1, MATCH("Upmove", Price_Header,0))): INDIRECT(ADDRESS(ROW($N34),MATCH("Upmove", Price_Header,0)))))</f>
        <v>0.14357142857142843</v>
      </c>
      <c r="Q34" s="46">
        <f ca="1">IF(ROW($O34)-5&lt;RSI_Periods, "", AVERAGE(INDIRECT(ADDRESS(ROW($O34)-RSI_Periods +1, MATCH("Downmove", Price_Header,0))): INDIRECT(ADDRESS(ROW($O34),MATCH("Downmove", Price_Header,0)))))</f>
        <v>0.15071428571428555</v>
      </c>
      <c r="R34" s="46">
        <f ca="1">IF(tbl_LTHM[[#This Row],[Avg_Upmove]]="", "", tbl_LTHM[[#This Row],[Avg_Upmove]]/tbl_LTHM[[#This Row],[Avg_Downmove]])</f>
        <v>0.95260663507109011</v>
      </c>
      <c r="S34" s="10">
        <f ca="1">IF(ROW($N34)-4&lt;BB_Periods, "", _xlfn.STDEV.S(INDIRECT(ADDRESS(ROW($F34)-RSI_Periods +1, MATCH("Adj Close", Price_Header,0))): INDIRECT(ADDRESS(ROW($F34),MATCH("Adj Close", Price_Header,0)))))</f>
        <v>0.31323287689007834</v>
      </c>
    </row>
    <row r="35" spans="1:19" x14ac:dyDescent="0.35">
      <c r="A35" s="8">
        <v>44096</v>
      </c>
      <c r="B35" s="10">
        <v>8.42</v>
      </c>
      <c r="C35" s="10">
        <v>8.4499999999999993</v>
      </c>
      <c r="D35" s="10">
        <v>7.95</v>
      </c>
      <c r="E35" s="10">
        <v>8.32</v>
      </c>
      <c r="F35" s="10">
        <v>8.32</v>
      </c>
      <c r="G35">
        <v>2423100</v>
      </c>
      <c r="H35" s="10">
        <f>IF(tbl_LTHM[[#This Row],[Date]]=$A$5, $F35, EMA_Beta*$H34 + (1-EMA_Beta)*$F35)</f>
        <v>8.5596775286798739</v>
      </c>
      <c r="I35" s="46">
        <f ca="1">IF(tbl_LTHM[[#This Row],[RS]]= "", "", 100-(100/(1+tbl_LTHM[[#This Row],[RS]])))</f>
        <v>40.710382513661202</v>
      </c>
      <c r="J35" s="10">
        <f ca="1">IF(ROW($N35)-4&lt;BB_Periods, "", AVERAGE(INDIRECT(ADDRESS(ROW($F35)-RSI_Periods +1, MATCH("Adj Close", Price_Header,0))): INDIRECT(ADDRESS(ROW($F35),MATCH("Adj Close", Price_Header,0)))))</f>
        <v>8.7721428571428568</v>
      </c>
      <c r="K35" s="10">
        <f ca="1">IF(tbl_LTHM[[#This Row],[BB_Mean]]="", "", tbl_LTHM[[#This Row],[BB_Mean]]+(BB_Width*tbl_LTHM[[#This Row],[BB_Stdev]]))</f>
        <v>9.4426273465603607</v>
      </c>
      <c r="L35" s="10">
        <f ca="1">IF(tbl_LTHM[[#This Row],[BB_Mean]]="", "", tbl_LTHM[[#This Row],[BB_Mean]]-(BB_Width*tbl_LTHM[[#This Row],[BB_Stdev]]))</f>
        <v>8.1016583677253529</v>
      </c>
      <c r="M35" s="46">
        <f>IF(ROW(tbl_LTHM[[#This Row],[Adj Close]])=5, 0, $F35-$F34)</f>
        <v>-6.0000000000000497E-2</v>
      </c>
      <c r="N35" s="46">
        <f>MAX(tbl_LTHM[[#This Row],[Move]],0)</f>
        <v>0</v>
      </c>
      <c r="O35" s="46">
        <f>MAX(-tbl_LTHM[[#This Row],[Move]],0)</f>
        <v>6.0000000000000497E-2</v>
      </c>
      <c r="P35" s="46">
        <f ca="1">IF(ROW($N35)-5&lt;RSI_Periods, "", AVERAGE(INDIRECT(ADDRESS(ROW($N35)-RSI_Periods +1, MATCH("Upmove", Price_Header,0))): INDIRECT(ADDRESS(ROW($N35),MATCH("Upmove", Price_Header,0)))))</f>
        <v>0.10642857142857132</v>
      </c>
      <c r="Q35" s="46">
        <f ca="1">IF(ROW($O35)-5&lt;RSI_Periods, "", AVERAGE(INDIRECT(ADDRESS(ROW($O35)-RSI_Periods +1, MATCH("Downmove", Price_Header,0))): INDIRECT(ADDRESS(ROW($O35),MATCH("Downmove", Price_Header,0)))))</f>
        <v>0.15499999999999986</v>
      </c>
      <c r="R35" s="46">
        <f ca="1">IF(tbl_LTHM[[#This Row],[Avg_Upmove]]="", "", tbl_LTHM[[#This Row],[Avg_Upmove]]/tbl_LTHM[[#This Row],[Avg_Downmove]])</f>
        <v>0.68663594470046074</v>
      </c>
      <c r="S35" s="10">
        <f ca="1">IF(ROW($N35)-4&lt;BB_Periods, "", _xlfn.STDEV.S(INDIRECT(ADDRESS(ROW($F35)-RSI_Periods +1, MATCH("Adj Close", Price_Header,0))): INDIRECT(ADDRESS(ROW($F35),MATCH("Adj Close", Price_Header,0)))))</f>
        <v>0.33524224470875158</v>
      </c>
    </row>
    <row r="36" spans="1:19" x14ac:dyDescent="0.35">
      <c r="A36" s="8">
        <v>44097</v>
      </c>
      <c r="B36" s="10">
        <v>7.7</v>
      </c>
      <c r="C36" s="10">
        <v>8.0399999999999991</v>
      </c>
      <c r="D36" s="10">
        <v>7.57</v>
      </c>
      <c r="E36" s="10">
        <v>7.57</v>
      </c>
      <c r="F36" s="10">
        <v>7.57</v>
      </c>
      <c r="G36">
        <v>4666900</v>
      </c>
      <c r="H36" s="10">
        <f>IF(tbl_LTHM[[#This Row],[Date]]=$A$5, $F36, EMA_Beta*$H35 + (1-EMA_Beta)*$F36)</f>
        <v>8.4607097758118872</v>
      </c>
      <c r="I36" s="46">
        <f ca="1">IF(tbl_LTHM[[#This Row],[RS]]= "", "", 100-(100/(1+tbl_LTHM[[#This Row],[RS]])))</f>
        <v>29.638554216867462</v>
      </c>
      <c r="J36" s="10">
        <f ca="1">IF(ROW($N36)-4&lt;BB_Periods, "", AVERAGE(INDIRECT(ADDRESS(ROW($F36)-RSI_Periods +1, MATCH("Adj Close", Price_Header,0))): INDIRECT(ADDRESS(ROW($F36),MATCH("Adj Close", Price_Header,0)))))</f>
        <v>8.6514285714285712</v>
      </c>
      <c r="K36" s="10">
        <f ca="1">IF(tbl_LTHM[[#This Row],[BB_Mean]]="", "", tbl_LTHM[[#This Row],[BB_Mean]]+(BB_Width*tbl_LTHM[[#This Row],[BB_Stdev]]))</f>
        <v>9.5221791633931083</v>
      </c>
      <c r="L36" s="10">
        <f ca="1">IF(tbl_LTHM[[#This Row],[BB_Mean]]="", "", tbl_LTHM[[#This Row],[BB_Mean]]-(BB_Width*tbl_LTHM[[#This Row],[BB_Stdev]]))</f>
        <v>7.7806779794640333</v>
      </c>
      <c r="M36" s="46">
        <f>IF(ROW(tbl_LTHM[[#This Row],[Adj Close]])=5, 0, $F36-$F35)</f>
        <v>-0.75</v>
      </c>
      <c r="N36" s="46">
        <f>MAX(tbl_LTHM[[#This Row],[Move]],0)</f>
        <v>0</v>
      </c>
      <c r="O36" s="46">
        <f>MAX(-tbl_LTHM[[#This Row],[Move]],0)</f>
        <v>0.75</v>
      </c>
      <c r="P36" s="46">
        <f ca="1">IF(ROW($N36)-5&lt;RSI_Periods, "", AVERAGE(INDIRECT(ADDRESS(ROW($N36)-RSI_Periods +1, MATCH("Upmove", Price_Header,0))): INDIRECT(ADDRESS(ROW($N36),MATCH("Upmove", Price_Header,0)))))</f>
        <v>8.7857142857142759E-2</v>
      </c>
      <c r="Q36" s="46">
        <f ca="1">IF(ROW($O36)-5&lt;RSI_Periods, "", AVERAGE(INDIRECT(ADDRESS(ROW($O36)-RSI_Periods +1, MATCH("Downmove", Price_Header,0))): INDIRECT(ADDRESS(ROW($O36),MATCH("Downmove", Price_Header,0)))))</f>
        <v>0.20857142857142844</v>
      </c>
      <c r="R36" s="46">
        <f ca="1">IF(tbl_LTHM[[#This Row],[Avg_Upmove]]="", "", tbl_LTHM[[#This Row],[Avg_Upmove]]/tbl_LTHM[[#This Row],[Avg_Downmove]])</f>
        <v>0.42123287671232856</v>
      </c>
      <c r="S36" s="10">
        <f ca="1">IF(ROW($N36)-4&lt;BB_Periods, "", _xlfn.STDEV.S(INDIRECT(ADDRESS(ROW($F36)-RSI_Periods +1, MATCH("Adj Close", Price_Header,0))): INDIRECT(ADDRESS(ROW($F36),MATCH("Adj Close", Price_Header,0)))))</f>
        <v>0.43537529598226882</v>
      </c>
    </row>
    <row r="37" spans="1:19" x14ac:dyDescent="0.35">
      <c r="A37" s="8">
        <v>44098</v>
      </c>
      <c r="B37" s="10">
        <v>7.51</v>
      </c>
      <c r="C37" s="10">
        <v>7.82</v>
      </c>
      <c r="D37" s="10">
        <v>7.39</v>
      </c>
      <c r="E37" s="10">
        <v>7.7</v>
      </c>
      <c r="F37" s="10">
        <v>7.7</v>
      </c>
      <c r="G37">
        <v>1882400</v>
      </c>
      <c r="H37" s="10">
        <f>IF(tbl_LTHM[[#This Row],[Date]]=$A$5, $F37, EMA_Beta*$H36 + (1-EMA_Beta)*$F37)</f>
        <v>8.3846387982306982</v>
      </c>
      <c r="I37" s="46">
        <f ca="1">IF(tbl_LTHM[[#This Row],[RS]]= "", "", 100-(100/(1+tbl_LTHM[[#This Row],[RS]])))</f>
        <v>36.856368563685628</v>
      </c>
      <c r="J37" s="10">
        <f ca="1">IF(ROW($N37)-4&lt;BB_Periods, "", AVERAGE(INDIRECT(ADDRESS(ROW($F37)-RSI_Periods +1, MATCH("Adj Close", Price_Header,0))): INDIRECT(ADDRESS(ROW($F37),MATCH("Adj Close", Price_Header,0)))))</f>
        <v>8.5821428571428573</v>
      </c>
      <c r="K37" s="10">
        <f ca="1">IF(tbl_LTHM[[#This Row],[BB_Mean]]="", "", tbl_LTHM[[#This Row],[BB_Mean]]+(BB_Width*tbl_LTHM[[#This Row],[BB_Stdev]]))</f>
        <v>9.5900860353773503</v>
      </c>
      <c r="L37" s="10">
        <f ca="1">IF(tbl_LTHM[[#This Row],[BB_Mean]]="", "", tbl_LTHM[[#This Row],[BB_Mean]]-(BB_Width*tbl_LTHM[[#This Row],[BB_Stdev]]))</f>
        <v>7.5741996789083643</v>
      </c>
      <c r="M37" s="46">
        <f>IF(ROW(tbl_LTHM[[#This Row],[Adj Close]])=5, 0, $F37-$F36)</f>
        <v>0.12999999999999989</v>
      </c>
      <c r="N37" s="46">
        <f>MAX(tbl_LTHM[[#This Row],[Move]],0)</f>
        <v>0.12999999999999989</v>
      </c>
      <c r="O37" s="46">
        <f>MAX(-tbl_LTHM[[#This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9.7142857142857045E-2</v>
      </c>
      <c r="Q37" s="46">
        <f ca="1">IF(ROW($O37)-5&lt;RSI_Periods, "", AVERAGE(INDIRECT(ADDRESS(ROW($O37)-RSI_Periods +1, MATCH("Downmove", Price_Header,0))): INDIRECT(ADDRESS(ROW($O37),MATCH("Downmove", Price_Header,0)))))</f>
        <v>0.16642857142857131</v>
      </c>
      <c r="R37" s="46">
        <f ca="1">IF(tbl_LTHM[[#This Row],[Avg_Upmove]]="", "", tbl_LTHM[[#This Row],[Avg_Upmove]]/tbl_LTHM[[#This Row],[Avg_Downmove]])</f>
        <v>0.58369098712446332</v>
      </c>
      <c r="S37" s="10">
        <f ca="1">IF(ROW($N37)-4&lt;BB_Periods, "", _xlfn.STDEV.S(INDIRECT(ADDRESS(ROW($F37)-RSI_Periods +1, MATCH("Adj Close", Price_Header,0))): INDIRECT(ADDRESS(ROW($F37),MATCH("Adj Close", Price_Header,0)))))</f>
        <v>0.50397158911724627</v>
      </c>
    </row>
    <row r="38" spans="1:19" x14ac:dyDescent="0.35">
      <c r="A38" s="8">
        <v>44099</v>
      </c>
      <c r="B38" s="10">
        <v>7.55</v>
      </c>
      <c r="C38" s="10">
        <v>7.95</v>
      </c>
      <c r="D38" s="10">
        <v>7.53</v>
      </c>
      <c r="E38" s="10">
        <v>7.88</v>
      </c>
      <c r="F38" s="10">
        <v>7.88</v>
      </c>
      <c r="G38">
        <v>1294100</v>
      </c>
      <c r="H38" s="10">
        <f>IF(tbl_LTHM[[#This Row],[Date]]=$A$5, $F38, EMA_Beta*$H37 + (1-EMA_Beta)*$F38)</f>
        <v>8.3341749184076281</v>
      </c>
      <c r="I38" s="46">
        <f ca="1">IF(tbl_LTHM[[#This Row],[RS]]= "", "", 100-(100/(1+tbl_LTHM[[#This Row],[RS]])))</f>
        <v>39.999999999999986</v>
      </c>
      <c r="J38" s="10">
        <f ca="1">IF(ROW($N38)-4&lt;BB_Periods, "", AVERAGE(INDIRECT(ADDRESS(ROW($F38)-RSI_Periods +1, MATCH("Adj Close", Price_Header,0))): INDIRECT(ADDRESS(ROW($F38),MATCH("Adj Close", Price_Header,0)))))</f>
        <v>8.5271428571428558</v>
      </c>
      <c r="K38" s="10">
        <f ca="1">IF(tbl_LTHM[[#This Row],[BB_Mean]]="", "", tbl_LTHM[[#This Row],[BB_Mean]]+(BB_Width*tbl_LTHM[[#This Row],[BB_Stdev]]))</f>
        <v>9.6010123112179802</v>
      </c>
      <c r="L38" s="10">
        <f ca="1">IF(tbl_LTHM[[#This Row],[BB_Mean]]="", "", tbl_LTHM[[#This Row],[BB_Mean]]-(BB_Width*tbl_LTHM[[#This Row],[BB_Stdev]]))</f>
        <v>7.4532734030677323</v>
      </c>
      <c r="M38" s="46">
        <f>IF(ROW(tbl_LTHM[[#This Row],[Adj Close]])=5, 0, $F38-$F37)</f>
        <v>0.17999999999999972</v>
      </c>
      <c r="N38" s="46">
        <f>MAX(tbl_LTHM[[#This Row],[Move]],0)</f>
        <v>0.17999999999999972</v>
      </c>
      <c r="O38" s="46">
        <f>MAX(-tbl_LTHM[[#This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0.10999999999999988</v>
      </c>
      <c r="Q38" s="46">
        <f ca="1">IF(ROW($O38)-5&lt;RSI_Periods, "", AVERAGE(INDIRECT(ADDRESS(ROW($O38)-RSI_Periods +1, MATCH("Downmove", Price_Header,0))): INDIRECT(ADDRESS(ROW($O38),MATCH("Downmove", Price_Header,0)))))</f>
        <v>0.1649999999999999</v>
      </c>
      <c r="R38" s="46">
        <f ca="1">IF(tbl_LTHM[[#This Row],[Avg_Upmove]]="", "", tbl_LTHM[[#This Row],[Avg_Upmove]]/tbl_LTHM[[#This Row],[Avg_Downmove]])</f>
        <v>0.6666666666666663</v>
      </c>
      <c r="S38" s="10">
        <f ca="1">IF(ROW($N38)-4&lt;BB_Periods, "", _xlfn.STDEV.S(INDIRECT(ADDRESS(ROW($F38)-RSI_Periods +1, MATCH("Adj Close", Price_Header,0))): INDIRECT(ADDRESS(ROW($F38),MATCH("Adj Close", Price_Header,0)))))</f>
        <v>0.53693472703756184</v>
      </c>
    </row>
    <row r="39" spans="1:19" x14ac:dyDescent="0.35">
      <c r="A39" s="8">
        <v>44102</v>
      </c>
      <c r="B39" s="10">
        <v>8.3800000000000008</v>
      </c>
      <c r="C39" s="10">
        <v>8.75</v>
      </c>
      <c r="D39" s="10">
        <v>8.2200000000000006</v>
      </c>
      <c r="E39" s="10">
        <v>8.42</v>
      </c>
      <c r="F39" s="10">
        <v>8.42</v>
      </c>
      <c r="G39">
        <v>2809500</v>
      </c>
      <c r="H39" s="10">
        <f>IF(tbl_LTHM[[#This Row],[Date]]=$A$5, $F39, EMA_Beta*$H38 + (1-EMA_Beta)*$F39)</f>
        <v>8.342757426566866</v>
      </c>
      <c r="I39" s="46">
        <f ca="1">IF(tbl_LTHM[[#This Row],[RS]]= "", "", 100-(100/(1+tbl_LTHM[[#This Row],[RS]])))</f>
        <v>50.485436893203868</v>
      </c>
      <c r="J39" s="10">
        <f ca="1">IF(ROW($N39)-4&lt;BB_Periods, "", AVERAGE(INDIRECT(ADDRESS(ROW($F39)-RSI_Periods +1, MATCH("Adj Close", Price_Header,0))): INDIRECT(ADDRESS(ROW($F39),MATCH("Adj Close", Price_Header,0)))))</f>
        <v>8.5299999999999994</v>
      </c>
      <c r="K39" s="10">
        <f ca="1">IF(tbl_LTHM[[#This Row],[BB_Mean]]="", "", tbl_LTHM[[#This Row],[BB_Mean]]+(BB_Width*tbl_LTHM[[#This Row],[BB_Stdev]]))</f>
        <v>9.6023948756082191</v>
      </c>
      <c r="L39" s="10">
        <f ca="1">IF(tbl_LTHM[[#This Row],[BB_Mean]]="", "", tbl_LTHM[[#This Row],[BB_Mean]]-(BB_Width*tbl_LTHM[[#This Row],[BB_Stdev]]))</f>
        <v>7.4576051243917796</v>
      </c>
      <c r="M39" s="46">
        <f>IF(ROW(tbl_LTHM[[#This Row],[Adj Close]])=5, 0, $F39-$F38)</f>
        <v>0.54</v>
      </c>
      <c r="N39" s="46">
        <f>MAX(tbl_LTHM[[#This Row],[Move]],0)</f>
        <v>0.54</v>
      </c>
      <c r="O39" s="46">
        <f>MAX(-tbl_LTHM[[#This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0.14857142857142844</v>
      </c>
      <c r="Q39" s="46">
        <f ca="1">IF(ROW($O39)-5&lt;RSI_Periods, "", AVERAGE(INDIRECT(ADDRESS(ROW($O39)-RSI_Periods +1, MATCH("Downmove", Price_Header,0))): INDIRECT(ADDRESS(ROW($O39),MATCH("Downmove", Price_Header,0)))))</f>
        <v>0.14571428571428566</v>
      </c>
      <c r="R39" s="46">
        <f ca="1">IF(tbl_LTHM[[#This Row],[Avg_Upmove]]="", "", tbl_LTHM[[#This Row],[Avg_Upmove]]/tbl_LTHM[[#This Row],[Avg_Downmove]])</f>
        <v>1.0196078431372544</v>
      </c>
      <c r="S39" s="10">
        <f ca="1">IF(ROW($N39)-4&lt;BB_Periods, "", _xlfn.STDEV.S(INDIRECT(ADDRESS(ROW($F39)-RSI_Periods +1, MATCH("Adj Close", Price_Header,0))): INDIRECT(ADDRESS(ROW($F39),MATCH("Adj Close", Price_Header,0)))))</f>
        <v>0.53619743780410989</v>
      </c>
    </row>
    <row r="40" spans="1:19" x14ac:dyDescent="0.35">
      <c r="A40" s="8">
        <v>44103</v>
      </c>
      <c r="B40" s="10">
        <v>8.5</v>
      </c>
      <c r="C40" s="10">
        <v>9.18</v>
      </c>
      <c r="D40" s="10">
        <v>8.4</v>
      </c>
      <c r="E40" s="10">
        <v>9.09</v>
      </c>
      <c r="F40" s="10">
        <v>9.09</v>
      </c>
      <c r="G40">
        <v>3410300</v>
      </c>
      <c r="H40" s="10">
        <f>IF(tbl_LTHM[[#This Row],[Date]]=$A$5, $F40, EMA_Beta*$H39 + (1-EMA_Beta)*$F40)</f>
        <v>8.4174816839101787</v>
      </c>
      <c r="I40" s="46">
        <f ca="1">IF(tbl_LTHM[[#This Row],[RS]]= "", "", 100-(100/(1+tbl_LTHM[[#This Row],[RS]])))</f>
        <v>55.066079295154175</v>
      </c>
      <c r="J40" s="10">
        <f ca="1">IF(ROW($N40)-4&lt;BB_Periods, "", AVERAGE(INDIRECT(ADDRESS(ROW($F40)-RSI_Periods +1, MATCH("Adj Close", Price_Header,0))): INDIRECT(ADDRESS(ROW($F40),MATCH("Adj Close", Price_Header,0)))))</f>
        <v>8.5628571428571423</v>
      </c>
      <c r="K40" s="10">
        <f ca="1">IF(tbl_LTHM[[#This Row],[BB_Mean]]="", "", tbl_LTHM[[#This Row],[BB_Mean]]+(BB_Width*tbl_LTHM[[#This Row],[BB_Stdev]]))</f>
        <v>9.6758690944531729</v>
      </c>
      <c r="L40" s="10">
        <f ca="1">IF(tbl_LTHM[[#This Row],[BB_Mean]]="", "", tbl_LTHM[[#This Row],[BB_Mean]]-(BB_Width*tbl_LTHM[[#This Row],[BB_Stdev]]))</f>
        <v>7.4498451912611117</v>
      </c>
      <c r="M40" s="46">
        <f>IF(ROW(tbl_LTHM[[#This Row],[Adj Close]])=5, 0, $F40-$F39)</f>
        <v>0.66999999999999993</v>
      </c>
      <c r="N40" s="46">
        <f>MAX(tbl_LTHM[[#This Row],[Move]],0)</f>
        <v>0.66999999999999993</v>
      </c>
      <c r="O40" s="46">
        <f>MAX(-tbl_LTHM[[#This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0.17857142857142844</v>
      </c>
      <c r="Q40" s="46">
        <f ca="1">IF(ROW($O40)-5&lt;RSI_Periods, "", AVERAGE(INDIRECT(ADDRESS(ROW($O40)-RSI_Periods +1, MATCH("Downmove", Price_Header,0))): INDIRECT(ADDRESS(ROW($O40),MATCH("Downmove", Price_Header,0)))))</f>
        <v>0.14571428571428566</v>
      </c>
      <c r="R40" s="46">
        <f ca="1">IF(tbl_LTHM[[#This Row],[Avg_Upmove]]="", "", tbl_LTHM[[#This Row],[Avg_Upmove]]/tbl_LTHM[[#This Row],[Avg_Downmove]])</f>
        <v>1.225490196078431</v>
      </c>
      <c r="S40" s="10">
        <f ca="1">IF(ROW($N40)-4&lt;BB_Periods, "", _xlfn.STDEV.S(INDIRECT(ADDRESS(ROW($F40)-RSI_Periods +1, MATCH("Adj Close", Price_Header,0))): INDIRECT(ADDRESS(ROW($F40),MATCH("Adj Close", Price_Header,0)))))</f>
        <v>0.5565059757980152</v>
      </c>
    </row>
    <row r="41" spans="1:19" x14ac:dyDescent="0.35">
      <c r="A41" s="8">
        <v>44104</v>
      </c>
      <c r="B41" s="10">
        <v>9.0500000000000007</v>
      </c>
      <c r="C41" s="10">
        <v>9.4499999999999993</v>
      </c>
      <c r="D41" s="10">
        <v>8.94</v>
      </c>
      <c r="E41" s="10">
        <v>8.9700000000000006</v>
      </c>
      <c r="F41" s="10">
        <v>8.9700000000000006</v>
      </c>
      <c r="G41">
        <v>3846300</v>
      </c>
      <c r="H41" s="10">
        <f>IF(tbl_LTHM[[#This Row],[Date]]=$A$5, $F41, EMA_Beta*$H40 + (1-EMA_Beta)*$F41)</f>
        <v>8.4727335155191614</v>
      </c>
      <c r="I41" s="46">
        <f ca="1">IF(tbl_LTHM[[#This Row],[RS]]= "", "", 100-(100/(1+tbl_LTHM[[#This Row],[RS]])))</f>
        <v>55.679287305122493</v>
      </c>
      <c r="J41" s="10">
        <f ca="1">IF(ROW($N41)-4&lt;BB_Periods, "", AVERAGE(INDIRECT(ADDRESS(ROW($F41)-RSI_Periods +1, MATCH("Adj Close", Price_Header,0))): INDIRECT(ADDRESS(ROW($F41),MATCH("Adj Close", Price_Header,0)))))</f>
        <v>8.5992857142857151</v>
      </c>
      <c r="K41" s="10">
        <f ca="1">IF(tbl_LTHM[[#This Row],[BB_Mean]]="", "", tbl_LTHM[[#This Row],[BB_Mean]]+(BB_Width*tbl_LTHM[[#This Row],[BB_Stdev]]))</f>
        <v>9.7310226852416744</v>
      </c>
      <c r="L41" s="10">
        <f ca="1">IF(tbl_LTHM[[#This Row],[BB_Mean]]="", "", tbl_LTHM[[#This Row],[BB_Mean]]-(BB_Width*tbl_LTHM[[#This Row],[BB_Stdev]]))</f>
        <v>7.4675487433297549</v>
      </c>
      <c r="M41" s="46">
        <f>IF(ROW(tbl_LTHM[[#This Row],[Adj Close]])=5, 0, $F41-$F40)</f>
        <v>-0.11999999999999922</v>
      </c>
      <c r="N41" s="46">
        <f>MAX(tbl_LTHM[[#This Row],[Move]],0)</f>
        <v>0</v>
      </c>
      <c r="O41" s="46">
        <f>MAX(-tbl_LTHM[[#This Row],[Move]],0)</f>
        <v>0.11999999999999922</v>
      </c>
      <c r="P41" s="46">
        <f ca="1">IF(ROW($N41)-5&lt;RSI_Periods, "", AVERAGE(INDIRECT(ADDRESS(ROW($N41)-RSI_Periods +1, MATCH("Upmove", Price_Header,0))): INDIRECT(ADDRESS(ROW($N41),MATCH("Upmove", Price_Header,0)))))</f>
        <v>0.17857142857142844</v>
      </c>
      <c r="Q41" s="46">
        <f ca="1">IF(ROW($O41)-5&lt;RSI_Periods, "", AVERAGE(INDIRECT(ADDRESS(ROW($O41)-RSI_Periods +1, MATCH("Downmove", Price_Header,0))): INDIRECT(ADDRESS(ROW($O41),MATCH("Downmove", Price_Header,0)))))</f>
        <v>0.14214285714285704</v>
      </c>
      <c r="R41" s="46">
        <f ca="1">IF(tbl_LTHM[[#This Row],[Avg_Upmove]]="", "", tbl_LTHM[[#This Row],[Avg_Upmove]]/tbl_LTHM[[#This Row],[Avg_Downmove]])</f>
        <v>1.2562814070351758</v>
      </c>
      <c r="S41" s="10">
        <f ca="1">IF(ROW($N41)-4&lt;BB_Periods, "", _xlfn.STDEV.S(INDIRECT(ADDRESS(ROW($F41)-RSI_Periods +1, MATCH("Adj Close", Price_Header,0))): INDIRECT(ADDRESS(ROW($F41),MATCH("Adj Close", Price_Header,0)))))</f>
        <v>0.56586848547797997</v>
      </c>
    </row>
    <row r="42" spans="1:19" x14ac:dyDescent="0.35">
      <c r="A42" s="8">
        <v>44105</v>
      </c>
      <c r="B42" s="10">
        <v>9.25</v>
      </c>
      <c r="C42" s="10">
        <v>9.39</v>
      </c>
      <c r="D42" s="10">
        <v>8.94</v>
      </c>
      <c r="E42" s="10">
        <v>9.0299999999999994</v>
      </c>
      <c r="F42" s="10">
        <v>9.0299999999999994</v>
      </c>
      <c r="G42">
        <v>2656200</v>
      </c>
      <c r="H42" s="10">
        <f>IF(tbl_LTHM[[#This Row],[Date]]=$A$5, $F42, EMA_Beta*$H41 + (1-EMA_Beta)*$F42)</f>
        <v>8.5284601639672459</v>
      </c>
      <c r="I42" s="46">
        <f ca="1">IF(tbl_LTHM[[#This Row],[RS]]= "", "", 100-(100/(1+tbl_LTHM[[#This Row],[RS]])))</f>
        <v>53.935185185185183</v>
      </c>
      <c r="J42" s="10">
        <f ca="1">IF(ROW($N42)-4&lt;BB_Periods, "", AVERAGE(INDIRECT(ADDRESS(ROW($F42)-RSI_Periods +1, MATCH("Adj Close", Price_Header,0))): INDIRECT(ADDRESS(ROW($F42),MATCH("Adj Close", Price_Header,0)))))</f>
        <v>8.6235714285714291</v>
      </c>
      <c r="K42" s="10">
        <f ca="1">IF(tbl_LTHM[[#This Row],[BB_Mean]]="", "", tbl_LTHM[[#This Row],[BB_Mean]]+(BB_Width*tbl_LTHM[[#This Row],[BB_Stdev]]))</f>
        <v>9.7780571853641938</v>
      </c>
      <c r="L42" s="10">
        <f ca="1">IF(tbl_LTHM[[#This Row],[BB_Mean]]="", "", tbl_LTHM[[#This Row],[BB_Mean]]-(BB_Width*tbl_LTHM[[#This Row],[BB_Stdev]]))</f>
        <v>7.4690856717786644</v>
      </c>
      <c r="M42" s="46">
        <f>IF(ROW(tbl_LTHM[[#This Row],[Adj Close]])=5, 0, $F42-$F41)</f>
        <v>5.9999999999998721E-2</v>
      </c>
      <c r="N42" s="46">
        <f>MAX(tbl_LTHM[[#This Row],[Move]],0)</f>
        <v>5.9999999999998721E-2</v>
      </c>
      <c r="O42" s="46">
        <f>MAX(-tbl_LTHM[[#This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0.16642857142857131</v>
      </c>
      <c r="Q42" s="46">
        <f ca="1">IF(ROW($O42)-5&lt;RSI_Periods, "", AVERAGE(INDIRECT(ADDRESS(ROW($O42)-RSI_Periods +1, MATCH("Downmove", Price_Header,0))): INDIRECT(ADDRESS(ROW($O42),MATCH("Downmove", Price_Header,0)))))</f>
        <v>0.14214285714285704</v>
      </c>
      <c r="R42" s="46">
        <f ca="1">IF(tbl_LTHM[[#This Row],[Avg_Upmove]]="", "", tbl_LTHM[[#This Row],[Avg_Upmove]]/tbl_LTHM[[#This Row],[Avg_Downmove]])</f>
        <v>1.170854271356784</v>
      </c>
      <c r="S42" s="10">
        <f ca="1">IF(ROW($N42)-4&lt;BB_Periods, "", _xlfn.STDEV.S(INDIRECT(ADDRESS(ROW($F42)-RSI_Periods +1, MATCH("Adj Close", Price_Header,0))): INDIRECT(ADDRESS(ROW($F42),MATCH("Adj Close", Price_Header,0)))))</f>
        <v>0.57724287839638222</v>
      </c>
    </row>
    <row r="43" spans="1:19" x14ac:dyDescent="0.35">
      <c r="A43" s="8">
        <v>44106</v>
      </c>
      <c r="B43" s="10">
        <v>8.6199999999999992</v>
      </c>
      <c r="C43" s="10">
        <v>9.75</v>
      </c>
      <c r="D43" s="10">
        <v>8.52</v>
      </c>
      <c r="E43" s="10">
        <v>9.56</v>
      </c>
      <c r="F43" s="10">
        <v>9.56</v>
      </c>
      <c r="G43">
        <v>4410300</v>
      </c>
      <c r="H43" s="10">
        <f>IF(tbl_LTHM[[#This Row],[Date]]=$A$5, $F43, EMA_Beta*$H42 + (1-EMA_Beta)*$F43)</f>
        <v>8.6316141475705219</v>
      </c>
      <c r="I43" s="46">
        <f ca="1">IF(tbl_LTHM[[#This Row],[RS]]= "", "", 100-(100/(1+tbl_LTHM[[#This Row],[RS]])))</f>
        <v>56.26373626373627</v>
      </c>
      <c r="J43" s="10">
        <f ca="1">IF(ROW($N43)-4&lt;BB_Periods, "", AVERAGE(INDIRECT(ADDRESS(ROW($F43)-RSI_Periods +1, MATCH("Adj Close", Price_Header,0))): INDIRECT(ADDRESS(ROW($F43),MATCH("Adj Close", Price_Header,0)))))</f>
        <v>8.6642857142857146</v>
      </c>
      <c r="K43" s="10">
        <f ca="1">IF(tbl_LTHM[[#This Row],[BB_Mean]]="", "", tbl_LTHM[[#This Row],[BB_Mean]]+(BB_Width*tbl_LTHM[[#This Row],[BB_Stdev]]))</f>
        <v>9.9109604121110149</v>
      </c>
      <c r="L43" s="10">
        <f ca="1">IF(tbl_LTHM[[#This Row],[BB_Mean]]="", "", tbl_LTHM[[#This Row],[BB_Mean]]-(BB_Width*tbl_LTHM[[#This Row],[BB_Stdev]]))</f>
        <v>7.4176110164604152</v>
      </c>
      <c r="M43" s="46">
        <f>IF(ROW(tbl_LTHM[[#This Row],[Adj Close]])=5, 0, $F43-$F42)</f>
        <v>0.53000000000000114</v>
      </c>
      <c r="N43" s="46">
        <f>MAX(tbl_LTHM[[#This Row],[Move]],0)</f>
        <v>0.53000000000000114</v>
      </c>
      <c r="O43" s="46">
        <f>MAX(-tbl_LTHM[[#This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0.18285714285714277</v>
      </c>
      <c r="Q43" s="46">
        <f ca="1">IF(ROW($O43)-5&lt;RSI_Periods, "", AVERAGE(INDIRECT(ADDRESS(ROW($O43)-RSI_Periods +1, MATCH("Downmove", Price_Header,0))): INDIRECT(ADDRESS(ROW($O43),MATCH("Downmove", Price_Header,0)))))</f>
        <v>0.14214285714285704</v>
      </c>
      <c r="R43" s="46">
        <f ca="1">IF(tbl_LTHM[[#This Row],[Avg_Upmove]]="", "", tbl_LTHM[[#This Row],[Avg_Upmove]]/tbl_LTHM[[#This Row],[Avg_Downmove]])</f>
        <v>1.2864321608040203</v>
      </c>
      <c r="S43" s="10">
        <f ca="1">IF(ROW($N43)-4&lt;BB_Periods, "", _xlfn.STDEV.S(INDIRECT(ADDRESS(ROW($F43)-RSI_Periods +1, MATCH("Adj Close", Price_Header,0))): INDIRECT(ADDRESS(ROW($F43),MATCH("Adj Close", Price_Header,0)))))</f>
        <v>0.6233373489126498</v>
      </c>
    </row>
    <row r="44" spans="1:19" x14ac:dyDescent="0.35">
      <c r="A44" s="8">
        <v>44109</v>
      </c>
      <c r="B44" s="10">
        <v>10.41</v>
      </c>
      <c r="C44" s="10">
        <v>11.35</v>
      </c>
      <c r="D44" s="10">
        <v>10.37</v>
      </c>
      <c r="E44" s="10">
        <v>11.29</v>
      </c>
      <c r="F44" s="10">
        <v>11.29</v>
      </c>
      <c r="G44">
        <v>14363200</v>
      </c>
      <c r="H44" s="10">
        <f>IF(tbl_LTHM[[#This Row],[Date]]=$A$5, $F44, EMA_Beta*$H43 + (1-EMA_Beta)*$F44)</f>
        <v>8.8974527328134698</v>
      </c>
      <c r="I44" s="46">
        <f ca="1">IF(tbl_LTHM[[#This Row],[RS]]= "", "", 100-(100/(1+tbl_LTHM[[#This Row],[RS]])))</f>
        <v>66.328257191201359</v>
      </c>
      <c r="J44" s="10">
        <f ca="1">IF(ROW($N44)-4&lt;BB_Periods, "", AVERAGE(INDIRECT(ADDRESS(ROW($F44)-RSI_Periods +1, MATCH("Adj Close", Price_Header,0))): INDIRECT(ADDRESS(ROW($F44),MATCH("Adj Close", Price_Header,0)))))</f>
        <v>8.8021428571428579</v>
      </c>
      <c r="K44" s="10">
        <f ca="1">IF(tbl_LTHM[[#This Row],[BB_Mean]]="", "", tbl_LTHM[[#This Row],[BB_Mean]]+(BB_Width*tbl_LTHM[[#This Row],[BB_Stdev]]))</f>
        <v>10.658146480670935</v>
      </c>
      <c r="L44" s="10">
        <f ca="1">IF(tbl_LTHM[[#This Row],[BB_Mean]]="", "", tbl_LTHM[[#This Row],[BB_Mean]]-(BB_Width*tbl_LTHM[[#This Row],[BB_Stdev]]))</f>
        <v>6.9461392336147805</v>
      </c>
      <c r="M44" s="46">
        <f>IF(ROW(tbl_LTHM[[#This Row],[Adj Close]])=5, 0, $F44-$F43)</f>
        <v>1.7299999999999986</v>
      </c>
      <c r="N44" s="46">
        <f>MAX(tbl_LTHM[[#This Row],[Move]],0)</f>
        <v>1.7299999999999986</v>
      </c>
      <c r="O44" s="46">
        <f>MAX(-tbl_LTHM[[#This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0.27999999999999986</v>
      </c>
      <c r="Q44" s="46">
        <f ca="1">IF(ROW($O44)-5&lt;RSI_Periods, "", AVERAGE(INDIRECT(ADDRESS(ROW($O44)-RSI_Periods +1, MATCH("Downmove", Price_Header,0))): INDIRECT(ADDRESS(ROW($O44),MATCH("Downmove", Price_Header,0)))))</f>
        <v>0.14214285714285704</v>
      </c>
      <c r="R44" s="46">
        <f ca="1">IF(tbl_LTHM[[#This Row],[Avg_Upmove]]="", "", tbl_LTHM[[#This Row],[Avg_Upmove]]/tbl_LTHM[[#This Row],[Avg_Downmove]])</f>
        <v>1.9698492462311561</v>
      </c>
      <c r="S44" s="10">
        <f ca="1">IF(ROW($N44)-4&lt;BB_Periods, "", _xlfn.STDEV.S(INDIRECT(ADDRESS(ROW($F44)-RSI_Periods +1, MATCH("Adj Close", Price_Header,0))): INDIRECT(ADDRESS(ROW($F44),MATCH("Adj Close", Price_Header,0)))))</f>
        <v>0.92800181176403862</v>
      </c>
    </row>
    <row r="45" spans="1:19" x14ac:dyDescent="0.35">
      <c r="A45" s="8">
        <v>44110</v>
      </c>
      <c r="B45" s="10">
        <v>12.03</v>
      </c>
      <c r="C45" s="10">
        <v>12.18</v>
      </c>
      <c r="D45" s="10">
        <v>11.06</v>
      </c>
      <c r="E45" s="10">
        <v>11.42</v>
      </c>
      <c r="F45" s="10">
        <v>11.42</v>
      </c>
      <c r="G45">
        <v>19792600</v>
      </c>
      <c r="H45" s="10">
        <f>IF(tbl_LTHM[[#This Row],[Date]]=$A$5, $F45, EMA_Beta*$H44 + (1-EMA_Beta)*$F45)</f>
        <v>9.1497074595321219</v>
      </c>
      <c r="I45" s="46">
        <f ca="1">IF(tbl_LTHM[[#This Row],[RS]]= "", "", 100-(100/(1+tbl_LTHM[[#This Row],[RS]])))</f>
        <v>71.302816901408448</v>
      </c>
      <c r="J45" s="10">
        <f ca="1">IF(ROW($N45)-4&lt;BB_Periods, "", AVERAGE(INDIRECT(ADDRESS(ROW($F45)-RSI_Periods +1, MATCH("Adj Close", Price_Header,0))): INDIRECT(ADDRESS(ROW($F45),MATCH("Adj Close", Price_Header,0)))))</f>
        <v>8.9750000000000014</v>
      </c>
      <c r="K45" s="10">
        <f ca="1">IF(tbl_LTHM[[#This Row],[BB_Mean]]="", "", tbl_LTHM[[#This Row],[BB_Mean]]+(BB_Width*tbl_LTHM[[#This Row],[BB_Stdev]]))</f>
        <v>11.301512741951237</v>
      </c>
      <c r="L45" s="10">
        <f ca="1">IF(tbl_LTHM[[#This Row],[BB_Mean]]="", "", tbl_LTHM[[#This Row],[BB_Mean]]-(BB_Width*tbl_LTHM[[#This Row],[BB_Stdev]]))</f>
        <v>6.6484872580487657</v>
      </c>
      <c r="M45" s="46">
        <f>IF(ROW(tbl_LTHM[[#This Row],[Adj Close]])=5, 0, $F45-$F44)</f>
        <v>0.13000000000000078</v>
      </c>
      <c r="N45" s="46">
        <f>MAX(tbl_LTHM[[#This Row],[Move]],0)</f>
        <v>0.13000000000000078</v>
      </c>
      <c r="O45" s="46">
        <f>MAX(-tbl_LTHM[[#This Row],[Move]],0)</f>
        <v>0</v>
      </c>
      <c r="P45" s="46">
        <f ca="1">IF(ROW($N45)-5&lt;RSI_Periods, "", AVERAGE(INDIRECT(ADDRESS(ROW($N45)-RSI_Periods +1, MATCH("Upmove", Price_Header,0))): INDIRECT(ADDRESS(ROW($N45),MATCH("Upmove", Price_Header,0)))))</f>
        <v>0.2892857142857142</v>
      </c>
      <c r="Q45" s="46">
        <f ca="1">IF(ROW($O45)-5&lt;RSI_Periods, "", AVERAGE(INDIRECT(ADDRESS(ROW($O45)-RSI_Periods +1, MATCH("Downmove", Price_Header,0))): INDIRECT(ADDRESS(ROW($O45),MATCH("Downmove", Price_Header,0)))))</f>
        <v>0.11642857142857135</v>
      </c>
      <c r="R45" s="46">
        <f ca="1">IF(tbl_LTHM[[#This Row],[Avg_Upmove]]="", "", tbl_LTHM[[#This Row],[Avg_Upmove]]/tbl_LTHM[[#This Row],[Avg_Downmove]])</f>
        <v>2.4846625766871173</v>
      </c>
      <c r="S45" s="10">
        <f ca="1">IF(ROW($N45)-4&lt;BB_Periods, "", _xlfn.STDEV.S(INDIRECT(ADDRESS(ROW($F45)-RSI_Periods +1, MATCH("Adj Close", Price_Header,0))): INDIRECT(ADDRESS(ROW($F45),MATCH("Adj Close", Price_Header,0)))))</f>
        <v>1.1632563709756181</v>
      </c>
    </row>
    <row r="46" spans="1:19" x14ac:dyDescent="0.35">
      <c r="A46" s="8">
        <v>44111</v>
      </c>
      <c r="B46" s="10">
        <v>11.68</v>
      </c>
      <c r="C46" s="10">
        <v>12.22</v>
      </c>
      <c r="D46" s="10">
        <v>11.25</v>
      </c>
      <c r="E46" s="10">
        <v>11.97</v>
      </c>
      <c r="F46" s="10">
        <v>11.97</v>
      </c>
      <c r="G46">
        <v>8866700</v>
      </c>
      <c r="H46" s="10">
        <f>IF(tbl_LTHM[[#This Row],[Date]]=$A$5, $F46, EMA_Beta*$H45 + (1-EMA_Beta)*$F46)</f>
        <v>9.4317367135789087</v>
      </c>
      <c r="I46" s="46">
        <f ca="1">IF(tbl_LTHM[[#This Row],[RS]]= "", "", 100-(100/(1+tbl_LTHM[[#This Row],[RS]])))</f>
        <v>74.193548387096783</v>
      </c>
      <c r="J46" s="10">
        <f ca="1">IF(ROW($N46)-4&lt;BB_Periods, "", AVERAGE(INDIRECT(ADDRESS(ROW($F46)-RSI_Periods +1, MATCH("Adj Close", Price_Header,0))): INDIRECT(ADDRESS(ROW($F46),MATCH("Adj Close", Price_Header,0)))))</f>
        <v>9.1892857142857167</v>
      </c>
      <c r="K46" s="10">
        <f ca="1">IF(tbl_LTHM[[#This Row],[BB_Mean]]="", "", tbl_LTHM[[#This Row],[BB_Mean]]+(BB_Width*tbl_LTHM[[#This Row],[BB_Stdev]]))</f>
        <v>12.013265059227745</v>
      </c>
      <c r="L46" s="10">
        <f ca="1">IF(tbl_LTHM[[#This Row],[BB_Mean]]="", "", tbl_LTHM[[#This Row],[BB_Mean]]-(BB_Width*tbl_LTHM[[#This Row],[BB_Stdev]]))</f>
        <v>6.3653063693436884</v>
      </c>
      <c r="M46" s="46">
        <f>IF(ROW(tbl_LTHM[[#This Row],[Adj Close]])=5, 0, $F46-$F45)</f>
        <v>0.55000000000000071</v>
      </c>
      <c r="N46" s="46">
        <f>MAX(tbl_LTHM[[#This Row],[Move]],0)</f>
        <v>0.55000000000000071</v>
      </c>
      <c r="O46" s="46">
        <f>MAX(-tbl_LTHM[[#This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0.32857142857142857</v>
      </c>
      <c r="Q46" s="46">
        <f ca="1">IF(ROW($O46)-5&lt;RSI_Periods, "", AVERAGE(INDIRECT(ADDRESS(ROW($O46)-RSI_Periods +1, MATCH("Downmove", Price_Header,0))): INDIRECT(ADDRESS(ROW($O46),MATCH("Downmove", Price_Header,0)))))</f>
        <v>0.11428571428571425</v>
      </c>
      <c r="R46" s="46">
        <f ca="1">IF(tbl_LTHM[[#This Row],[Avg_Upmove]]="", "", tbl_LTHM[[#This Row],[Avg_Upmove]]/tbl_LTHM[[#This Row],[Avg_Downmove]])</f>
        <v>2.8750000000000009</v>
      </c>
      <c r="S46" s="10">
        <f ca="1">IF(ROW($N46)-4&lt;BB_Periods, "", _xlfn.STDEV.S(INDIRECT(ADDRESS(ROW($F46)-RSI_Periods +1, MATCH("Adj Close", Price_Header,0))): INDIRECT(ADDRESS(ROW($F46),MATCH("Adj Close", Price_Header,0)))))</f>
        <v>1.4119896724710144</v>
      </c>
    </row>
    <row r="47" spans="1:19" x14ac:dyDescent="0.35">
      <c r="A47" s="8">
        <v>44112</v>
      </c>
      <c r="B47" s="10">
        <v>12.29</v>
      </c>
      <c r="C47" s="10">
        <v>12.53</v>
      </c>
      <c r="D47" s="10">
        <v>11.43</v>
      </c>
      <c r="E47" s="10">
        <v>11.72</v>
      </c>
      <c r="F47" s="10">
        <v>11.72</v>
      </c>
      <c r="G47">
        <v>9164500</v>
      </c>
      <c r="H47" s="10">
        <f>IF(tbl_LTHM[[#This Row],[Date]]=$A$5, $F47, EMA_Beta*$H46 + (1-EMA_Beta)*$F47)</f>
        <v>9.6605630422210176</v>
      </c>
      <c r="I47" s="46">
        <f ca="1">IF(tbl_LTHM[[#This Row],[RS]]= "", "", 100-(100/(1+tbl_LTHM[[#This Row],[RS]])))</f>
        <v>70.957613814756684</v>
      </c>
      <c r="J47" s="10">
        <f ca="1">IF(ROW($N47)-4&lt;BB_Periods, "", AVERAGE(INDIRECT(ADDRESS(ROW($F47)-RSI_Periods +1, MATCH("Adj Close", Price_Header,0))): INDIRECT(ADDRESS(ROW($F47),MATCH("Adj Close", Price_Header,0)))))</f>
        <v>9.3800000000000008</v>
      </c>
      <c r="K47" s="10">
        <f ca="1">IF(tbl_LTHM[[#This Row],[BB_Mean]]="", "", tbl_LTHM[[#This Row],[BB_Mean]]+(BB_Width*tbl_LTHM[[#This Row],[BB_Stdev]]))</f>
        <v>12.507751711570254</v>
      </c>
      <c r="L47" s="10">
        <f ca="1">IF(tbl_LTHM[[#This Row],[BB_Mean]]="", "", tbl_LTHM[[#This Row],[BB_Mean]]-(BB_Width*tbl_LTHM[[#This Row],[BB_Stdev]]))</f>
        <v>6.2522482884297483</v>
      </c>
      <c r="M47" s="46">
        <f>IF(ROW(tbl_LTHM[[#This Row],[Adj Close]])=5, 0, $F47-$F46)</f>
        <v>-0.25</v>
      </c>
      <c r="N47" s="46">
        <f>MAX(tbl_LTHM[[#This Row],[Move]],0)</f>
        <v>0</v>
      </c>
      <c r="O47" s="46">
        <f>MAX(-tbl_LTHM[[#This Row],[Move]],0)</f>
        <v>0.25</v>
      </c>
      <c r="P47" s="46">
        <f ca="1">IF(ROW($N47)-5&lt;RSI_Periods, "", AVERAGE(INDIRECT(ADDRESS(ROW($N47)-RSI_Periods +1, MATCH("Upmove", Price_Header,0))): INDIRECT(ADDRESS(ROW($N47),MATCH("Upmove", Price_Header,0)))))</f>
        <v>0.32285714285714284</v>
      </c>
      <c r="Q47" s="46">
        <f ca="1">IF(ROW($O47)-5&lt;RSI_Periods, "", AVERAGE(INDIRECT(ADDRESS(ROW($O47)-RSI_Periods +1, MATCH("Downmove", Price_Header,0))): INDIRECT(ADDRESS(ROW($O47),MATCH("Downmove", Price_Header,0)))))</f>
        <v>0.13214285714285712</v>
      </c>
      <c r="R47" s="46">
        <f ca="1">IF(tbl_LTHM[[#This Row],[Avg_Upmove]]="", "", tbl_LTHM[[#This Row],[Avg_Upmove]]/tbl_LTHM[[#This Row],[Avg_Downmove]])</f>
        <v>2.4432432432432436</v>
      </c>
      <c r="S47" s="10">
        <f ca="1">IF(ROW($N47)-4&lt;BB_Periods, "", _xlfn.STDEV.S(INDIRECT(ADDRESS(ROW($F47)-RSI_Periods +1, MATCH("Adj Close", Price_Header,0))): INDIRECT(ADDRESS(ROW($F47),MATCH("Adj Close", Price_Header,0)))))</f>
        <v>1.5638758557851262</v>
      </c>
    </row>
    <row r="48" spans="1:19" x14ac:dyDescent="0.35">
      <c r="A48" s="8">
        <v>44113</v>
      </c>
      <c r="B48" s="10">
        <v>11.74</v>
      </c>
      <c r="C48" s="10">
        <v>12</v>
      </c>
      <c r="D48" s="10">
        <v>11.05</v>
      </c>
      <c r="E48" s="10">
        <v>11.43</v>
      </c>
      <c r="F48" s="10">
        <v>11.43</v>
      </c>
      <c r="G48">
        <v>3970500</v>
      </c>
      <c r="H48" s="10">
        <f>IF(tbl_LTHM[[#This Row],[Date]]=$A$5, $F48, EMA_Beta*$H47 + (1-EMA_Beta)*$F48)</f>
        <v>9.8375067379989147</v>
      </c>
      <c r="I48" s="46">
        <f ca="1">IF(tbl_LTHM[[#This Row],[RS]]= "", "", 100-(100/(1+tbl_LTHM[[#This Row],[RS]])))</f>
        <v>75.459098497495816</v>
      </c>
      <c r="J48" s="10">
        <f ca="1">IF(ROW($N48)-4&lt;BB_Periods, "", AVERAGE(INDIRECT(ADDRESS(ROW($F48)-RSI_Periods +1, MATCH("Adj Close", Price_Header,0))): INDIRECT(ADDRESS(ROW($F48),MATCH("Adj Close", Price_Header,0)))))</f>
        <v>9.5978571428571424</v>
      </c>
      <c r="K48" s="10">
        <f ca="1">IF(tbl_LTHM[[#This Row],[BB_Mean]]="", "", tbl_LTHM[[#This Row],[BB_Mean]]+(BB_Width*tbl_LTHM[[#This Row],[BB_Stdev]]))</f>
        <v>12.848051727057419</v>
      </c>
      <c r="L48" s="10">
        <f ca="1">IF(tbl_LTHM[[#This Row],[BB_Mean]]="", "", tbl_LTHM[[#This Row],[BB_Mean]]-(BB_Width*tbl_LTHM[[#This Row],[BB_Stdev]]))</f>
        <v>6.3476625586568662</v>
      </c>
      <c r="M48" s="46">
        <f>IF(ROW(tbl_LTHM[[#This Row],[Adj Close]])=5, 0, $F48-$F47)</f>
        <v>-0.29000000000000092</v>
      </c>
      <c r="N48" s="46">
        <f>MAX(tbl_LTHM[[#This Row],[Move]],0)</f>
        <v>0</v>
      </c>
      <c r="O48" s="46">
        <f>MAX(-tbl_LTHM[[#This Row],[Move]],0)</f>
        <v>0.29000000000000092</v>
      </c>
      <c r="P48" s="46">
        <f ca="1">IF(ROW($N48)-5&lt;RSI_Periods, "", AVERAGE(INDIRECT(ADDRESS(ROW($N48)-RSI_Periods +1, MATCH("Upmove", Price_Header,0))): INDIRECT(ADDRESS(ROW($N48),MATCH("Upmove", Price_Header,0)))))</f>
        <v>0.32285714285714284</v>
      </c>
      <c r="Q48" s="46">
        <f ca="1">IF(ROW($O48)-5&lt;RSI_Periods, "", AVERAGE(INDIRECT(ADDRESS(ROW($O48)-RSI_Periods +1, MATCH("Downmove", Price_Header,0))): INDIRECT(ADDRESS(ROW($O48),MATCH("Downmove", Price_Header,0)))))</f>
        <v>0.10500000000000005</v>
      </c>
      <c r="R48" s="46">
        <f ca="1">IF(tbl_LTHM[[#This Row],[Avg_Upmove]]="", "", tbl_LTHM[[#This Row],[Avg_Upmove]]/tbl_LTHM[[#This Row],[Avg_Downmove]])</f>
        <v>3.0748299319727876</v>
      </c>
      <c r="S48" s="10">
        <f ca="1">IF(ROW($N48)-4&lt;BB_Periods, "", _xlfn.STDEV.S(INDIRECT(ADDRESS(ROW($F48)-RSI_Periods +1, MATCH("Adj Close", Price_Header,0))): INDIRECT(ADDRESS(ROW($F48),MATCH("Adj Close", Price_Header,0)))))</f>
        <v>1.6250972921001381</v>
      </c>
    </row>
    <row r="49" spans="1:19" x14ac:dyDescent="0.35">
      <c r="A49" s="8">
        <v>44116</v>
      </c>
      <c r="B49" s="10">
        <v>11.46</v>
      </c>
      <c r="C49" s="10">
        <v>11.55</v>
      </c>
      <c r="D49" s="10">
        <v>10.8</v>
      </c>
      <c r="E49" s="10">
        <v>11.07</v>
      </c>
      <c r="F49" s="10">
        <v>11.07</v>
      </c>
      <c r="G49">
        <v>5892400</v>
      </c>
      <c r="H49" s="10">
        <f>IF(tbl_LTHM[[#This Row],[Date]]=$A$5, $F49, EMA_Beta*$H48 + (1-EMA_Beta)*$F49)</f>
        <v>9.9607560641990229</v>
      </c>
      <c r="I49" s="46">
        <f ca="1">IF(tbl_LTHM[[#This Row],[RS]]= "", "", 100-(100/(1+tbl_LTHM[[#This Row],[RS]])))</f>
        <v>71.860095389507165</v>
      </c>
      <c r="J49" s="10">
        <f ca="1">IF(ROW($N49)-4&lt;BB_Periods, "", AVERAGE(INDIRECT(ADDRESS(ROW($F49)-RSI_Periods +1, MATCH("Adj Close", Price_Header,0))): INDIRECT(ADDRESS(ROW($F49),MATCH("Adj Close", Price_Header,0)))))</f>
        <v>9.7942857142857118</v>
      </c>
      <c r="K49" s="10">
        <f ca="1">IF(tbl_LTHM[[#This Row],[BB_Mean]]="", "", tbl_LTHM[[#This Row],[BB_Mean]]+(BB_Width*tbl_LTHM[[#This Row],[BB_Stdev]]))</f>
        <v>13.044201351398755</v>
      </c>
      <c r="L49" s="10">
        <f ca="1">IF(tbl_LTHM[[#This Row],[BB_Mean]]="", "", tbl_LTHM[[#This Row],[BB_Mean]]-(BB_Width*tbl_LTHM[[#This Row],[BB_Stdev]]))</f>
        <v>6.5443700771726698</v>
      </c>
      <c r="M49" s="46">
        <f>IF(ROW(tbl_LTHM[[#This Row],[Adj Close]])=5, 0, $F49-$F48)</f>
        <v>-0.35999999999999943</v>
      </c>
      <c r="N49" s="46">
        <f>MAX(tbl_LTHM[[#This Row],[Move]],0)</f>
        <v>0</v>
      </c>
      <c r="O49" s="46">
        <f>MAX(-tbl_LTHM[[#This Row],[Move]],0)</f>
        <v>0.35999999999999943</v>
      </c>
      <c r="P49" s="46">
        <f ca="1">IF(ROW($N49)-5&lt;RSI_Periods, "", AVERAGE(INDIRECT(ADDRESS(ROW($N49)-RSI_Periods +1, MATCH("Upmove", Price_Header,0))): INDIRECT(ADDRESS(ROW($N49),MATCH("Upmove", Price_Header,0)))))</f>
        <v>0.32285714285714284</v>
      </c>
      <c r="Q49" s="46">
        <f ca="1">IF(ROW($O49)-5&lt;RSI_Periods, "", AVERAGE(INDIRECT(ADDRESS(ROW($O49)-RSI_Periods +1, MATCH("Downmove", Price_Header,0))): INDIRECT(ADDRESS(ROW($O49),MATCH("Downmove", Price_Header,0)))))</f>
        <v>0.12642857142857139</v>
      </c>
      <c r="R49" s="46">
        <f ca="1">IF(tbl_LTHM[[#This Row],[Avg_Upmove]]="", "", tbl_LTHM[[#This Row],[Avg_Upmove]]/tbl_LTHM[[#This Row],[Avg_Downmove]])</f>
        <v>2.5536723163841812</v>
      </c>
      <c r="S49" s="10">
        <f ca="1">IF(ROW($N49)-4&lt;BB_Periods, "", _xlfn.STDEV.S(INDIRECT(ADDRESS(ROW($F49)-RSI_Periods +1, MATCH("Adj Close", Price_Header,0))): INDIRECT(ADDRESS(ROW($F49),MATCH("Adj Close", Price_Header,0)))))</f>
        <v>1.624957818556521</v>
      </c>
    </row>
    <row r="50" spans="1:19" x14ac:dyDescent="0.35">
      <c r="A50" s="8">
        <v>44117</v>
      </c>
      <c r="B50" s="10">
        <v>10.92</v>
      </c>
      <c r="C50" s="10">
        <v>11.12</v>
      </c>
      <c r="D50" s="10">
        <v>10.59</v>
      </c>
      <c r="E50" s="10">
        <v>11.01</v>
      </c>
      <c r="F50" s="10">
        <v>11.01</v>
      </c>
      <c r="G50">
        <v>3014900</v>
      </c>
      <c r="H50" s="10">
        <f>IF(tbl_LTHM[[#This Row],[Date]]=$A$5, $F50, EMA_Beta*$H49 + (1-EMA_Beta)*$F50)</f>
        <v>10.06568045777912</v>
      </c>
      <c r="I50" s="46">
        <f ca="1">IF(tbl_LTHM[[#This Row],[RS]]= "", "", 100-(100/(1+tbl_LTHM[[#This Row],[RS]])))</f>
        <v>80.714285714285708</v>
      </c>
      <c r="J50" s="10">
        <f ca="1">IF(ROW($N50)-4&lt;BB_Periods, "", AVERAGE(INDIRECT(ADDRESS(ROW($F50)-RSI_Periods +1, MATCH("Adj Close", Price_Header,0))): INDIRECT(ADDRESS(ROW($F50),MATCH("Adj Close", Price_Header,0)))))</f>
        <v>10.039999999999997</v>
      </c>
      <c r="K50" s="10">
        <f ca="1">IF(tbl_LTHM[[#This Row],[BB_Mean]]="", "", tbl_LTHM[[#This Row],[BB_Mean]]+(BB_Width*tbl_LTHM[[#This Row],[BB_Stdev]]))</f>
        <v>13.078805433313997</v>
      </c>
      <c r="L50" s="10">
        <f ca="1">IF(tbl_LTHM[[#This Row],[BB_Mean]]="", "", tbl_LTHM[[#This Row],[BB_Mean]]-(BB_Width*tbl_LTHM[[#This Row],[BB_Stdev]]))</f>
        <v>7.0011945666859976</v>
      </c>
      <c r="M50" s="46">
        <f>IF(ROW(tbl_LTHM[[#This Row],[Adj Close]])=5, 0, $F50-$F49)</f>
        <v>-6.0000000000000497E-2</v>
      </c>
      <c r="N50" s="46">
        <f>MAX(tbl_LTHM[[#This Row],[Move]],0)</f>
        <v>0</v>
      </c>
      <c r="O50" s="46">
        <f>MAX(-tbl_LTHM[[#This Row],[Move]],0)</f>
        <v>6.0000000000000497E-2</v>
      </c>
      <c r="P50" s="46">
        <f ca="1">IF(ROW($N50)-5&lt;RSI_Periods, "", AVERAGE(INDIRECT(ADDRESS(ROW($N50)-RSI_Periods +1, MATCH("Upmove", Price_Header,0))): INDIRECT(ADDRESS(ROW($N50),MATCH("Upmove", Price_Header,0)))))</f>
        <v>0.32285714285714284</v>
      </c>
      <c r="Q50" s="46">
        <f ca="1">IF(ROW($O50)-5&lt;RSI_Periods, "", AVERAGE(INDIRECT(ADDRESS(ROW($O50)-RSI_Periods +1, MATCH("Downmove", Price_Header,0))): INDIRECT(ADDRESS(ROW($O50),MATCH("Downmove", Price_Header,0)))))</f>
        <v>7.7142857142857152E-2</v>
      </c>
      <c r="R50" s="46">
        <f ca="1">IF(tbl_LTHM[[#This Row],[Avg_Upmove]]="", "", tbl_LTHM[[#This Row],[Avg_Upmove]]/tbl_LTHM[[#This Row],[Avg_Downmove]])</f>
        <v>4.1851851851851842</v>
      </c>
      <c r="S50" s="10">
        <f ca="1">IF(ROW($N50)-4&lt;BB_Periods, "", _xlfn.STDEV.S(INDIRECT(ADDRESS(ROW($F50)-RSI_Periods +1, MATCH("Adj Close", Price_Header,0))): INDIRECT(ADDRESS(ROW($F50),MATCH("Adj Close", Price_Header,0)))))</f>
        <v>1.5194027166569999</v>
      </c>
    </row>
    <row r="51" spans="1:19" x14ac:dyDescent="0.35">
      <c r="A51" s="8">
        <v>44118</v>
      </c>
      <c r="B51" s="10">
        <v>11.14</v>
      </c>
      <c r="C51" s="10">
        <v>11.32</v>
      </c>
      <c r="D51" s="10">
        <v>10.89</v>
      </c>
      <c r="E51" s="10">
        <v>11</v>
      </c>
      <c r="F51" s="10">
        <v>11</v>
      </c>
      <c r="G51">
        <v>2198200</v>
      </c>
      <c r="H51" s="10">
        <f>IF(tbl_LTHM[[#This Row],[Date]]=$A$5, $F51, EMA_Beta*$H50 + (1-EMA_Beta)*$F51)</f>
        <v>10.159112412001209</v>
      </c>
      <c r="I51" s="46">
        <f ca="1">IF(tbl_LTHM[[#This Row],[RS]]= "", "", 100-(100/(1+tbl_LTHM[[#This Row],[RS]])))</f>
        <v>80.109489051094897</v>
      </c>
      <c r="J51" s="10">
        <f ca="1">IF(ROW($N51)-4&lt;BB_Periods, "", AVERAGE(INDIRECT(ADDRESS(ROW($F51)-RSI_Periods +1, MATCH("Adj Close", Price_Header,0))): INDIRECT(ADDRESS(ROW($F51),MATCH("Adj Close", Price_Header,0)))))</f>
        <v>10.275714285714285</v>
      </c>
      <c r="K51" s="10">
        <f ca="1">IF(tbl_LTHM[[#This Row],[BB_Mean]]="", "", tbl_LTHM[[#This Row],[BB_Mean]]+(BB_Width*tbl_LTHM[[#This Row],[BB_Stdev]]))</f>
        <v>13.031393336867952</v>
      </c>
      <c r="L51" s="10">
        <f ca="1">IF(tbl_LTHM[[#This Row],[BB_Mean]]="", "", tbl_LTHM[[#This Row],[BB_Mean]]-(BB_Width*tbl_LTHM[[#This Row],[BB_Stdev]]))</f>
        <v>7.5200352345606181</v>
      </c>
      <c r="M51" s="46">
        <f>IF(ROW(tbl_LTHM[[#This Row],[Adj Close]])=5, 0, $F51-$F50)</f>
        <v>-9.9999999999997868E-3</v>
      </c>
      <c r="N51" s="46">
        <f>MAX(tbl_LTHM[[#This Row],[Move]],0)</f>
        <v>0</v>
      </c>
      <c r="O51" s="46">
        <f>MAX(-tbl_LTHM[[#This Row],[Move]],0)</f>
        <v>9.9999999999997868E-3</v>
      </c>
      <c r="P51" s="46">
        <f ca="1">IF(ROW($N51)-5&lt;RSI_Periods, "", AVERAGE(INDIRECT(ADDRESS(ROW($N51)-RSI_Periods +1, MATCH("Upmove", Price_Header,0))): INDIRECT(ADDRESS(ROW($N51),MATCH("Upmove", Price_Header,0)))))</f>
        <v>0.31357142857142856</v>
      </c>
      <c r="Q51" s="46">
        <f ca="1">IF(ROW($O51)-5&lt;RSI_Periods, "", AVERAGE(INDIRECT(ADDRESS(ROW($O51)-RSI_Periods +1, MATCH("Downmove", Price_Header,0))): INDIRECT(ADDRESS(ROW($O51),MATCH("Downmove", Price_Header,0)))))</f>
        <v>7.7857142857142847E-2</v>
      </c>
      <c r="R51" s="46">
        <f ca="1">IF(tbl_LTHM[[#This Row],[Avg_Upmove]]="", "", tbl_LTHM[[#This Row],[Avg_Upmove]]/tbl_LTHM[[#This Row],[Avg_Downmove]])</f>
        <v>4.0275229357798166</v>
      </c>
      <c r="S51" s="10">
        <f ca="1">IF(ROW($N51)-4&lt;BB_Periods, "", _xlfn.STDEV.S(INDIRECT(ADDRESS(ROW($F51)-RSI_Periods +1, MATCH("Adj Close", Price_Header,0))): INDIRECT(ADDRESS(ROW($F51),MATCH("Adj Close", Price_Header,0)))))</f>
        <v>1.3778395255768334</v>
      </c>
    </row>
    <row r="52" spans="1:19" x14ac:dyDescent="0.35">
      <c r="A52" s="8">
        <v>44119</v>
      </c>
      <c r="B52" s="10">
        <v>10.69</v>
      </c>
      <c r="C52" s="10">
        <v>10.99</v>
      </c>
      <c r="D52" s="10">
        <v>10.67</v>
      </c>
      <c r="E52" s="10">
        <v>10.97</v>
      </c>
      <c r="F52" s="10">
        <v>10.97</v>
      </c>
      <c r="G52">
        <v>1741200</v>
      </c>
      <c r="H52" s="10">
        <f>IF(tbl_LTHM[[#This Row],[Date]]=$A$5, $F52, EMA_Beta*$H51 + (1-EMA_Beta)*$F52)</f>
        <v>10.240201170801088</v>
      </c>
      <c r="I52" s="46">
        <f ca="1">IF(tbl_LTHM[[#This Row],[RS]]= "", "", 100-(100/(1+tbl_LTHM[[#This Row],[RS]])))</f>
        <v>78.986866791744859</v>
      </c>
      <c r="J52" s="10">
        <f ca="1">IF(ROW($N52)-4&lt;BB_Periods, "", AVERAGE(INDIRECT(ADDRESS(ROW($F52)-RSI_Periods +1, MATCH("Adj Close", Price_Header,0))): INDIRECT(ADDRESS(ROW($F52),MATCH("Adj Close", Price_Header,0)))))</f>
        <v>10.496428571428572</v>
      </c>
      <c r="K52" s="10">
        <f ca="1">IF(tbl_LTHM[[#This Row],[BB_Mean]]="", "", tbl_LTHM[[#This Row],[BB_Mean]]+(BB_Width*tbl_LTHM[[#This Row],[BB_Stdev]]))</f>
        <v>12.89773087377467</v>
      </c>
      <c r="L52" s="10">
        <f ca="1">IF(tbl_LTHM[[#This Row],[BB_Mean]]="", "", tbl_LTHM[[#This Row],[BB_Mean]]-(BB_Width*tbl_LTHM[[#This Row],[BB_Stdev]]))</f>
        <v>8.0951262690824741</v>
      </c>
      <c r="M52" s="46">
        <f>IF(ROW(tbl_LTHM[[#This Row],[Adj Close]])=5, 0, $F52-$F51)</f>
        <v>-2.9999999999999361E-2</v>
      </c>
      <c r="N52" s="46">
        <f>MAX(tbl_LTHM[[#This Row],[Move]],0)</f>
        <v>0</v>
      </c>
      <c r="O52" s="46">
        <f>MAX(-tbl_LTHM[[#This Row],[Move]],0)</f>
        <v>2.9999999999999361E-2</v>
      </c>
      <c r="P52" s="46">
        <f ca="1">IF(ROW($N52)-5&lt;RSI_Periods, "", AVERAGE(INDIRECT(ADDRESS(ROW($N52)-RSI_Periods +1, MATCH("Upmove", Price_Header,0))): INDIRECT(ADDRESS(ROW($N52),MATCH("Upmove", Price_Header,0)))))</f>
        <v>0.30071428571428571</v>
      </c>
      <c r="Q52" s="46">
        <f ca="1">IF(ROW($O52)-5&lt;RSI_Periods, "", AVERAGE(INDIRECT(ADDRESS(ROW($O52)-RSI_Periods +1, MATCH("Downmove", Price_Header,0))): INDIRECT(ADDRESS(ROW($O52),MATCH("Downmove", Price_Header,0)))))</f>
        <v>7.9999999999999946E-2</v>
      </c>
      <c r="R52" s="46">
        <f ca="1">IF(tbl_LTHM[[#This Row],[Avg_Upmove]]="", "", tbl_LTHM[[#This Row],[Avg_Upmove]]/tbl_LTHM[[#This Row],[Avg_Downmove]])</f>
        <v>3.7589285714285738</v>
      </c>
      <c r="S52" s="10">
        <f ca="1">IF(ROW($N52)-4&lt;BB_Periods, "", _xlfn.STDEV.S(INDIRECT(ADDRESS(ROW($F52)-RSI_Periods +1, MATCH("Adj Close", Price_Header,0))): INDIRECT(ADDRESS(ROW($F52),MATCH("Adj Close", Price_Header,0)))))</f>
        <v>1.2006511511730489</v>
      </c>
    </row>
    <row r="53" spans="1:19" x14ac:dyDescent="0.35">
      <c r="A53" s="8">
        <v>44120</v>
      </c>
      <c r="B53" s="10">
        <v>10.98</v>
      </c>
      <c r="C53" s="10">
        <v>11.07</v>
      </c>
      <c r="D53" s="10">
        <v>10.199999999999999</v>
      </c>
      <c r="E53" s="10">
        <v>10.210000000000001</v>
      </c>
      <c r="F53" s="10">
        <v>10.210000000000001</v>
      </c>
      <c r="G53">
        <v>3561900</v>
      </c>
      <c r="H53" s="10">
        <f>IF(tbl_LTHM[[#This Row],[Date]]=$A$5, $F53, EMA_Beta*$H52 + (1-EMA_Beta)*$F53)</f>
        <v>10.237181053720978</v>
      </c>
      <c r="I53" s="46">
        <f ca="1">IF(tbl_LTHM[[#This Row],[RS]]= "", "", 100-(100/(1+tbl_LTHM[[#This Row],[RS]])))</f>
        <v>66.126126126126138</v>
      </c>
      <c r="J53" s="10">
        <f ca="1">IF(ROW($N53)-4&lt;BB_Periods, "", AVERAGE(INDIRECT(ADDRESS(ROW($F53)-RSI_Periods +1, MATCH("Adj Close", Price_Header,0))): INDIRECT(ADDRESS(ROW($F53),MATCH("Adj Close", Price_Header,0)))))</f>
        <v>10.624285714285717</v>
      </c>
      <c r="K53" s="10">
        <f ca="1">IF(tbl_LTHM[[#This Row],[BB_Mean]]="", "", tbl_LTHM[[#This Row],[BB_Mean]]+(BB_Width*tbl_LTHM[[#This Row],[BB_Stdev]]))</f>
        <v>12.720578622264933</v>
      </c>
      <c r="L53" s="10">
        <f ca="1">IF(tbl_LTHM[[#This Row],[BB_Mean]]="", "", tbl_LTHM[[#This Row],[BB_Mean]]-(BB_Width*tbl_LTHM[[#This Row],[BB_Stdev]]))</f>
        <v>8.5279928063065018</v>
      </c>
      <c r="M53" s="46">
        <f>IF(ROW(tbl_LTHM[[#This Row],[Adj Close]])=5, 0, $F53-$F52)</f>
        <v>-0.75999999999999979</v>
      </c>
      <c r="N53" s="46">
        <f>MAX(tbl_LTHM[[#This Row],[Move]],0)</f>
        <v>0</v>
      </c>
      <c r="O53" s="46">
        <f>MAX(-tbl_LTHM[[#This Row],[Move]],0)</f>
        <v>0.75999999999999979</v>
      </c>
      <c r="P53" s="46">
        <f ca="1">IF(ROW($N53)-5&lt;RSI_Periods, "", AVERAGE(INDIRECT(ADDRESS(ROW($N53)-RSI_Periods +1, MATCH("Upmove", Price_Header,0))): INDIRECT(ADDRESS(ROW($N53),MATCH("Upmove", Price_Header,0)))))</f>
        <v>0.26214285714285712</v>
      </c>
      <c r="Q53" s="46">
        <f ca="1">IF(ROW($O53)-5&lt;RSI_Periods, "", AVERAGE(INDIRECT(ADDRESS(ROW($O53)-RSI_Periods +1, MATCH("Downmove", Price_Header,0))): INDIRECT(ADDRESS(ROW($O53),MATCH("Downmove", Price_Header,0)))))</f>
        <v>0.1342857142857142</v>
      </c>
      <c r="R53" s="46">
        <f ca="1">IF(tbl_LTHM[[#This Row],[Avg_Upmove]]="", "", tbl_LTHM[[#This Row],[Avg_Upmove]]/tbl_LTHM[[#This Row],[Avg_Downmove]])</f>
        <v>1.9521276595744692</v>
      </c>
      <c r="S53" s="10">
        <f ca="1">IF(ROW($N53)-4&lt;BB_Periods, "", _xlfn.STDEV.S(INDIRECT(ADDRESS(ROW($F53)-RSI_Periods +1, MATCH("Adj Close", Price_Header,0))): INDIRECT(ADDRESS(ROW($F53),MATCH("Adj Close", Price_Header,0)))))</f>
        <v>1.0481464539896079</v>
      </c>
    </row>
    <row r="54" spans="1:19" x14ac:dyDescent="0.35">
      <c r="A54" s="8">
        <v>44123</v>
      </c>
      <c r="B54" s="10">
        <v>10.24</v>
      </c>
      <c r="C54" s="10">
        <v>10.52</v>
      </c>
      <c r="D54" s="10">
        <v>10.08</v>
      </c>
      <c r="E54" s="10">
        <v>10.15</v>
      </c>
      <c r="F54" s="10">
        <v>10.15</v>
      </c>
      <c r="G54">
        <v>3203900</v>
      </c>
      <c r="H54" s="10">
        <f>IF(tbl_LTHM[[#This Row],[Date]]=$A$5, $F54, EMA_Beta*$H53 + (1-EMA_Beta)*$F54)</f>
        <v>10.228462948348881</v>
      </c>
      <c r="I54" s="46">
        <f ca="1">IF(tbl_LTHM[[#This Row],[RS]]= "", "", 100-(100/(1+tbl_LTHM[[#This Row],[RS]])))</f>
        <v>60.728744939271259</v>
      </c>
      <c r="J54" s="10">
        <f ca="1">IF(ROW($N54)-4&lt;BB_Periods, "", AVERAGE(INDIRECT(ADDRESS(ROW($F54)-RSI_Periods +1, MATCH("Adj Close", Price_Header,0))): INDIRECT(ADDRESS(ROW($F54),MATCH("Adj Close", Price_Header,0)))))</f>
        <v>10.700000000000003</v>
      </c>
      <c r="K54" s="10">
        <f ca="1">IF(tbl_LTHM[[#This Row],[BB_Mean]]="", "", tbl_LTHM[[#This Row],[BB_Mean]]+(BB_Width*tbl_LTHM[[#This Row],[BB_Stdev]]))</f>
        <v>12.627341732502611</v>
      </c>
      <c r="L54" s="10">
        <f ca="1">IF(tbl_LTHM[[#This Row],[BB_Mean]]="", "", tbl_LTHM[[#This Row],[BB_Mean]]-(BB_Width*tbl_LTHM[[#This Row],[BB_Stdev]]))</f>
        <v>8.7726582674973947</v>
      </c>
      <c r="M54" s="46">
        <f>IF(ROW(tbl_LTHM[[#This Row],[Adj Close]])=5, 0, $F54-$F53)</f>
        <v>-6.0000000000000497E-2</v>
      </c>
      <c r="N54" s="46">
        <f>MAX(tbl_LTHM[[#This Row],[Move]],0)</f>
        <v>0</v>
      </c>
      <c r="O54" s="46">
        <f>MAX(-tbl_LTHM[[#This Row],[Move]],0)</f>
        <v>6.0000000000000497E-2</v>
      </c>
      <c r="P54" s="46">
        <f ca="1">IF(ROW($N54)-5&lt;RSI_Periods, "", AVERAGE(INDIRECT(ADDRESS(ROW($N54)-RSI_Periods +1, MATCH("Upmove", Price_Header,0))): INDIRECT(ADDRESS(ROW($N54),MATCH("Upmove", Price_Header,0)))))</f>
        <v>0.21428571428571427</v>
      </c>
      <c r="Q54" s="46">
        <f ca="1">IF(ROW($O54)-5&lt;RSI_Periods, "", AVERAGE(INDIRECT(ADDRESS(ROW($O54)-RSI_Periods +1, MATCH("Downmove", Price_Header,0))): INDIRECT(ADDRESS(ROW($O54),MATCH("Downmove", Price_Header,0)))))</f>
        <v>0.13857142857142854</v>
      </c>
      <c r="R54" s="46">
        <f ca="1">IF(tbl_LTHM[[#This Row],[Avg_Upmove]]="", "", tbl_LTHM[[#This Row],[Avg_Upmove]]/tbl_LTHM[[#This Row],[Avg_Downmove]])</f>
        <v>1.5463917525773199</v>
      </c>
      <c r="S54" s="10">
        <f ca="1">IF(ROW($N54)-4&lt;BB_Periods, "", _xlfn.STDEV.S(INDIRECT(ADDRESS(ROW($F54)-RSI_Periods +1, MATCH("Adj Close", Price_Header,0))): INDIRECT(ADDRESS(ROW($F54),MATCH("Adj Close", Price_Header,0)))))</f>
        <v>0.96367086625130394</v>
      </c>
    </row>
    <row r="55" spans="1:19" x14ac:dyDescent="0.35">
      <c r="A55" s="8">
        <v>44124</v>
      </c>
      <c r="B55" s="10">
        <v>10.25</v>
      </c>
      <c r="C55" s="10">
        <v>10.99</v>
      </c>
      <c r="D55" s="10">
        <v>10.210000000000001</v>
      </c>
      <c r="E55" s="10">
        <v>10.39</v>
      </c>
      <c r="F55" s="10">
        <v>10.39</v>
      </c>
      <c r="G55">
        <v>3633000</v>
      </c>
      <c r="H55" s="10">
        <f>IF(tbl_LTHM[[#This Row],[Date]]=$A$5, $F55, EMA_Beta*$H54 + (1-EMA_Beta)*$F55)</f>
        <v>10.244616653513992</v>
      </c>
      <c r="I55" s="46">
        <f ca="1">IF(tbl_LTHM[[#This Row],[RS]]= "", "", 100-(100/(1+tbl_LTHM[[#This Row],[RS]])))</f>
        <v>64.031620553359687</v>
      </c>
      <c r="J55" s="10">
        <f ca="1">IF(ROW($N55)-4&lt;BB_Periods, "", AVERAGE(INDIRECT(ADDRESS(ROW($F55)-RSI_Periods +1, MATCH("Adj Close", Price_Header,0))): INDIRECT(ADDRESS(ROW($F55),MATCH("Adj Close", Price_Header,0)))))</f>
        <v>10.80142857142857</v>
      </c>
      <c r="K55" s="10">
        <f ca="1">IF(tbl_LTHM[[#This Row],[BB_Mean]]="", "", tbl_LTHM[[#This Row],[BB_Mean]]+(BB_Width*tbl_LTHM[[#This Row],[BB_Stdev]]))</f>
        <v>12.468463842023224</v>
      </c>
      <c r="L55" s="10">
        <f ca="1">IF(tbl_LTHM[[#This Row],[BB_Mean]]="", "", tbl_LTHM[[#This Row],[BB_Mean]]-(BB_Width*tbl_LTHM[[#This Row],[BB_Stdev]]))</f>
        <v>9.1343933008339153</v>
      </c>
      <c r="M55" s="46">
        <f>IF(ROW(tbl_LTHM[[#This Row],[Adj Close]])=5, 0, $F55-$F54)</f>
        <v>0.24000000000000021</v>
      </c>
      <c r="N55" s="46">
        <f>MAX(tbl_LTHM[[#This Row],[Move]],0)</f>
        <v>0.24000000000000021</v>
      </c>
      <c r="O55" s="46">
        <f>MAX(-tbl_LTHM[[#This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0.23142857142857146</v>
      </c>
      <c r="Q55" s="46">
        <f ca="1">IF(ROW($O55)-5&lt;RSI_Periods, "", AVERAGE(INDIRECT(ADDRESS(ROW($O55)-RSI_Periods +1, MATCH("Downmove", Price_Header,0))): INDIRECT(ADDRESS(ROW($O55),MATCH("Downmove", Price_Header,0)))))</f>
        <v>0.13000000000000003</v>
      </c>
      <c r="R55" s="46">
        <f ca="1">IF(tbl_LTHM[[#This Row],[Avg_Upmove]]="", "", tbl_LTHM[[#This Row],[Avg_Upmove]]/tbl_LTHM[[#This Row],[Avg_Downmove]])</f>
        <v>1.7802197802197799</v>
      </c>
      <c r="S55" s="10">
        <f ca="1">IF(ROW($N55)-4&lt;BB_Periods, "", _xlfn.STDEV.S(INDIRECT(ADDRESS(ROW($F55)-RSI_Periods +1, MATCH("Adj Close", Price_Header,0))): INDIRECT(ADDRESS(ROW($F55),MATCH("Adj Close", Price_Header,0)))))</f>
        <v>0.83351763529732736</v>
      </c>
    </row>
    <row r="56" spans="1:19" x14ac:dyDescent="0.35">
      <c r="A56" s="8">
        <v>44125</v>
      </c>
      <c r="B56" s="10">
        <v>10.51</v>
      </c>
      <c r="C56" s="10">
        <v>11.19</v>
      </c>
      <c r="D56" s="10">
        <v>10.35</v>
      </c>
      <c r="E56" s="10">
        <v>10.97</v>
      </c>
      <c r="F56" s="10">
        <v>10.97</v>
      </c>
      <c r="G56">
        <v>4132500</v>
      </c>
      <c r="H56" s="10">
        <f>IF(tbl_LTHM[[#This Row],[Date]]=$A$5, $F56, EMA_Beta*$H55 + (1-EMA_Beta)*$F56)</f>
        <v>10.317154988162592</v>
      </c>
      <c r="I56" s="46">
        <f ca="1">IF(tbl_LTHM[[#This Row],[RS]]= "", "", 100-(100/(1+tbl_LTHM[[#This Row],[RS]])))</f>
        <v>67.383512544802869</v>
      </c>
      <c r="J56" s="10">
        <f ca="1">IF(ROW($N56)-4&lt;BB_Periods, "", AVERAGE(INDIRECT(ADDRESS(ROW($F56)-RSI_Periods +1, MATCH("Adj Close", Price_Header,0))): INDIRECT(ADDRESS(ROW($F56),MATCH("Adj Close", Price_Header,0)))))</f>
        <v>10.94</v>
      </c>
      <c r="K56" s="10">
        <f ca="1">IF(tbl_LTHM[[#This Row],[BB_Mean]]="", "", tbl_LTHM[[#This Row],[BB_Mean]]+(BB_Width*tbl_LTHM[[#This Row],[BB_Stdev]]))</f>
        <v>12.258903973876677</v>
      </c>
      <c r="L56" s="10">
        <f ca="1">IF(tbl_LTHM[[#This Row],[BB_Mean]]="", "", tbl_LTHM[[#This Row],[BB_Mean]]-(BB_Width*tbl_LTHM[[#This Row],[BB_Stdev]]))</f>
        <v>9.6210960261233218</v>
      </c>
      <c r="M56" s="46">
        <f>IF(ROW(tbl_LTHM[[#This Row],[Adj Close]])=5, 0, $F56-$F55)</f>
        <v>0.58000000000000007</v>
      </c>
      <c r="N56" s="46">
        <f>MAX(tbl_LTHM[[#This Row],[Move]],0)</f>
        <v>0.58000000000000007</v>
      </c>
      <c r="O56" s="46">
        <f>MAX(-tbl_LTHM[[#This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0.26857142857142868</v>
      </c>
      <c r="Q56" s="46">
        <f ca="1">IF(ROW($O56)-5&lt;RSI_Periods, "", AVERAGE(INDIRECT(ADDRESS(ROW($O56)-RSI_Periods +1, MATCH("Downmove", Price_Header,0))): INDIRECT(ADDRESS(ROW($O56),MATCH("Downmove", Price_Header,0)))))</f>
        <v>0.13000000000000003</v>
      </c>
      <c r="R56" s="46">
        <f ca="1">IF(tbl_LTHM[[#This Row],[Avg_Upmove]]="", "", tbl_LTHM[[#This Row],[Avg_Upmove]]/tbl_LTHM[[#This Row],[Avg_Downmove]])</f>
        <v>2.0659340659340661</v>
      </c>
      <c r="S56" s="10">
        <f ca="1">IF(ROW($N56)-4&lt;BB_Periods, "", _xlfn.STDEV.S(INDIRECT(ADDRESS(ROW($F56)-RSI_Periods +1, MATCH("Adj Close", Price_Header,0))): INDIRECT(ADDRESS(ROW($F56),MATCH("Adj Close", Price_Header,0)))))</f>
        <v>0.65945198693833873</v>
      </c>
    </row>
    <row r="57" spans="1:19" x14ac:dyDescent="0.35">
      <c r="A57" s="8">
        <v>44126</v>
      </c>
      <c r="B57" s="10">
        <v>11.02</v>
      </c>
      <c r="C57" s="10">
        <v>11.07</v>
      </c>
      <c r="D57" s="10">
        <v>10.199999999999999</v>
      </c>
      <c r="E57" s="10">
        <v>10.6</v>
      </c>
      <c r="F57" s="10">
        <v>10.6</v>
      </c>
      <c r="G57">
        <v>2844300</v>
      </c>
      <c r="H57" s="10">
        <f>IF(tbl_LTHM[[#This Row],[Date]]=$A$5, $F57, EMA_Beta*$H56 + (1-EMA_Beta)*$F57)</f>
        <v>10.345439489346333</v>
      </c>
      <c r="I57" s="46">
        <f ca="1">IF(tbl_LTHM[[#This Row],[RS]]= "", "", 100-(100/(1+tbl_LTHM[[#This Row],[RS]])))</f>
        <v>59.594095940959392</v>
      </c>
      <c r="J57" s="10">
        <f ca="1">IF(ROW($N57)-4&lt;BB_Periods, "", AVERAGE(INDIRECT(ADDRESS(ROW($F57)-RSI_Periods +1, MATCH("Adj Close", Price_Header,0))): INDIRECT(ADDRESS(ROW($F57),MATCH("Adj Close", Price_Header,0)))))</f>
        <v>11.014285714285714</v>
      </c>
      <c r="K57" s="10">
        <f ca="1">IF(tbl_LTHM[[#This Row],[BB_Mean]]="", "", tbl_LTHM[[#This Row],[BB_Mean]]+(BB_Width*tbl_LTHM[[#This Row],[BB_Stdev]]))</f>
        <v>12.09379313146091</v>
      </c>
      <c r="L57" s="10">
        <f ca="1">IF(tbl_LTHM[[#This Row],[BB_Mean]]="", "", tbl_LTHM[[#This Row],[BB_Mean]]-(BB_Width*tbl_LTHM[[#This Row],[BB_Stdev]]))</f>
        <v>9.934778297110519</v>
      </c>
      <c r="M57" s="46">
        <f>IF(ROW(tbl_LTHM[[#This Row],[Adj Close]])=5, 0, $F57-$F56)</f>
        <v>-0.37000000000000099</v>
      </c>
      <c r="N57" s="46">
        <f>MAX(tbl_LTHM[[#This Row],[Move]],0)</f>
        <v>0</v>
      </c>
      <c r="O57" s="46">
        <f>MAX(-tbl_LTHM[[#This Row],[Move]],0)</f>
        <v>0.37000000000000099</v>
      </c>
      <c r="P57" s="46">
        <f ca="1">IF(ROW($N57)-5&lt;RSI_Periods, "", AVERAGE(INDIRECT(ADDRESS(ROW($N57)-RSI_Periods +1, MATCH("Upmove", Price_Header,0))): INDIRECT(ADDRESS(ROW($N57),MATCH("Upmove", Price_Header,0)))))</f>
        <v>0.23071428571428573</v>
      </c>
      <c r="Q57" s="46">
        <f ca="1">IF(ROW($O57)-5&lt;RSI_Periods, "", AVERAGE(INDIRECT(ADDRESS(ROW($O57)-RSI_Periods +1, MATCH("Downmove", Price_Header,0))): INDIRECT(ADDRESS(ROW($O57),MATCH("Downmove", Price_Header,0)))))</f>
        <v>0.15642857142857153</v>
      </c>
      <c r="R57" s="46">
        <f ca="1">IF(tbl_LTHM[[#This Row],[Avg_Upmove]]="", "", tbl_LTHM[[#This Row],[Avg_Upmove]]/tbl_LTHM[[#This Row],[Avg_Downmove]])</f>
        <v>1.4748858447488575</v>
      </c>
      <c r="S57" s="10">
        <f ca="1">IF(ROW($N57)-4&lt;BB_Periods, "", _xlfn.STDEV.S(INDIRECT(ADDRESS(ROW($F57)-RSI_Periods +1, MATCH("Adj Close", Price_Header,0))): INDIRECT(ADDRESS(ROW($F57),MATCH("Adj Close", Price_Header,0)))))</f>
        <v>0.53975370858759808</v>
      </c>
    </row>
    <row r="58" spans="1:19" x14ac:dyDescent="0.35">
      <c r="A58" s="8">
        <v>44127</v>
      </c>
      <c r="B58" s="10">
        <v>10.78</v>
      </c>
      <c r="C58" s="10">
        <v>11.04</v>
      </c>
      <c r="D58" s="10">
        <v>10.69</v>
      </c>
      <c r="E58" s="10">
        <v>10.79</v>
      </c>
      <c r="F58" s="10">
        <v>10.79</v>
      </c>
      <c r="G58">
        <v>1905700</v>
      </c>
      <c r="H58" s="10">
        <f>IF(tbl_LTHM[[#This Row],[Date]]=$A$5, $F58, EMA_Beta*$H57 + (1-EMA_Beta)*$F58)</f>
        <v>10.3898955404117</v>
      </c>
      <c r="I58" s="46">
        <f ca="1">IF(tbl_LTHM[[#This Row],[RS]]= "", "", 100-(100/(1+tbl_LTHM[[#This Row],[RS]])))</f>
        <v>43.55670103092784</v>
      </c>
      <c r="J58" s="10">
        <f ca="1">IF(ROW($N58)-4&lt;BB_Periods, "", AVERAGE(INDIRECT(ADDRESS(ROW($F58)-RSI_Periods +1, MATCH("Adj Close", Price_Header,0))): INDIRECT(ADDRESS(ROW($F58),MATCH("Adj Close", Price_Header,0)))))</f>
        <v>10.97857142857143</v>
      </c>
      <c r="K58" s="10">
        <f ca="1">IF(tbl_LTHM[[#This Row],[BB_Mean]]="", "", tbl_LTHM[[#This Row],[BB_Mean]]+(BB_Width*tbl_LTHM[[#This Row],[BB_Stdev]]))</f>
        <v>12.051851294370501</v>
      </c>
      <c r="L58" s="10">
        <f ca="1">IF(tbl_LTHM[[#This Row],[BB_Mean]]="", "", tbl_LTHM[[#This Row],[BB_Mean]]-(BB_Width*tbl_LTHM[[#This Row],[BB_Stdev]]))</f>
        <v>9.9052915627723586</v>
      </c>
      <c r="M58" s="46">
        <f>IF(ROW(tbl_LTHM[[#This Row],[Adj Close]])=5, 0, $F58-$F57)</f>
        <v>0.1899999999999995</v>
      </c>
      <c r="N58" s="46">
        <f>MAX(tbl_LTHM[[#This Row],[Move]],0)</f>
        <v>0.1899999999999995</v>
      </c>
      <c r="O58" s="46">
        <f>MAX(-tbl_LTHM[[#This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0.1207142857142858</v>
      </c>
      <c r="Q58" s="46">
        <f ca="1">IF(ROW($O58)-5&lt;RSI_Periods, "", AVERAGE(INDIRECT(ADDRESS(ROW($O58)-RSI_Periods +1, MATCH("Downmove", Price_Header,0))): INDIRECT(ADDRESS(ROW($O58),MATCH("Downmove", Price_Header,0)))))</f>
        <v>0.15642857142857153</v>
      </c>
      <c r="R58" s="46">
        <f ca="1">IF(tbl_LTHM[[#This Row],[Avg_Upmove]]="", "", tbl_LTHM[[#This Row],[Avg_Upmove]]/tbl_LTHM[[#This Row],[Avg_Downmove]])</f>
        <v>0.7716894977168951</v>
      </c>
      <c r="S58" s="10">
        <f ca="1">IF(ROW($N58)-4&lt;BB_Periods, "", _xlfn.STDEV.S(INDIRECT(ADDRESS(ROW($F58)-RSI_Periods +1, MATCH("Adj Close", Price_Header,0))): INDIRECT(ADDRESS(ROW($F58),MATCH("Adj Close", Price_Header,0)))))</f>
        <v>0.53663993289953515</v>
      </c>
    </row>
    <row r="59" spans="1:19" x14ac:dyDescent="0.35">
      <c r="A59" s="8">
        <v>44130</v>
      </c>
      <c r="B59" s="10">
        <v>10.5</v>
      </c>
      <c r="C59" s="10">
        <v>10.67</v>
      </c>
      <c r="D59" s="10">
        <v>10.23</v>
      </c>
      <c r="E59" s="10">
        <v>10.62</v>
      </c>
      <c r="F59" s="10">
        <v>10.62</v>
      </c>
      <c r="G59">
        <v>2076300</v>
      </c>
      <c r="H59" s="10">
        <f>IF(tbl_LTHM[[#This Row],[Date]]=$A$5, $F59, EMA_Beta*$H58 + (1-EMA_Beta)*$F59)</f>
        <v>10.41290598637053</v>
      </c>
      <c r="I59" s="46">
        <f ca="1">IF(tbl_LTHM[[#This Row],[RS]]= "", "", 100-(100/(1+tbl_LTHM[[#This Row],[RS]])))</f>
        <v>39.795918367346943</v>
      </c>
      <c r="J59" s="10">
        <f ca="1">IF(ROW($N59)-4&lt;BB_Periods, "", AVERAGE(INDIRECT(ADDRESS(ROW($F59)-RSI_Periods +1, MATCH("Adj Close", Price_Header,0))): INDIRECT(ADDRESS(ROW($F59),MATCH("Adj Close", Price_Header,0)))))</f>
        <v>10.921428571428573</v>
      </c>
      <c r="K59" s="10">
        <f ca="1">IF(tbl_LTHM[[#This Row],[BB_Mean]]="", "", tbl_LTHM[[#This Row],[BB_Mean]]+(BB_Width*tbl_LTHM[[#This Row],[BB_Stdev]]))</f>
        <v>11.97853222380526</v>
      </c>
      <c r="L59" s="10">
        <f ca="1">IF(tbl_LTHM[[#This Row],[BB_Mean]]="", "", tbl_LTHM[[#This Row],[BB_Mean]]-(BB_Width*tbl_LTHM[[#This Row],[BB_Stdev]]))</f>
        <v>9.8643249190518851</v>
      </c>
      <c r="M59" s="46">
        <f>IF(ROW(tbl_LTHM[[#This Row],[Adj Close]])=5, 0, $F59-$F58)</f>
        <v>-0.16999999999999993</v>
      </c>
      <c r="N59" s="46">
        <f>MAX(tbl_LTHM[[#This Row],[Move]],0)</f>
        <v>0</v>
      </c>
      <c r="O59" s="46">
        <f>MAX(-tbl_LTHM[[#This Row],[Move]],0)</f>
        <v>0.16999999999999993</v>
      </c>
      <c r="P59" s="46">
        <f ca="1">IF(ROW($N59)-5&lt;RSI_Periods, "", AVERAGE(INDIRECT(ADDRESS(ROW($N59)-RSI_Periods +1, MATCH("Upmove", Price_Header,0))): INDIRECT(ADDRESS(ROW($N59),MATCH("Upmove", Price_Header,0)))))</f>
        <v>0.11142857142857146</v>
      </c>
      <c r="Q59" s="46">
        <f ca="1">IF(ROW($O59)-5&lt;RSI_Periods, "", AVERAGE(INDIRECT(ADDRESS(ROW($O59)-RSI_Periods +1, MATCH("Downmove", Price_Header,0))): INDIRECT(ADDRESS(ROW($O59),MATCH("Downmove", Price_Header,0)))))</f>
        <v>0.16857142857142865</v>
      </c>
      <c r="R59" s="46">
        <f ca="1">IF(tbl_LTHM[[#This Row],[Avg_Upmove]]="", "", tbl_LTHM[[#This Row],[Avg_Upmove]]/tbl_LTHM[[#This Row],[Avg_Downmove]])</f>
        <v>0.66101694915254228</v>
      </c>
      <c r="S59" s="10">
        <f ca="1">IF(ROW($N59)-4&lt;BB_Periods, "", _xlfn.STDEV.S(INDIRECT(ADDRESS(ROW($F59)-RSI_Periods +1, MATCH("Adj Close", Price_Header,0))): INDIRECT(ADDRESS(ROW($F59),MATCH("Adj Close", Price_Header,0)))))</f>
        <v>0.52855182618834373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J60" s="61"/>
      <c r="K60" s="61"/>
      <c r="L60" s="61"/>
      <c r="S60" s="61">
        <f ca="1">SUBTOTAL(103,tbl_LTHM[BB_Stdev])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autoPageBreaks="0"/>
  </sheetPr>
  <dimension ref="A1:W44"/>
  <sheetViews>
    <sheetView tabSelected="1" topLeftCell="I28" zoomScale="128" zoomScaleNormal="128" workbookViewId="0">
      <selection activeCell="H33" sqref="H33"/>
    </sheetView>
  </sheetViews>
  <sheetFormatPr defaultColWidth="9.1796875" defaultRowHeight="13.5" x14ac:dyDescent="0.25"/>
  <cols>
    <col min="1" max="1" width="10.453125" style="67" customWidth="1"/>
    <col min="2" max="2" width="13.54296875" style="67" customWidth="1"/>
    <col min="3" max="3" width="13.7265625" style="67" customWidth="1"/>
    <col min="4" max="4" width="14.453125" style="67" customWidth="1"/>
    <col min="5" max="5" width="13.7265625" style="67" customWidth="1"/>
    <col min="6" max="6" width="15.26953125" style="67" customWidth="1"/>
    <col min="7" max="7" width="17.453125" style="67" customWidth="1"/>
    <col min="8" max="8" width="13.7265625" style="67" customWidth="1"/>
    <col min="9" max="16384" width="9.1796875" style="67"/>
  </cols>
  <sheetData>
    <row r="1" spans="1:23" x14ac:dyDescent="0.25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5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45">
      <c r="A3" s="84"/>
      <c r="B3" s="87" t="s">
        <v>288</v>
      </c>
      <c r="C3" s="69"/>
      <c r="D3" s="68"/>
      <c r="E3" s="68"/>
      <c r="F3" s="72" t="s">
        <v>195</v>
      </c>
      <c r="G3" s="89">
        <f>DATE(2020, 10, 26)</f>
        <v>44130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27</v>
      </c>
      <c r="W3" s="85"/>
    </row>
    <row r="4" spans="1:23" x14ac:dyDescent="0.25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7.5" x14ac:dyDescent="0.3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100319.14</v>
      </c>
      <c r="G5" s="70">
        <f ca="1">INDEX(tbl_position[], COUNT(tbl_position[Date]), MATCH("Total_Net_Asset", pos_header,0))-INDEX(tbl_position[], COUNT(tbl_position[Date])-1, MATCH("Total_Net_Asset", pos_header,0))</f>
        <v>-1716.3000000000029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7.5" x14ac:dyDescent="0.35">
      <c r="A6" s="84"/>
      <c r="B6" s="91" t="s">
        <v>180</v>
      </c>
      <c r="C6" s="73"/>
      <c r="D6" s="68"/>
      <c r="F6" s="90">
        <f>INDEX(tbl_position[], COUNT(tbl_position[Date]), MATCH("Cash_holding", pos_header,0))</f>
        <v>15421.979999999992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7" x14ac:dyDescent="0.3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5.5" thickBot="1" x14ac:dyDescent="0.35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5" thickBot="1" x14ac:dyDescent="0.3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5" x14ac:dyDescent="0.35">
      <c r="A10" s="84"/>
      <c r="B10" s="105">
        <v>1</v>
      </c>
      <c r="C10" s="106" t="str">
        <f ca="1">INDEX(tbl_holdings[], MATCH(LARGE(tbl_holdings[Total], Dashboard!$B10), tbl_holdings[Total], 0), 2)</f>
        <v>LTHM</v>
      </c>
      <c r="D10" s="107">
        <f ca="1">LARGE(tbl_holdings[Total], 1)/tbl_holdings[[#Totals],[Total]]</f>
        <v>0.17288226915095548</v>
      </c>
      <c r="E10" s="75"/>
      <c r="F10" s="108" t="s">
        <v>190</v>
      </c>
      <c r="G10" s="109">
        <f>INDEX(tbl_transsummary[], _xlfn.FLOOR.MATH(($G$3-DATE(2020, 9, 9))/7)+1, 4)</f>
        <v>16465.73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6.5" thickBot="1" x14ac:dyDescent="0.35">
      <c r="A11" s="84"/>
      <c r="B11" s="98">
        <v>2</v>
      </c>
      <c r="C11" s="101" t="str">
        <f ca="1">INDEX(tbl_holdings[], MATCH(LARGE(tbl_holdings[Total], Dashboard!$B11), tbl_holdings[Total], 0), 2)</f>
        <v>FDX</v>
      </c>
      <c r="D11" s="94">
        <f ca="1">LARGE(tbl_holdings[Total], 2)/tbl_holdings[[#Totals],[Total]]</f>
        <v>0.15054488332852883</v>
      </c>
      <c r="E11" s="75"/>
      <c r="F11" s="112" t="s">
        <v>191</v>
      </c>
      <c r="G11" s="113">
        <f>INDEX(tbl_transsummary[], _xlfn.FLOOR.MATH(($G$3-DATE(2020, 9, 9))/7)+1, 5)</f>
        <v>4896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5.5" thickBot="1" x14ac:dyDescent="0.35">
      <c r="A12" s="84"/>
      <c r="B12" s="99">
        <v>3</v>
      </c>
      <c r="C12" s="102" t="str">
        <f ca="1">INDEX(tbl_holdings[], MATCH(LARGE(tbl_holdings[Total], Dashboard!$B12), tbl_holdings[Total], 0), 2)</f>
        <v>HD</v>
      </c>
      <c r="D12" s="95">
        <f ca="1">LARGE(tbl_holdings[Total], 3)/tbl_holdings[[#Totals],[Total]]</f>
        <v>0.14968809737773611</v>
      </c>
      <c r="E12" s="75"/>
      <c r="F12" s="110" t="s">
        <v>192</v>
      </c>
      <c r="G12" s="111">
        <f>INDEX(tbl_transsummary[], _xlfn.FLOOR.MATH(($G$3-DATE(2020, 9, 9))/7)+1, 6)</f>
        <v>11850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5.5" thickBot="1" x14ac:dyDescent="0.35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0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5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4" thickBot="1" x14ac:dyDescent="0.3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5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7.5" x14ac:dyDescent="0.3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19.5" x14ac:dyDescent="0.35">
      <c r="A18" s="84"/>
      <c r="B18" s="88" t="s">
        <v>275</v>
      </c>
      <c r="C18" s="68"/>
      <c r="D18" s="68"/>
      <c r="E18" s="68"/>
      <c r="F18" s="68"/>
      <c r="G18" s="124" t="s">
        <v>341</v>
      </c>
      <c r="H18" s="68"/>
      <c r="I18" s="123">
        <v>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4" thickBot="1" x14ac:dyDescent="0.3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5" thickBot="1" x14ac:dyDescent="0.3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5">
      <c r="A21" s="114">
        <v>0</v>
      </c>
      <c r="B21" s="116">
        <f t="shared" ref="B21:B30" ca="1" si="0">INDEX(INDIRECT("tbl_"&amp;$G$18), COUNT(Date_List)-20+$I$18+A21, 1)</f>
        <v>44103</v>
      </c>
      <c r="C21" s="119">
        <f t="shared" ref="C21:C30" ca="1" si="1">INDEX(INDIRECT("tbl_"&amp;$G$18), COUNT(Date_List)-20+$I$18+A21, MATCH("Open", Price_Header,0))</f>
        <v>8.5</v>
      </c>
      <c r="D21" s="119">
        <f t="shared" ref="D21:D30" ca="1" si="2">INDEX(INDIRECT("tbl_"&amp;$G$18), COUNT(Date_List)-20+$I$18+A21, MATCH("High", Price_Header,0))</f>
        <v>9.18</v>
      </c>
      <c r="E21" s="119">
        <f t="shared" ref="E21:E30" ca="1" si="3">INDEX(INDIRECT("tbl_"&amp;$G$18), COUNT(Date_List)-20+$I$18+A21, MATCH("low", Price_Header,0))</f>
        <v>8.4</v>
      </c>
      <c r="F21" s="119">
        <f t="shared" ref="F21:F30" ca="1" si="4">INDEX(INDIRECT("tbl_"&amp;$G$18), COUNT(Date_List)-20+$I$18+A21, MATCH("Close", Price_Header,0))</f>
        <v>9.09</v>
      </c>
      <c r="G21" s="119">
        <f t="shared" ref="G21:G30" ca="1" si="5">INDEX(INDIRECT("tbl_"&amp;$G$18), COUNT(Date_List)-20+$I$18+A21, MATCH("adj close", Price_Header,0))</f>
        <v>9.09</v>
      </c>
      <c r="H21" s="121">
        <f t="shared" ref="H21:H30" ca="1" si="6">INDEX(INDIRECT("tbl_"&amp;$G$18), COUNT(Date_List)-20+$I$18+A21, MATCH("volume", Price_Header,0))/1000</f>
        <v>3410.3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5">
      <c r="A22" s="114">
        <v>1</v>
      </c>
      <c r="B22" s="116">
        <f t="shared" ca="1" si="0"/>
        <v>44104</v>
      </c>
      <c r="C22" s="119">
        <f t="shared" ca="1" si="1"/>
        <v>9.0500000000000007</v>
      </c>
      <c r="D22" s="119">
        <f t="shared" ca="1" si="2"/>
        <v>9.4499999999999993</v>
      </c>
      <c r="E22" s="119">
        <f t="shared" ca="1" si="3"/>
        <v>8.94</v>
      </c>
      <c r="F22" s="119">
        <f t="shared" ca="1" si="4"/>
        <v>8.9700000000000006</v>
      </c>
      <c r="G22" s="119">
        <f t="shared" ca="1" si="5"/>
        <v>8.9700000000000006</v>
      </c>
      <c r="H22" s="121">
        <f t="shared" ca="1" si="6"/>
        <v>3846.3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5">
      <c r="A23" s="114">
        <v>2</v>
      </c>
      <c r="B23" s="116">
        <f t="shared" ca="1" si="0"/>
        <v>44105</v>
      </c>
      <c r="C23" s="119">
        <f t="shared" ca="1" si="1"/>
        <v>9.25</v>
      </c>
      <c r="D23" s="119">
        <f t="shared" ca="1" si="2"/>
        <v>9.39</v>
      </c>
      <c r="E23" s="119">
        <f t="shared" ca="1" si="3"/>
        <v>8.94</v>
      </c>
      <c r="F23" s="119">
        <f t="shared" ca="1" si="4"/>
        <v>9.0299999999999994</v>
      </c>
      <c r="G23" s="119">
        <f t="shared" ca="1" si="5"/>
        <v>9.0299999999999994</v>
      </c>
      <c r="H23" s="121">
        <f t="shared" ca="1" si="6"/>
        <v>2656.2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5">
      <c r="A24" s="114">
        <v>3</v>
      </c>
      <c r="B24" s="116">
        <f t="shared" ca="1" si="0"/>
        <v>44106</v>
      </c>
      <c r="C24" s="119">
        <f t="shared" ca="1" si="1"/>
        <v>8.6199999999999992</v>
      </c>
      <c r="D24" s="119">
        <f t="shared" ca="1" si="2"/>
        <v>9.75</v>
      </c>
      <c r="E24" s="119">
        <f t="shared" ca="1" si="3"/>
        <v>8.52</v>
      </c>
      <c r="F24" s="119">
        <f t="shared" ca="1" si="4"/>
        <v>9.56</v>
      </c>
      <c r="G24" s="119">
        <f t="shared" ca="1" si="5"/>
        <v>9.56</v>
      </c>
      <c r="H24" s="121">
        <f t="shared" ca="1" si="6"/>
        <v>4410.3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5">
      <c r="A25" s="114">
        <v>4</v>
      </c>
      <c r="B25" s="116">
        <f t="shared" ca="1" si="0"/>
        <v>44109</v>
      </c>
      <c r="C25" s="119">
        <f t="shared" ca="1" si="1"/>
        <v>10.41</v>
      </c>
      <c r="D25" s="119">
        <f t="shared" ca="1" si="2"/>
        <v>11.35</v>
      </c>
      <c r="E25" s="119">
        <f t="shared" ca="1" si="3"/>
        <v>10.37</v>
      </c>
      <c r="F25" s="119">
        <f t="shared" ca="1" si="4"/>
        <v>11.29</v>
      </c>
      <c r="G25" s="119">
        <f t="shared" ca="1" si="5"/>
        <v>11.29</v>
      </c>
      <c r="H25" s="121">
        <f t="shared" ca="1" si="6"/>
        <v>14363.2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5">
      <c r="A26" s="114">
        <v>5</v>
      </c>
      <c r="B26" s="116">
        <f t="shared" ca="1" si="0"/>
        <v>44110</v>
      </c>
      <c r="C26" s="119">
        <f t="shared" ca="1" si="1"/>
        <v>12.03</v>
      </c>
      <c r="D26" s="119">
        <f t="shared" ca="1" si="2"/>
        <v>12.18</v>
      </c>
      <c r="E26" s="119">
        <f t="shared" ca="1" si="3"/>
        <v>11.06</v>
      </c>
      <c r="F26" s="119">
        <f t="shared" ca="1" si="4"/>
        <v>11.42</v>
      </c>
      <c r="G26" s="119">
        <f t="shared" ca="1" si="5"/>
        <v>11.42</v>
      </c>
      <c r="H26" s="121">
        <f t="shared" ca="1" si="6"/>
        <v>19792.599999999999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5">
      <c r="A27" s="114">
        <v>6</v>
      </c>
      <c r="B27" s="116">
        <f t="shared" ca="1" si="0"/>
        <v>44111</v>
      </c>
      <c r="C27" s="119">
        <f t="shared" ca="1" si="1"/>
        <v>11.68</v>
      </c>
      <c r="D27" s="119">
        <f t="shared" ca="1" si="2"/>
        <v>12.22</v>
      </c>
      <c r="E27" s="119">
        <f t="shared" ca="1" si="3"/>
        <v>11.25</v>
      </c>
      <c r="F27" s="119">
        <f t="shared" ca="1" si="4"/>
        <v>11.97</v>
      </c>
      <c r="G27" s="119">
        <f t="shared" ca="1" si="5"/>
        <v>11.97</v>
      </c>
      <c r="H27" s="121">
        <f t="shared" ca="1" si="6"/>
        <v>8866.7000000000007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5">
      <c r="A28" s="114">
        <v>7</v>
      </c>
      <c r="B28" s="116">
        <f t="shared" ca="1" si="0"/>
        <v>44112</v>
      </c>
      <c r="C28" s="119">
        <f t="shared" ca="1" si="1"/>
        <v>12.29</v>
      </c>
      <c r="D28" s="119">
        <f t="shared" ca="1" si="2"/>
        <v>12.53</v>
      </c>
      <c r="E28" s="119">
        <f t="shared" ca="1" si="3"/>
        <v>11.43</v>
      </c>
      <c r="F28" s="119">
        <f t="shared" ca="1" si="4"/>
        <v>11.72</v>
      </c>
      <c r="G28" s="119">
        <f t="shared" ca="1" si="5"/>
        <v>11.72</v>
      </c>
      <c r="H28" s="121">
        <f t="shared" ca="1" si="6"/>
        <v>9164.5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5">
      <c r="A29" s="114">
        <v>8</v>
      </c>
      <c r="B29" s="116">
        <f t="shared" ca="1" si="0"/>
        <v>44113</v>
      </c>
      <c r="C29" s="119">
        <f t="shared" ca="1" si="1"/>
        <v>11.74</v>
      </c>
      <c r="D29" s="119">
        <f t="shared" ca="1" si="2"/>
        <v>12</v>
      </c>
      <c r="E29" s="119">
        <f t="shared" ca="1" si="3"/>
        <v>11.05</v>
      </c>
      <c r="F29" s="119">
        <f t="shared" ca="1" si="4"/>
        <v>11.43</v>
      </c>
      <c r="G29" s="119">
        <f t="shared" ca="1" si="5"/>
        <v>11.43</v>
      </c>
      <c r="H29" s="121">
        <f t="shared" ca="1" si="6"/>
        <v>3970.5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4" thickBot="1" x14ac:dyDescent="0.3">
      <c r="A30" s="114">
        <v>9</v>
      </c>
      <c r="B30" s="117">
        <f t="shared" ca="1" si="0"/>
        <v>44116</v>
      </c>
      <c r="C30" s="120">
        <f t="shared" ca="1" si="1"/>
        <v>11.46</v>
      </c>
      <c r="D30" s="120">
        <f t="shared" ca="1" si="2"/>
        <v>11.55</v>
      </c>
      <c r="E30" s="120">
        <f t="shared" ca="1" si="3"/>
        <v>10.8</v>
      </c>
      <c r="F30" s="120">
        <f t="shared" ca="1" si="4"/>
        <v>11.07</v>
      </c>
      <c r="G30" s="120">
        <f t="shared" ca="1" si="5"/>
        <v>11.07</v>
      </c>
      <c r="H30" s="122">
        <f t="shared" ca="1" si="6"/>
        <v>5892.4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7.5" x14ac:dyDescent="0.3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5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5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5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5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5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5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5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5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5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5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5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5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4" thickBot="1" x14ac:dyDescent="0.3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 xr:uid="{00000000-0002-0000-1300-000000000000}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12700</xdr:colOff>
                    <xdr:row>18</xdr:row>
                    <xdr:rowOff>165100</xdr:rowOff>
                  </from>
                  <to>
                    <xdr:col>8</xdr:col>
                    <xdr:colOff>114300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184150</xdr:colOff>
                    <xdr:row>13</xdr:row>
                    <xdr:rowOff>57150</xdr:rowOff>
                  </from>
                  <to>
                    <xdr:col>20</xdr:col>
                    <xdr:colOff>203200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AK31"/>
  <sheetViews>
    <sheetView topLeftCell="V1" workbookViewId="0">
      <selection activeCell="AG5" sqref="AG5"/>
    </sheetView>
  </sheetViews>
  <sheetFormatPr defaultRowHeight="14.5" x14ac:dyDescent="0.35"/>
  <cols>
    <col min="4" max="4" width="14.7265625" customWidth="1"/>
    <col min="5" max="5" width="12.26953125" customWidth="1"/>
    <col min="11" max="11" width="11.1796875" customWidth="1"/>
    <col min="12" max="12" width="11.54296875" customWidth="1"/>
    <col min="20" max="20" width="10.7265625" customWidth="1"/>
    <col min="22" max="22" width="12.81640625" customWidth="1"/>
    <col min="30" max="30" width="10.7265625" customWidth="1"/>
    <col min="33" max="33" width="9.7265625" bestFit="1" customWidth="1"/>
    <col min="34" max="34" width="12" customWidth="1"/>
    <col min="35" max="35" width="15.7265625" customWidth="1"/>
    <col min="36" max="36" width="12.54296875" bestFit="1" customWidth="1"/>
  </cols>
  <sheetData>
    <row r="1" spans="2:37" x14ac:dyDescent="0.35">
      <c r="R1" s="21"/>
    </row>
    <row r="2" spans="2:37" x14ac:dyDescent="0.35">
      <c r="B2" s="51" t="s">
        <v>212</v>
      </c>
      <c r="J2" s="51" t="s">
        <v>213</v>
      </c>
      <c r="T2" t="s">
        <v>183</v>
      </c>
      <c r="U2" s="51" t="str">
        <f>Dashboard!G18</f>
        <v>LTHM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" thickBot="1" x14ac:dyDescent="0.4">
      <c r="R3" s="21"/>
    </row>
    <row r="4" spans="2:37" ht="15" thickBot="1" x14ac:dyDescent="0.4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3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115.05</v>
      </c>
      <c r="E5">
        <f>INDEX(tbl_position[], COUNT(tbl_position[Date]), MATCH("Shares_"&amp;C5, pos_header,0))</f>
        <v>0</v>
      </c>
      <c r="F5">
        <f ca="1">tbl_holdings[[#This Row],[Current Price]]*tbl_holdings[[#This Row],['# Holdings]]</f>
        <v>0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44111</v>
      </c>
      <c r="U5" s="63">
        <f ca="1">INDEX(INDIRECT("tbl_"&amp;$U$2), COUNT(Date_List)-$W$2+$S5, MATCH("Adj Close", Price_Header,0))</f>
        <v>11.97</v>
      </c>
      <c r="V5" s="19">
        <f t="shared" ref="V5:V18" ca="1" si="1">INDEX(INDIRECT("tbl_"&amp;$U$2), COUNT(Date_List)-$W$2+$S5, MATCH("volume", Price_Header,0))/1000</f>
        <v>8866.7000000000007</v>
      </c>
      <c r="W5" s="63">
        <f t="shared" ref="W5:W18" ca="1" si="2">INDEX(INDIRECT("tbl_"&amp;$U$2), COUNT(Date_List)-$W$2+$S5, MATCH("EMA", Price_Header,0))</f>
        <v>9.4317367135789087</v>
      </c>
      <c r="X5" s="64">
        <f t="shared" ref="X5:X18" ca="1" si="3">INDEX(INDIRECT("tbl_"&amp;$U$2), COUNT(Date_List)-$W$2+$S5, MATCH("RSI", Price_Header,0))</f>
        <v>74.193548387096783</v>
      </c>
      <c r="Y5" s="63">
        <f t="shared" ref="Y5:Y18" ca="1" si="4">INDEX(INDIRECT("tbl_"&amp;$U$2), COUNT(Date_List)-$W$2+$S5, MATCH("BB_Mean", Price_Header,0))</f>
        <v>9.1892857142857167</v>
      </c>
      <c r="Z5" s="63">
        <f t="shared" ref="Z5:Z18" ca="1" si="5">INDEX(INDIRECT("tbl_"&amp;$U$2), COUNT(Date_List)-$W$2+$S5, MATCH("BB_upper", Price_Header,0))</f>
        <v>12.013265059227745</v>
      </c>
      <c r="AA5" s="63">
        <f t="shared" ref="AA5:AA18" ca="1" si="6">INDEX(INDIRECT("tbl_"&amp;$U$2), COUNT(Date_List)-$W$2+$S5, MATCH("BB_lower", Price_Header,0))</f>
        <v>6.3653063693436884</v>
      </c>
      <c r="AB5" s="19" t="str">
        <f ca="1">TEXT(T5, "mm/dd")</f>
        <v>10/07</v>
      </c>
      <c r="AC5" s="19">
        <v>70</v>
      </c>
      <c r="AD5" s="20">
        <v>30</v>
      </c>
      <c r="AG5">
        <f>0+Dashboard!V3</f>
        <v>27</v>
      </c>
      <c r="AH5" s="8">
        <f>IF(AG5=0, DATE(2020, 9, 9),INDEX(tbl_position[], AG5, MATCH("DATE", pos_header, 0)))</f>
        <v>44120</v>
      </c>
      <c r="AI5" s="126">
        <f ca="1">IF(AG5=0, 100000, INDEX(tbl_position[Total_Net_Asset], AG5))</f>
        <v>103720.199549</v>
      </c>
      <c r="AJ5" s="126">
        <f>IF(AG5=0, 100000, INDEX(tbl_position[Cash_Holding], AG5))</f>
        <v>24282.709999999992</v>
      </c>
      <c r="AK5" t="str">
        <f>TEXT(AH5, "mm/dd")</f>
        <v>10/16</v>
      </c>
    </row>
    <row r="6" spans="2:37" x14ac:dyDescent="0.3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26.26</v>
      </c>
      <c r="E6">
        <f>INDEX(tbl_position[], COUNT(tbl_position[Date]), MATCH("Shares_"&amp;C6, pos_header,0))</f>
        <v>0</v>
      </c>
      <c r="F6">
        <f ca="1">tbl_holdings[[#This Row],[Current Price]]*tbl_holdings[[#This Row],['# Holdings]]</f>
        <v>0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ca="1">INDEX(INDIRECT("tbl_"&amp;$U$2), COUNT(Date_List)-$W$2+$S6, 1)</f>
        <v>44112</v>
      </c>
      <c r="U6" s="53">
        <f t="shared" ref="U6:U18" ca="1" si="8">INDEX(INDIRECT("tbl_"&amp;$U$2), COUNT(Date_List)-$W$2+$S6, MATCH("Adj Close", Price_Header,0))</f>
        <v>11.72</v>
      </c>
      <c r="V6" s="21">
        <f t="shared" ca="1" si="1"/>
        <v>9164.5</v>
      </c>
      <c r="W6" s="53">
        <f t="shared" ca="1" si="2"/>
        <v>9.6605630422210176</v>
      </c>
      <c r="X6" s="54">
        <f t="shared" ca="1" si="3"/>
        <v>70.957613814756684</v>
      </c>
      <c r="Y6" s="53">
        <f t="shared" ca="1" si="4"/>
        <v>9.3800000000000008</v>
      </c>
      <c r="Z6" s="53">
        <f t="shared" ca="1" si="5"/>
        <v>12.507751711570254</v>
      </c>
      <c r="AA6" s="53">
        <f t="shared" ca="1" si="6"/>
        <v>6.2522482884297483</v>
      </c>
      <c r="AB6" s="21" t="str">
        <f t="shared" ref="AB6:AB18" ca="1" si="9">TEXT(T6, "mm/dd")</f>
        <v>10/08</v>
      </c>
      <c r="AC6" s="21">
        <v>70</v>
      </c>
      <c r="AD6" s="15">
        <v>30</v>
      </c>
      <c r="AG6" s="47">
        <f>1+Dashboard!V3</f>
        <v>28</v>
      </c>
      <c r="AH6" s="8">
        <f>IF(AG6=0, DATE(2020, 9, 9),INDEX(tbl_position[], AG6, MATCH("DATE", pos_header, 0)))</f>
        <v>44123</v>
      </c>
      <c r="AI6" s="126">
        <f ca="1">IF(AG6=0, 100000, INDEX(tbl_position[Total_Net_Asset], AG6))</f>
        <v>102875.58979899999</v>
      </c>
      <c r="AJ6" s="126">
        <f>IF(AG6=0, 100000, INDEX(tbl_position[Cash_Holding], AG6))</f>
        <v>26991.709999999992</v>
      </c>
      <c r="AK6" t="str">
        <f>TEXT(AH6, "mm/dd")</f>
        <v>10/19</v>
      </c>
    </row>
    <row r="7" spans="2:37" x14ac:dyDescent="0.35">
      <c r="B7">
        <v>3</v>
      </c>
      <c r="C7" t="str">
        <f t="shared" si="0"/>
        <v>FDX</v>
      </c>
      <c r="D7">
        <f t="shared" ca="1" si="7"/>
        <v>277.62</v>
      </c>
      <c r="E7">
        <f>INDEX(tbl_position[], COUNT(tbl_position[Date]), MATCH("Shares_"&amp;C7, pos_header,0))</f>
        <v>50</v>
      </c>
      <c r="F7">
        <f ca="1">tbl_holdings[[#This Row],[Current Price]]*tbl_holdings[[#This Row],['# Holdings]]</f>
        <v>13881</v>
      </c>
      <c r="J7">
        <v>3</v>
      </c>
      <c r="K7" s="8">
        <f t="shared" ref="K7:K10" si="10">K6+7</f>
        <v>44097</v>
      </c>
      <c r="L7" s="8">
        <f t="shared" ref="L7:L10" si="11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11844.4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15616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ref="T7:T18" ca="1" si="12">INDEX(INDIRECT("tbl_"&amp;$U$2), COUNT(Date_List)-$W$2+$S7, 1)</f>
        <v>44113</v>
      </c>
      <c r="U7" s="53">
        <f t="shared" ca="1" si="8"/>
        <v>11.43</v>
      </c>
      <c r="V7" s="21">
        <f t="shared" ca="1" si="1"/>
        <v>3970.5</v>
      </c>
      <c r="W7" s="53">
        <f t="shared" ca="1" si="2"/>
        <v>9.8375067379989147</v>
      </c>
      <c r="X7" s="54">
        <f t="shared" ca="1" si="3"/>
        <v>75.459098497495816</v>
      </c>
      <c r="Y7" s="53">
        <f t="shared" ca="1" si="4"/>
        <v>9.5978571428571424</v>
      </c>
      <c r="Z7" s="53">
        <f t="shared" ca="1" si="5"/>
        <v>12.848051727057419</v>
      </c>
      <c r="AA7" s="53">
        <f t="shared" ca="1" si="6"/>
        <v>6.3476625586568662</v>
      </c>
      <c r="AB7" s="21" t="str">
        <f t="shared" ca="1" si="9"/>
        <v>10/09</v>
      </c>
      <c r="AC7" s="21">
        <v>70</v>
      </c>
      <c r="AD7" s="15">
        <v>30</v>
      </c>
      <c r="AG7" s="47">
        <f>2+Dashboard!V3</f>
        <v>29</v>
      </c>
      <c r="AH7" s="8">
        <f>IF(AG7=0, DATE(2020, 9, 9),INDEX(tbl_position[], AG7, MATCH("DATE", pos_header, 0)))</f>
        <v>44124</v>
      </c>
      <c r="AI7" s="126">
        <f ca="1">IF(AG7=0, 100000, INDEX(tbl_position[Total_Net_Asset], AG7))</f>
        <v>102475.49</v>
      </c>
      <c r="AJ7" s="126">
        <f>IF(AG7=0, 100000, INDEX(tbl_position[Cash_Holding], AG7))</f>
        <v>26991.709999999992</v>
      </c>
      <c r="AK7" t="str">
        <f>TEXT(AH7, "mm/dd")</f>
        <v>10/20</v>
      </c>
    </row>
    <row r="8" spans="2:37" x14ac:dyDescent="0.35">
      <c r="B8">
        <v>4</v>
      </c>
      <c r="C8" t="str">
        <f t="shared" si="0"/>
        <v>HD</v>
      </c>
      <c r="D8">
        <f t="shared" ca="1" si="7"/>
        <v>276.04000000000002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13802.000000000002</v>
      </c>
      <c r="J8">
        <v>4</v>
      </c>
      <c r="K8" s="8">
        <f t="shared" si="10"/>
        <v>44104</v>
      </c>
      <c r="L8" s="8">
        <f t="shared" si="11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12"/>
        <v>44116</v>
      </c>
      <c r="U8" s="53">
        <f t="shared" ca="1" si="8"/>
        <v>11.07</v>
      </c>
      <c r="V8" s="21">
        <f t="shared" ca="1" si="1"/>
        <v>5892.4</v>
      </c>
      <c r="W8" s="53">
        <f t="shared" ca="1" si="2"/>
        <v>9.9607560641990229</v>
      </c>
      <c r="X8" s="54">
        <f t="shared" ca="1" si="3"/>
        <v>71.860095389507165</v>
      </c>
      <c r="Y8" s="53">
        <f t="shared" ca="1" si="4"/>
        <v>9.7942857142857118</v>
      </c>
      <c r="Z8" s="53">
        <f t="shared" ca="1" si="5"/>
        <v>13.044201351398755</v>
      </c>
      <c r="AA8" s="53">
        <f t="shared" ca="1" si="6"/>
        <v>6.5443700771726698</v>
      </c>
      <c r="AB8" s="21" t="str">
        <f t="shared" ca="1" si="9"/>
        <v>10/12</v>
      </c>
      <c r="AC8" s="21">
        <v>70</v>
      </c>
      <c r="AD8" s="15">
        <v>30</v>
      </c>
      <c r="AG8" s="47">
        <f>3+Dashboard!V3</f>
        <v>30</v>
      </c>
      <c r="AH8" s="8">
        <f>IF(AG8=0, DATE(2020, 9, 9),INDEX(tbl_position[], AG8, MATCH("DATE", pos_header, 0)))</f>
        <v>44125</v>
      </c>
      <c r="AI8" s="126">
        <f ca="1">IF(AG8=0, 100000, INDEX(tbl_position[Total_Net_Asset], AG8))</f>
        <v>101644.92</v>
      </c>
      <c r="AJ8" s="126">
        <f>IF(AG8=0, 100000, INDEX(tbl_position[Cash_Holding], AG8))</f>
        <v>10525.979999999992</v>
      </c>
      <c r="AK8" t="str">
        <f t="shared" ref="AK8:AK22" si="13">TEXT(AH8, "mm/dd")</f>
        <v>10/21</v>
      </c>
    </row>
    <row r="9" spans="2:37" x14ac:dyDescent="0.35">
      <c r="B9">
        <v>5</v>
      </c>
      <c r="C9" t="str">
        <f t="shared" si="0"/>
        <v>IBM</v>
      </c>
      <c r="D9">
        <f t="shared" ca="1" si="7"/>
        <v>112.22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11222</v>
      </c>
      <c r="J9">
        <v>5</v>
      </c>
      <c r="K9" s="8">
        <f t="shared" si="10"/>
        <v>44111</v>
      </c>
      <c r="L9" s="8">
        <f t="shared" si="11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31651.430000000004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6343.04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19751</v>
      </c>
      <c r="S9" s="14">
        <v>5</v>
      </c>
      <c r="T9" s="52">
        <f t="shared" ca="1" si="12"/>
        <v>44117</v>
      </c>
      <c r="U9" s="53">
        <f t="shared" ca="1" si="8"/>
        <v>11.01</v>
      </c>
      <c r="V9" s="21">
        <f t="shared" ca="1" si="1"/>
        <v>3014.9</v>
      </c>
      <c r="W9" s="53">
        <f t="shared" ca="1" si="2"/>
        <v>10.06568045777912</v>
      </c>
      <c r="X9" s="54">
        <f t="shared" ca="1" si="3"/>
        <v>80.714285714285708</v>
      </c>
      <c r="Y9" s="53">
        <f t="shared" ca="1" si="4"/>
        <v>10.039999999999997</v>
      </c>
      <c r="Z9" s="53">
        <f t="shared" ca="1" si="5"/>
        <v>13.078805433313997</v>
      </c>
      <c r="AA9" s="53">
        <f t="shared" ca="1" si="6"/>
        <v>7.0011945666859976</v>
      </c>
      <c r="AB9" s="21" t="str">
        <f t="shared" ca="1" si="9"/>
        <v>10/13</v>
      </c>
      <c r="AC9" s="21">
        <v>70</v>
      </c>
      <c r="AD9" s="15">
        <v>30</v>
      </c>
      <c r="AG9" s="47">
        <f>4+Dashboard!V3</f>
        <v>31</v>
      </c>
      <c r="AH9" s="8">
        <f>IF(AG9=0, DATE(2020, 9, 9),INDEX(tbl_position[], AG9, MATCH("DATE", pos_header, 0)))</f>
        <v>44126</v>
      </c>
      <c r="AI9" s="126">
        <f ca="1">IF(AG9=0, 100000, INDEX(tbl_position[Total_Net_Asset], AG9))</f>
        <v>101396.58</v>
      </c>
      <c r="AJ9" s="126">
        <f>IF(AG9=0, 100000, INDEX(tbl_position[Cash_Holding], AG9))</f>
        <v>10525.979999999992</v>
      </c>
      <c r="AK9" t="str">
        <f t="shared" si="13"/>
        <v>10/22</v>
      </c>
    </row>
    <row r="10" spans="2:37" x14ac:dyDescent="0.35">
      <c r="B10">
        <v>6</v>
      </c>
      <c r="C10" t="str">
        <f t="shared" si="0"/>
        <v>NKLA</v>
      </c>
      <c r="D10">
        <f t="shared" ca="1" si="7"/>
        <v>20.91</v>
      </c>
      <c r="E10">
        <f>INDEX(tbl_position[], COUNT(tbl_position[Date]), MATCH("Shares_"&amp;C10, pos_header,0))</f>
        <v>0</v>
      </c>
      <c r="F10">
        <f ca="1">tbl_holdings[[#This Row],[Current Price]]*tbl_holdings[[#This Row],['# Holdings]]</f>
        <v>0</v>
      </c>
      <c r="J10">
        <v>6</v>
      </c>
      <c r="K10" s="8">
        <f t="shared" si="10"/>
        <v>44118</v>
      </c>
      <c r="L10" s="8">
        <f t="shared" si="11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27.09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2736.09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12"/>
        <v>44118</v>
      </c>
      <c r="U10" s="53">
        <f t="shared" ca="1" si="8"/>
        <v>11</v>
      </c>
      <c r="V10" s="21">
        <f t="shared" ca="1" si="1"/>
        <v>2198.1999999999998</v>
      </c>
      <c r="W10" s="53">
        <f t="shared" ca="1" si="2"/>
        <v>10.159112412001209</v>
      </c>
      <c r="X10" s="54">
        <f t="shared" ca="1" si="3"/>
        <v>80.109489051094897</v>
      </c>
      <c r="Y10" s="53">
        <f t="shared" ca="1" si="4"/>
        <v>10.275714285714285</v>
      </c>
      <c r="Z10" s="53">
        <f t="shared" ca="1" si="5"/>
        <v>13.031393336867952</v>
      </c>
      <c r="AA10" s="53">
        <f t="shared" ca="1" si="6"/>
        <v>7.5200352345606181</v>
      </c>
      <c r="AB10" s="21" t="str">
        <f t="shared" ca="1" si="9"/>
        <v>10/14</v>
      </c>
      <c r="AC10" s="21">
        <v>70</v>
      </c>
      <c r="AD10" s="15">
        <v>30</v>
      </c>
      <c r="AG10" s="47">
        <f>5+Dashboard!V3</f>
        <v>32</v>
      </c>
      <c r="AH10" s="8">
        <f>IF(AG10=0, DATE(2020, 9, 9),INDEX(tbl_position[], AG10, MATCH("DATE", pos_header, 0)))</f>
        <v>44127</v>
      </c>
      <c r="AI10" s="126">
        <f ca="1">IF(AG10=0, 100000, INDEX(tbl_position[Total_Net_Asset], AG10))</f>
        <v>102035.44</v>
      </c>
      <c r="AJ10" s="126">
        <f>IF(AG10=0, 100000, INDEX(tbl_position[Cash_Holding], AG10))</f>
        <v>15421.979999999992</v>
      </c>
      <c r="AK10" t="str">
        <f t="shared" si="13"/>
        <v>10/23</v>
      </c>
    </row>
    <row r="11" spans="2:37" x14ac:dyDescent="0.35">
      <c r="B11">
        <v>7</v>
      </c>
      <c r="C11" t="str">
        <f t="shared" ref="C11:C16" si="14">INDEX(Symbol,B11)</f>
        <v>ORCL</v>
      </c>
      <c r="D11">
        <f t="shared" ref="D11:D16" ca="1" si="15">INDEX(INDIRECT("tbl_"&amp;C11),COUNT(INDIRECT("tbl_"&amp;C11&amp;"[Date]")), MATCH("Adj close", Price_Header,0))</f>
        <v>57.49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J11">
        <v>7</v>
      </c>
      <c r="K11" s="8">
        <f>K10+7</f>
        <v>44125</v>
      </c>
      <c r="L11" s="8">
        <f>L10+7</f>
        <v>44131</v>
      </c>
      <c r="M11" s="61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16465.73</v>
      </c>
      <c r="N11" s="61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4896</v>
      </c>
      <c r="O11" s="61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11850</v>
      </c>
      <c r="P11" s="61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1" s="14">
        <v>7</v>
      </c>
      <c r="T11" s="52">
        <f t="shared" ca="1" si="12"/>
        <v>44119</v>
      </c>
      <c r="U11" s="53">
        <f t="shared" ca="1" si="8"/>
        <v>10.97</v>
      </c>
      <c r="V11" s="21">
        <f t="shared" ca="1" si="1"/>
        <v>1741.2</v>
      </c>
      <c r="W11" s="53">
        <f t="shared" ca="1" si="2"/>
        <v>10.240201170801088</v>
      </c>
      <c r="X11" s="54">
        <f t="shared" ca="1" si="3"/>
        <v>78.986866791744859</v>
      </c>
      <c r="Y11" s="53">
        <f t="shared" ca="1" si="4"/>
        <v>10.496428571428572</v>
      </c>
      <c r="Z11" s="53">
        <f t="shared" ca="1" si="5"/>
        <v>12.89773087377467</v>
      </c>
      <c r="AA11" s="53">
        <f t="shared" ca="1" si="6"/>
        <v>8.0951262690824741</v>
      </c>
      <c r="AB11" s="21" t="str">
        <f t="shared" ca="1" si="9"/>
        <v>10/15</v>
      </c>
      <c r="AC11" s="21">
        <v>70</v>
      </c>
      <c r="AD11" s="15">
        <v>30</v>
      </c>
      <c r="AG11" s="47">
        <f>6+Dashboard!V3</f>
        <v>33</v>
      </c>
      <c r="AH11" s="8">
        <f>IF(AG11=0, DATE(2020, 9, 9),INDEX(tbl_position[], AG11, MATCH("DATE", pos_header, 0)))</f>
        <v>44130</v>
      </c>
      <c r="AI11" s="126">
        <f ca="1">IF(AG11=0, 100000, INDEX(tbl_position[Total_Net_Asset], AG11))</f>
        <v>100319.14</v>
      </c>
      <c r="AJ11" s="126">
        <f>IF(AG11=0, 100000, INDEX(tbl_position[Cash_Holding], AG11))</f>
        <v>15421.979999999992</v>
      </c>
      <c r="AK11" t="str">
        <f t="shared" si="13"/>
        <v>10/26</v>
      </c>
    </row>
    <row r="12" spans="2:37" x14ac:dyDescent="0.35">
      <c r="B12">
        <v>8</v>
      </c>
      <c r="C12" t="str">
        <f t="shared" si="14"/>
        <v>RIOT</v>
      </c>
      <c r="D12">
        <f t="shared" ca="1" si="15"/>
        <v>3.85</v>
      </c>
      <c r="E12">
        <f>INDEX(tbl_position[], COUNT(tbl_position[Date]), MATCH("Shares_"&amp;C12, pos_header,0))</f>
        <v>3000</v>
      </c>
      <c r="F12">
        <f ca="1">tbl_holdings[[#This Row],[Current Price]]*tbl_holdings[[#This Row],['# Holdings]]</f>
        <v>11550</v>
      </c>
      <c r="K12" s="8"/>
      <c r="L12" s="8"/>
      <c r="S12" s="14">
        <v>8</v>
      </c>
      <c r="T12" s="52">
        <f t="shared" ca="1" si="12"/>
        <v>44120</v>
      </c>
      <c r="U12" s="53">
        <f t="shared" ca="1" si="8"/>
        <v>10.210000000000001</v>
      </c>
      <c r="V12" s="21">
        <f t="shared" ca="1" si="1"/>
        <v>3561.9</v>
      </c>
      <c r="W12" s="53">
        <f t="shared" ca="1" si="2"/>
        <v>10.237181053720978</v>
      </c>
      <c r="X12" s="54">
        <f t="shared" ca="1" si="3"/>
        <v>66.126126126126138</v>
      </c>
      <c r="Y12" s="53">
        <f t="shared" ca="1" si="4"/>
        <v>10.624285714285717</v>
      </c>
      <c r="Z12" s="53">
        <f t="shared" ca="1" si="5"/>
        <v>12.720578622264933</v>
      </c>
      <c r="AA12" s="53">
        <f t="shared" ca="1" si="6"/>
        <v>8.5279928063065018</v>
      </c>
      <c r="AB12" s="21" t="str">
        <f t="shared" ca="1" si="9"/>
        <v>10/16</v>
      </c>
      <c r="AC12" s="21">
        <v>70</v>
      </c>
      <c r="AD12" s="15">
        <v>30</v>
      </c>
      <c r="AG12" s="135">
        <v>12</v>
      </c>
      <c r="AH12" s="136">
        <f>IF(AG12=0, DATE(2020, 9, 9),INDEX(tbl_position[], AG12, MATCH("DATE", pos_header, 0)))</f>
        <v>44099</v>
      </c>
      <c r="AI12" s="137">
        <f>IF(AG12=0, 100000, INDEX(tbl_position[Total_Net_Asset], AG12))</f>
        <v>34319.399999999994</v>
      </c>
      <c r="AJ12" s="137">
        <f>IF(AG12=0, 100000, INDEX(tbl_position[Cash_Holding], AG12))</f>
        <v>43897.299999999996</v>
      </c>
      <c r="AK12" s="138" t="str">
        <f t="shared" si="13"/>
        <v>09/25</v>
      </c>
    </row>
    <row r="13" spans="2:37" x14ac:dyDescent="0.35">
      <c r="B13">
        <v>9</v>
      </c>
      <c r="C13" t="str">
        <f t="shared" si="14"/>
        <v>SPXS</v>
      </c>
      <c r="D13">
        <f t="shared" ca="1" si="15"/>
        <v>5.46</v>
      </c>
      <c r="E13">
        <f>INDEX(tbl_position[], COUNT(tbl_position[Date]), MATCH("Shares_"&amp;C13, pos_header,0))</f>
        <v>0</v>
      </c>
      <c r="F13">
        <f ca="1">tbl_holdings[[#This Row],[Current Price]]*tbl_holdings[[#This Row],['# Holdings]]</f>
        <v>0</v>
      </c>
      <c r="K13" s="8"/>
      <c r="L13" s="8"/>
      <c r="S13" s="14">
        <v>9</v>
      </c>
      <c r="T13" s="52">
        <f t="shared" ca="1" si="12"/>
        <v>44123</v>
      </c>
      <c r="U13" s="53">
        <f t="shared" ca="1" si="8"/>
        <v>10.15</v>
      </c>
      <c r="V13" s="21">
        <f t="shared" ca="1" si="1"/>
        <v>3203.9</v>
      </c>
      <c r="W13" s="53">
        <f t="shared" ca="1" si="2"/>
        <v>10.228462948348881</v>
      </c>
      <c r="X13" s="54">
        <f t="shared" ca="1" si="3"/>
        <v>60.728744939271259</v>
      </c>
      <c r="Y13" s="53">
        <f t="shared" ca="1" si="4"/>
        <v>10.700000000000003</v>
      </c>
      <c r="Z13" s="53">
        <f t="shared" ca="1" si="5"/>
        <v>12.627341732502611</v>
      </c>
      <c r="AA13" s="53">
        <f t="shared" ca="1" si="6"/>
        <v>8.7726582674973947</v>
      </c>
      <c r="AB13" s="21" t="str">
        <f t="shared" ca="1" si="9"/>
        <v>10/19</v>
      </c>
      <c r="AC13" s="21">
        <v>70</v>
      </c>
      <c r="AD13" s="15">
        <v>30</v>
      </c>
      <c r="AG13" s="135">
        <v>13</v>
      </c>
      <c r="AH13" s="136">
        <f>IF(AG13=0, DATE(2020, 9, 9),INDEX(tbl_position[], AG13, MATCH("DATE", pos_header, 0)))</f>
        <v>44102</v>
      </c>
      <c r="AI13" s="137">
        <f>IF(AG13=0, 100000, INDEX(tbl_position[Total_Net_Asset], AG13))</f>
        <v>34382.19999999999</v>
      </c>
      <c r="AJ13" s="137">
        <f>IF(AG13=0, 100000, INDEX(tbl_position[Cash_Holding], AG13))</f>
        <v>49591.099999999991</v>
      </c>
      <c r="AK13" s="138" t="str">
        <f t="shared" si="13"/>
        <v>09/28</v>
      </c>
    </row>
    <row r="14" spans="2:37" x14ac:dyDescent="0.35">
      <c r="B14">
        <v>10</v>
      </c>
      <c r="C14" t="str">
        <f t="shared" si="14"/>
        <v>WMT</v>
      </c>
      <c r="D14">
        <f t="shared" ca="1" si="15"/>
        <v>142.16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12"/>
        <v>44124</v>
      </c>
      <c r="U14" s="53">
        <f t="shared" ca="1" si="8"/>
        <v>10.39</v>
      </c>
      <c r="V14" s="21">
        <f t="shared" ca="1" si="1"/>
        <v>3633</v>
      </c>
      <c r="W14" s="53">
        <f t="shared" ca="1" si="2"/>
        <v>10.244616653513992</v>
      </c>
      <c r="X14" s="54">
        <f t="shared" ca="1" si="3"/>
        <v>64.031620553359687</v>
      </c>
      <c r="Y14" s="53">
        <f t="shared" ca="1" si="4"/>
        <v>10.80142857142857</v>
      </c>
      <c r="Z14" s="53">
        <f t="shared" ca="1" si="5"/>
        <v>12.468463842023224</v>
      </c>
      <c r="AA14" s="53">
        <f t="shared" ca="1" si="6"/>
        <v>9.1343933008339153</v>
      </c>
      <c r="AB14" s="21" t="str">
        <f t="shared" ca="1" si="9"/>
        <v>10/20</v>
      </c>
      <c r="AC14" s="21">
        <v>70</v>
      </c>
      <c r="AD14" s="15">
        <v>30</v>
      </c>
      <c r="AG14" s="135">
        <v>14</v>
      </c>
      <c r="AH14" s="136">
        <f>IF(AG14=0, DATE(2020, 9, 9),INDEX(tbl_position[], AG14, MATCH("DATE", pos_header, 0)))</f>
        <v>44103</v>
      </c>
      <c r="AI14" s="137">
        <f>IF(AG14=0, 100000, INDEX(tbl_position[Total_Net_Asset], AG14))</f>
        <v>34382.19999999999</v>
      </c>
      <c r="AJ14" s="137">
        <f>IF(AG14=0, 100000, INDEX(tbl_position[Cash_Holding], AG14))</f>
        <v>49591.099999999991</v>
      </c>
      <c r="AK14" s="138" t="str">
        <f t="shared" si="13"/>
        <v>09/29</v>
      </c>
    </row>
    <row r="15" spans="2:37" x14ac:dyDescent="0.35">
      <c r="B15">
        <v>11</v>
      </c>
      <c r="C15" t="str">
        <f t="shared" si="14"/>
        <v>AMD</v>
      </c>
      <c r="D15">
        <f t="shared" ca="1" si="15"/>
        <v>82.23</v>
      </c>
      <c r="E15">
        <f>INDEX(tbl_position[], COUNT(tbl_position[Date]), MATCH("Shares_"&amp;C15, pos_header,0))</f>
        <v>150</v>
      </c>
      <c r="F15" s="61">
        <f ca="1">tbl_holdings[[#This Row],[Current Price]]*tbl_holdings[[#This Row],['# Holdings]]</f>
        <v>12334.5</v>
      </c>
      <c r="S15" s="14">
        <v>11</v>
      </c>
      <c r="T15" s="52">
        <f t="shared" ca="1" si="12"/>
        <v>44125</v>
      </c>
      <c r="U15" s="53">
        <f t="shared" ca="1" si="8"/>
        <v>10.97</v>
      </c>
      <c r="V15" s="21">
        <f t="shared" ca="1" si="1"/>
        <v>4132.5</v>
      </c>
      <c r="W15" s="53">
        <f t="shared" ca="1" si="2"/>
        <v>10.317154988162592</v>
      </c>
      <c r="X15" s="54">
        <f t="shared" ca="1" si="3"/>
        <v>67.383512544802869</v>
      </c>
      <c r="Y15" s="53">
        <f t="shared" ca="1" si="4"/>
        <v>10.94</v>
      </c>
      <c r="Z15" s="53">
        <f t="shared" ca="1" si="5"/>
        <v>12.258903973876677</v>
      </c>
      <c r="AA15" s="53">
        <f t="shared" ca="1" si="6"/>
        <v>9.6210960261233218</v>
      </c>
      <c r="AB15" s="21" t="str">
        <f t="shared" ca="1" si="9"/>
        <v>10/21</v>
      </c>
      <c r="AC15" s="21">
        <v>70</v>
      </c>
      <c r="AD15" s="15">
        <v>30</v>
      </c>
      <c r="AG15" s="135">
        <v>15</v>
      </c>
      <c r="AH15" s="136">
        <f>IF(AG15=0, DATE(2020, 9, 9),INDEX(tbl_position[], AG15, MATCH("DATE", pos_header, 0)))</f>
        <v>44104</v>
      </c>
      <c r="AI15" s="137">
        <f>IF(AG15=0, 100000, INDEX(tbl_position[Total_Net_Asset], AG15))</f>
        <v>34382.19999999999</v>
      </c>
      <c r="AJ15" s="137">
        <f>IF(AG15=0, 100000, INDEX(tbl_position[Cash_Holding], AG15))</f>
        <v>49591.099999999991</v>
      </c>
      <c r="AK15" s="138" t="str">
        <f t="shared" si="13"/>
        <v>09/30</v>
      </c>
    </row>
    <row r="16" spans="2:37" x14ac:dyDescent="0.35">
      <c r="B16">
        <v>12</v>
      </c>
      <c r="C16" t="str">
        <f t="shared" si="14"/>
        <v>CVX</v>
      </c>
      <c r="D16">
        <f t="shared" ca="1" si="15"/>
        <v>70.94</v>
      </c>
      <c r="E16">
        <f>INDEX(tbl_position[], COUNT(tbl_position[Date]), MATCH("Shares_"&amp;C16, pos_header,0))</f>
        <v>101</v>
      </c>
      <c r="F16" s="61">
        <f ca="1">tbl_holdings[[#This Row],[Current Price]]*tbl_holdings[[#This Row],['# Holdings]]</f>
        <v>7164.94</v>
      </c>
      <c r="S16" s="14">
        <v>12</v>
      </c>
      <c r="T16" s="52">
        <f t="shared" ca="1" si="12"/>
        <v>44126</v>
      </c>
      <c r="U16" s="53">
        <f t="shared" ca="1" si="8"/>
        <v>10.6</v>
      </c>
      <c r="V16" s="21">
        <f t="shared" ca="1" si="1"/>
        <v>2844.3</v>
      </c>
      <c r="W16" s="53">
        <f t="shared" ca="1" si="2"/>
        <v>10.345439489346333</v>
      </c>
      <c r="X16" s="54">
        <f t="shared" ca="1" si="3"/>
        <v>59.594095940959392</v>
      </c>
      <c r="Y16" s="53">
        <f t="shared" ca="1" si="4"/>
        <v>11.014285714285714</v>
      </c>
      <c r="Z16" s="53">
        <f t="shared" ca="1" si="5"/>
        <v>12.09379313146091</v>
      </c>
      <c r="AA16" s="53">
        <f t="shared" ca="1" si="6"/>
        <v>9.934778297110519</v>
      </c>
      <c r="AB16" s="21" t="str">
        <f t="shared" ca="1" si="9"/>
        <v>10/22</v>
      </c>
      <c r="AC16" s="21">
        <v>70</v>
      </c>
      <c r="AD16" s="15">
        <v>30</v>
      </c>
      <c r="AG16" s="135">
        <v>16</v>
      </c>
      <c r="AH16" s="136">
        <f>IF(AG16=0, DATE(2020, 9, 9),INDEX(tbl_position[], AG16, MATCH("DATE", pos_header, 0)))</f>
        <v>44105</v>
      </c>
      <c r="AI16" s="137">
        <f>IF(AG16=0, 100000, INDEX(tbl_position[Total_Net_Asset], AG16))</f>
        <v>34382.19999999999</v>
      </c>
      <c r="AJ16" s="137">
        <f>IF(AG16=0, 100000, INDEX(tbl_position[Cash_Holding], AG16))</f>
        <v>49591.099999999991</v>
      </c>
      <c r="AK16" s="138" t="str">
        <f t="shared" si="13"/>
        <v>10/01</v>
      </c>
    </row>
    <row r="17" spans="2:37" x14ac:dyDescent="0.35">
      <c r="B17">
        <v>13</v>
      </c>
      <c r="C17" t="str">
        <f>INDEX(Symbol,B17)</f>
        <v>QCOM</v>
      </c>
      <c r="D17">
        <f ca="1">INDEX(INDIRECT("tbl_"&amp;C17),COUNT(INDIRECT("tbl_"&amp;C17&amp;"[Date]")), MATCH("Adj close", Price_Header,0))</f>
        <v>126.2</v>
      </c>
      <c r="E17">
        <f>INDEX(tbl_position[], COUNT(tbl_position[Date]), MATCH("Shares_"&amp;C17, pos_header,0))</f>
        <v>50</v>
      </c>
      <c r="F17" s="61">
        <f ca="1">tbl_holdings[[#This Row],[Current Price]]*tbl_holdings[[#This Row],['# Holdings]]</f>
        <v>6310</v>
      </c>
      <c r="S17" s="14">
        <v>13</v>
      </c>
      <c r="T17" s="52">
        <f t="shared" ca="1" si="12"/>
        <v>44127</v>
      </c>
      <c r="U17" s="53">
        <f t="shared" ca="1" si="8"/>
        <v>10.79</v>
      </c>
      <c r="V17" s="21">
        <f t="shared" ca="1" si="1"/>
        <v>1905.7</v>
      </c>
      <c r="W17" s="53">
        <f t="shared" ca="1" si="2"/>
        <v>10.3898955404117</v>
      </c>
      <c r="X17" s="54">
        <f t="shared" ca="1" si="3"/>
        <v>43.55670103092784</v>
      </c>
      <c r="Y17" s="53">
        <f t="shared" ca="1" si="4"/>
        <v>10.97857142857143</v>
      </c>
      <c r="Z17" s="53">
        <f t="shared" ca="1" si="5"/>
        <v>12.051851294370501</v>
      </c>
      <c r="AA17" s="53">
        <f t="shared" ca="1" si="6"/>
        <v>9.9052915627723586</v>
      </c>
      <c r="AB17" s="21" t="str">
        <f t="shared" ca="1" si="9"/>
        <v>10/23</v>
      </c>
      <c r="AC17" s="21">
        <v>70</v>
      </c>
      <c r="AD17" s="15">
        <v>30</v>
      </c>
      <c r="AG17" s="135">
        <v>17</v>
      </c>
      <c r="AH17" s="136">
        <f>IF(AG17=0, DATE(2020, 9, 9),INDEX(tbl_position[], AG17, MATCH("DATE", pos_header, 0)))</f>
        <v>44106</v>
      </c>
      <c r="AI17" s="137">
        <f>IF(AG17=0, 100000, INDEX(tbl_position[Total_Net_Asset], AG17))</f>
        <v>34382.19999999999</v>
      </c>
      <c r="AJ17" s="137">
        <f>IF(AG17=0, 100000, INDEX(tbl_position[Cash_Holding], AG17))</f>
        <v>49591.099999999991</v>
      </c>
      <c r="AK17" s="138" t="str">
        <f t="shared" si="13"/>
        <v>10/02</v>
      </c>
    </row>
    <row r="18" spans="2:37" ht="15" thickBot="1" x14ac:dyDescent="0.4">
      <c r="B18">
        <v>14</v>
      </c>
      <c r="C18" t="str">
        <f>INDEX(Symbol,B18)</f>
        <v>F</v>
      </c>
      <c r="D18">
        <f ca="1">INDEX(INDIRECT("tbl_"&amp;C18),COUNT(INDIRECT("tbl_"&amp;C18&amp;"[Date]")), MATCH("Adj close", Price_Header,0))</f>
        <v>8.0299999999999994</v>
      </c>
      <c r="E18">
        <f>INDEX(tbl_position[], COUNT(tbl_position[Date]), MATCH("Shares_"&amp;C18, pos_header,0))</f>
        <v>0</v>
      </c>
      <c r="F18" s="61">
        <f ca="1">tbl_holdings[[#This Row],[Current Price]]*tbl_holdings[[#This Row],['# Holdings]]</f>
        <v>0</v>
      </c>
      <c r="S18" s="16">
        <v>14</v>
      </c>
      <c r="T18" s="55">
        <f t="shared" ca="1" si="12"/>
        <v>44130</v>
      </c>
      <c r="U18" s="56">
        <f t="shared" ca="1" si="8"/>
        <v>10.62</v>
      </c>
      <c r="V18" s="22">
        <f t="shared" ca="1" si="1"/>
        <v>2076.3000000000002</v>
      </c>
      <c r="W18" s="56">
        <f t="shared" ca="1" si="2"/>
        <v>10.41290598637053</v>
      </c>
      <c r="X18" s="57">
        <f t="shared" ca="1" si="3"/>
        <v>39.795918367346943</v>
      </c>
      <c r="Y18" s="56">
        <f t="shared" ca="1" si="4"/>
        <v>10.921428571428573</v>
      </c>
      <c r="Z18" s="56">
        <f t="shared" ca="1" si="5"/>
        <v>11.97853222380526</v>
      </c>
      <c r="AA18" s="56">
        <f t="shared" ca="1" si="6"/>
        <v>9.8643249190518851</v>
      </c>
      <c r="AB18" s="22" t="str">
        <f t="shared" ca="1" si="9"/>
        <v>10/26</v>
      </c>
      <c r="AC18" s="22">
        <v>70</v>
      </c>
      <c r="AD18" s="17">
        <v>30</v>
      </c>
      <c r="AG18" s="135">
        <v>18</v>
      </c>
      <c r="AH18" s="136">
        <f>IF(AG18=0, DATE(2020, 9, 9),INDEX(tbl_position[], AG18, MATCH("DATE", pos_header, 0)))</f>
        <v>44109</v>
      </c>
      <c r="AI18" s="137">
        <f>IF(AG18=0, 100000, INDEX(tbl_position[Total_Net_Asset], AG18))</f>
        <v>34382.19999999999</v>
      </c>
      <c r="AJ18" s="137">
        <f>IF(AG18=0, 100000, INDEX(tbl_position[Cash_Holding], AG18))</f>
        <v>49591.099999999991</v>
      </c>
      <c r="AK18" s="138" t="str">
        <f t="shared" si="13"/>
        <v>10/05</v>
      </c>
    </row>
    <row r="19" spans="2:37" x14ac:dyDescent="0.35">
      <c r="B19">
        <v>15</v>
      </c>
      <c r="C19" t="str">
        <f>INDEX(Symbol,B19)</f>
        <v>LTHM</v>
      </c>
      <c r="D19">
        <f ca="1">INDEX(INDIRECT("tbl_"&amp;C19),COUNT(INDIRECT("tbl_"&amp;C19&amp;"[Date]")), MATCH("Adj close", Price_Header,0))</f>
        <v>10.62</v>
      </c>
      <c r="E19">
        <f>INDEX(tbl_position[], COUNT(tbl_position[Date]), MATCH("Shares_"&amp;C19, pos_header,0))</f>
        <v>1501</v>
      </c>
      <c r="F19" s="61">
        <f ca="1">tbl_holdings[[#This Row],[Current Price]]*tbl_holdings[[#This Row],['# Holdings]]</f>
        <v>15940.619999999999</v>
      </c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G19" s="135">
        <v>19</v>
      </c>
      <c r="AH19" s="136">
        <f>IF(AG19=0, DATE(2020, 9, 9),INDEX(tbl_position[], AG19, MATCH("DATE", pos_header, 0)))</f>
        <v>44110</v>
      </c>
      <c r="AI19" s="137">
        <f>IF(AG19=0, 100000, INDEX(tbl_position[Total_Net_Asset], AG19))</f>
        <v>34382.19999999999</v>
      </c>
      <c r="AJ19" s="137">
        <f>IF(AG19=0, 100000, INDEX(tbl_position[Cash_Holding], AG19))</f>
        <v>49591.099999999991</v>
      </c>
      <c r="AK19" s="138" t="str">
        <f t="shared" si="13"/>
        <v>10/06</v>
      </c>
    </row>
    <row r="20" spans="2:37" x14ac:dyDescent="0.35">
      <c r="B20" t="s">
        <v>162</v>
      </c>
      <c r="F20">
        <f ca="1">SUBTOTAL(109,tbl_holdings[Total])</f>
        <v>92205.06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G20" s="135">
        <v>20</v>
      </c>
      <c r="AH20" s="136">
        <f>IF(AG20=0, DATE(2020, 9, 9),INDEX(tbl_position[], AG20, MATCH("DATE", pos_header, 0)))</f>
        <v>44111</v>
      </c>
      <c r="AI20" s="137">
        <f ca="1">IF(AG20=0, 100000, INDEX(tbl_position[Total_Net_Asset], AG20))</f>
        <v>103089.7003</v>
      </c>
      <c r="AJ20" s="137">
        <f>IF(AG20=0, 100000, INDEX(tbl_position[Cash_Holding], AG20))</f>
        <v>36635.599999999991</v>
      </c>
      <c r="AK20" s="138" t="str">
        <f t="shared" si="13"/>
        <v>10/07</v>
      </c>
    </row>
    <row r="21" spans="2:37" x14ac:dyDescent="0.35">
      <c r="AG21" s="135">
        <v>21</v>
      </c>
      <c r="AH21" s="136">
        <f>IF(AG21=0, DATE(2020, 9, 9),INDEX(tbl_position[], AG21, MATCH("DATE", pos_header, 0)))</f>
        <v>44112</v>
      </c>
      <c r="AI21" s="137">
        <f ca="1">IF(AG21=0, 100000, INDEX(tbl_position[Total_Net_Asset], AG21))</f>
        <v>103852.7003</v>
      </c>
      <c r="AJ21" s="137">
        <f>IF(AG21=0, 100000, INDEX(tbl_position[Cash_Holding], AG21))</f>
        <v>36635.599999999991</v>
      </c>
      <c r="AK21" s="138" t="str">
        <f t="shared" si="13"/>
        <v>10/08</v>
      </c>
    </row>
    <row r="22" spans="2:37" x14ac:dyDescent="0.35">
      <c r="AG22" s="135">
        <v>22</v>
      </c>
      <c r="AH22" s="136">
        <f>IF(AG22=0, DATE(2020, 9, 9),INDEX(tbl_position[], AG22, MATCH("DATE", pos_header, 0)))</f>
        <v>44113</v>
      </c>
      <c r="AI22" s="137">
        <f ca="1">IF(AG22=0, 100000, INDEX(tbl_position[Total_Net_Asset], AG22))</f>
        <v>103024.67970000001</v>
      </c>
      <c r="AJ22" s="137">
        <f>IF(AG22=0, 100000, INDEX(tbl_position[Cash_Holding], AG22))</f>
        <v>36635.579999999994</v>
      </c>
      <c r="AK22" s="138" t="str">
        <f t="shared" si="13"/>
        <v>10/09</v>
      </c>
    </row>
    <row r="23" spans="2:37" x14ac:dyDescent="0.35">
      <c r="AG23" s="135">
        <v>23</v>
      </c>
      <c r="AH23" s="136">
        <f>IF(AG23=0, DATE(2020, 9, 9),INDEX(tbl_position[], AG23, MATCH("DATE", pos_header, 0)))</f>
        <v>44116</v>
      </c>
      <c r="AI23" s="137">
        <f ca="1">IF(AG23=0, 100000, INDEX(tbl_position[Total_Net_Asset], AG23))</f>
        <v>103625.320352</v>
      </c>
      <c r="AJ23" s="137">
        <f>IF(AG23=0, 100000, INDEX(tbl_position[Cash_Holding], AG23))</f>
        <v>35279.709999999992</v>
      </c>
      <c r="AK23" s="138" t="str">
        <f t="shared" ref="AK23:AK31" si="16">TEXT(AH23, "mm/dd")</f>
        <v>10/12</v>
      </c>
    </row>
    <row r="24" spans="2:37" x14ac:dyDescent="0.35">
      <c r="AG24" s="135">
        <v>24</v>
      </c>
      <c r="AH24" s="136">
        <f>IF(AG24=0, DATE(2020, 9, 9),INDEX(tbl_position[], AG24, MATCH("DATE", pos_header, 0)))</f>
        <v>44117</v>
      </c>
      <c r="AI24" s="137">
        <f ca="1">IF(AG24=0, 100000, INDEX(tbl_position[Total_Net_Asset], AG24))</f>
        <v>103643.21000199999</v>
      </c>
      <c r="AJ24" s="137">
        <f>IF(AG24=0, 100000, INDEX(tbl_position[Cash_Holding], AG24))</f>
        <v>24282.709999999992</v>
      </c>
      <c r="AK24" s="138" t="str">
        <f t="shared" si="16"/>
        <v>10/13</v>
      </c>
    </row>
    <row r="25" spans="2:37" x14ac:dyDescent="0.35">
      <c r="AG25" s="135">
        <v>25</v>
      </c>
      <c r="AH25" s="136">
        <f>IF(AG25=0, DATE(2020, 9, 9),INDEX(tbl_position[], AG25, MATCH("DATE", pos_header, 0)))</f>
        <v>44118</v>
      </c>
      <c r="AI25" s="137">
        <f ca="1">IF(AG25=0, 100000, INDEX(tbl_position[Total_Net_Asset], AG25))</f>
        <v>103476.75979699999</v>
      </c>
      <c r="AJ25" s="137">
        <f>IF(AG25=0, 100000, INDEX(tbl_position[Cash_Holding], AG25))</f>
        <v>24282.709999999992</v>
      </c>
      <c r="AK25" s="138" t="str">
        <f t="shared" si="16"/>
        <v>10/14</v>
      </c>
    </row>
    <row r="26" spans="2:37" x14ac:dyDescent="0.35">
      <c r="AG26" s="135">
        <v>26</v>
      </c>
      <c r="AH26" s="136">
        <f>IF(AG26=0, DATE(2020, 9, 9),INDEX(tbl_position[], AG26, MATCH("DATE", pos_header, 0)))</f>
        <v>44119</v>
      </c>
      <c r="AI26" s="137">
        <f ca="1">IF(AG26=0, 100000, INDEX(tbl_position[Total_Net_Asset], AG26))</f>
        <v>103476.319852</v>
      </c>
      <c r="AJ26" s="137">
        <f>IF(AG26=0, 100000, INDEX(tbl_position[Cash_Holding], AG26))</f>
        <v>24282.709999999992</v>
      </c>
      <c r="AK26" s="138" t="str">
        <f t="shared" si="16"/>
        <v>10/15</v>
      </c>
    </row>
    <row r="27" spans="2:37" x14ac:dyDescent="0.35">
      <c r="AG27" s="135">
        <v>27</v>
      </c>
      <c r="AH27" s="136">
        <f>IF(AG27=0, DATE(2020, 9, 9),INDEX(tbl_position[], AG27, MATCH("DATE", pos_header, 0)))</f>
        <v>44120</v>
      </c>
      <c r="AI27" s="137">
        <f ca="1">IF(AG27=0, 100000, INDEX(tbl_position[Total_Net_Asset], AG27))</f>
        <v>103720.199549</v>
      </c>
      <c r="AJ27" s="137">
        <f>IF(AG27=0, 100000, INDEX(tbl_position[Cash_Holding], AG27))</f>
        <v>24282.709999999992</v>
      </c>
      <c r="AK27" s="138" t="str">
        <f t="shared" si="16"/>
        <v>10/16</v>
      </c>
    </row>
    <row r="28" spans="2:37" x14ac:dyDescent="0.35">
      <c r="AG28" s="135">
        <v>28</v>
      </c>
      <c r="AH28" s="136">
        <f>IF(AG28=0, DATE(2020, 9, 9),INDEX(tbl_position[], AG28, MATCH("DATE", pos_header, 0)))</f>
        <v>44123</v>
      </c>
      <c r="AI28" s="137">
        <f ca="1">IF(AG28=0, 100000, INDEX(tbl_position[Total_Net_Asset], AG28))</f>
        <v>102875.58979899999</v>
      </c>
      <c r="AJ28" s="137">
        <f>IF(AG28=0, 100000, INDEX(tbl_position[Cash_Holding], AG28))</f>
        <v>26991.709999999992</v>
      </c>
      <c r="AK28" s="138" t="str">
        <f t="shared" si="16"/>
        <v>10/19</v>
      </c>
    </row>
    <row r="29" spans="2:37" x14ac:dyDescent="0.35">
      <c r="AG29" s="135">
        <v>29</v>
      </c>
      <c r="AH29" s="136">
        <f>IF(AG29=0, DATE(2020, 9, 9),INDEX(tbl_position[], AG29, MATCH("DATE", pos_header, 0)))</f>
        <v>44124</v>
      </c>
      <c r="AI29" s="137">
        <f ca="1">IF(AG29=0, 100000, INDEX(tbl_position[Total_Net_Asset], AG29))</f>
        <v>102475.49</v>
      </c>
      <c r="AJ29" s="137">
        <f>IF(AG29=0, 100000, INDEX(tbl_position[Cash_Holding], AG29))</f>
        <v>26991.709999999992</v>
      </c>
      <c r="AK29" s="138" t="str">
        <f t="shared" si="16"/>
        <v>10/20</v>
      </c>
    </row>
    <row r="30" spans="2:37" x14ac:dyDescent="0.35">
      <c r="AG30" s="135">
        <v>30</v>
      </c>
      <c r="AH30" s="136">
        <f>IF(AG30=0, DATE(2020, 9, 9),INDEX(tbl_position[], AG30, MATCH("DATE", pos_header, 0)))</f>
        <v>44125</v>
      </c>
      <c r="AI30" s="137">
        <f ca="1">IF(AG30=0, 100000, INDEX(tbl_position[Total_Net_Asset], AG30))</f>
        <v>101644.92</v>
      </c>
      <c r="AJ30" s="137">
        <f>IF(AG30=0, 100000, INDEX(tbl_position[Cash_Holding], AG30))</f>
        <v>10525.979999999992</v>
      </c>
      <c r="AK30" s="138" t="str">
        <f t="shared" si="16"/>
        <v>10/21</v>
      </c>
    </row>
    <row r="31" spans="2:37" x14ac:dyDescent="0.35">
      <c r="AG31" s="135">
        <v>31</v>
      </c>
      <c r="AH31" s="136">
        <f>IF(AG31=0, DATE(2020, 9, 9),INDEX(tbl_position[], AG31, MATCH("DATE", pos_header, 0)))</f>
        <v>44126</v>
      </c>
      <c r="AI31" s="137">
        <f ca="1">IF(AG31=0, 100000, INDEX(tbl_position[Total_Net_Asset], AG31))</f>
        <v>101396.58</v>
      </c>
      <c r="AJ31" s="137">
        <f>IF(AG31=0, 100000, INDEX(tbl_position[Cash_Holding], AG31))</f>
        <v>10525.979999999992</v>
      </c>
      <c r="AK31" s="138" t="str">
        <f t="shared" si="16"/>
        <v>10/22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Q4"/>
  <sheetViews>
    <sheetView topLeftCell="A4" workbookViewId="0">
      <selection activeCell="L4" sqref="L4"/>
    </sheetView>
  </sheetViews>
  <sheetFormatPr defaultRowHeight="14.5" x14ac:dyDescent="0.35"/>
  <sheetData>
    <row r="3" spans="2:17" ht="15.5" x14ac:dyDescent="0.35">
      <c r="B3" s="7" t="s">
        <v>301</v>
      </c>
      <c r="C3" s="7" t="s">
        <v>302</v>
      </c>
      <c r="D3" s="7"/>
      <c r="E3" s="7"/>
      <c r="F3" s="7"/>
      <c r="G3" s="7"/>
      <c r="H3" s="7"/>
      <c r="I3" s="7"/>
      <c r="J3" s="7"/>
      <c r="K3" s="7" t="s">
        <v>5</v>
      </c>
      <c r="L3" s="7" t="s">
        <v>303</v>
      </c>
      <c r="M3" s="7"/>
      <c r="N3" s="7"/>
      <c r="O3" s="7"/>
      <c r="P3" s="7"/>
      <c r="Q3" s="7"/>
    </row>
    <row r="4" spans="2:17" ht="15.5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 t="s">
        <v>304</v>
      </c>
      <c r="M4" s="7"/>
      <c r="N4" s="7"/>
      <c r="O4" s="7"/>
      <c r="P4" s="7"/>
      <c r="Q4" s="7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N8"/>
  <sheetViews>
    <sheetView workbookViewId="0">
      <selection activeCell="L8" sqref="L8"/>
    </sheetView>
  </sheetViews>
  <sheetFormatPr defaultRowHeight="14.5" x14ac:dyDescent="0.35"/>
  <sheetData>
    <row r="2" spans="1:14" x14ac:dyDescent="0.35">
      <c r="A2" s="1" t="s">
        <v>305</v>
      </c>
    </row>
    <row r="4" spans="1:14" x14ac:dyDescent="0.35">
      <c r="A4" t="s">
        <v>306</v>
      </c>
      <c r="J4" s="130"/>
      <c r="K4" s="132"/>
      <c r="L4" s="133"/>
      <c r="M4" s="134"/>
      <c r="N4" s="139"/>
    </row>
    <row r="5" spans="1:14" x14ac:dyDescent="0.35">
      <c r="A5" t="s">
        <v>307</v>
      </c>
      <c r="F5" s="130"/>
      <c r="G5" s="132"/>
      <c r="H5" s="133"/>
      <c r="I5" s="134"/>
      <c r="J5" s="139"/>
    </row>
    <row r="6" spans="1:14" x14ac:dyDescent="0.35">
      <c r="A6" t="s">
        <v>308</v>
      </c>
      <c r="I6" s="130"/>
      <c r="J6" s="132"/>
      <c r="K6" s="133"/>
      <c r="L6" s="134"/>
      <c r="M6" s="139"/>
    </row>
    <row r="7" spans="1:14" x14ac:dyDescent="0.35">
      <c r="A7" t="s">
        <v>309</v>
      </c>
    </row>
    <row r="8" spans="1:14" x14ac:dyDescent="0.35">
      <c r="A8" t="s">
        <v>310</v>
      </c>
      <c r="H8" s="130"/>
      <c r="I8" s="132"/>
      <c r="J8" s="133"/>
      <c r="K8" s="134"/>
      <c r="L8" s="1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76"/>
  <sheetViews>
    <sheetView topLeftCell="A58" workbookViewId="0">
      <selection activeCell="A77" sqref="A77"/>
    </sheetView>
  </sheetViews>
  <sheetFormatPr defaultRowHeight="14.5" x14ac:dyDescent="0.35"/>
  <cols>
    <col min="1" max="1" width="9.7265625" customWidth="1"/>
    <col min="2" max="2" width="15.54296875" customWidth="1"/>
    <col min="3" max="3" width="17.81640625" customWidth="1"/>
    <col min="4" max="4" width="14.1796875" customWidth="1"/>
    <col min="5" max="5" width="15.81640625" customWidth="1"/>
    <col min="6" max="6" width="10.26953125" customWidth="1"/>
    <col min="7" max="7" width="17.26953125" customWidth="1"/>
    <col min="8" max="8" width="15" hidden="1" customWidth="1"/>
    <col min="9" max="9" width="13.1796875" hidden="1" customWidth="1"/>
    <col min="10" max="10" width="13" hidden="1" customWidth="1"/>
    <col min="11" max="11" width="17.453125" customWidth="1"/>
    <col min="12" max="12" width="15.54296875" customWidth="1"/>
    <col min="13" max="13" width="15.453125" customWidth="1"/>
    <col min="14" max="14" width="13.453125" customWidth="1"/>
    <col min="15" max="15" width="18.453125" customWidth="1"/>
    <col min="16" max="16" width="19.1796875" customWidth="1"/>
    <col min="17" max="17" width="20.453125" customWidth="1"/>
    <col min="18" max="18" width="18.7265625" customWidth="1"/>
    <col min="19" max="19" width="21" customWidth="1"/>
  </cols>
  <sheetData>
    <row r="1" spans="1:19" ht="21" x14ac:dyDescent="0.5">
      <c r="A1" s="41" t="s">
        <v>15</v>
      </c>
      <c r="B1" s="41"/>
      <c r="C1" s="41"/>
      <c r="D1" s="41"/>
      <c r="E1" s="41"/>
    </row>
    <row r="2" spans="1:19" ht="15.5" x14ac:dyDescent="0.35">
      <c r="A2" t="s">
        <v>112</v>
      </c>
    </row>
    <row r="4" spans="1:19" x14ac:dyDescent="0.3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3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3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3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3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3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3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3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3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3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3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3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3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3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3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3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3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3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3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3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3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3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3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3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3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3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3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3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3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3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3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3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3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3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3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3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3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3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3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3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3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3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3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3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3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3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3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3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3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3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3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35">
      <c r="A55" t="s">
        <v>217</v>
      </c>
      <c r="B55" t="s">
        <v>298</v>
      </c>
      <c r="C55" t="s">
        <v>298</v>
      </c>
      <c r="D55" t="s">
        <v>31</v>
      </c>
      <c r="F55" s="47">
        <v>500</v>
      </c>
      <c r="G55" s="48">
        <v>19.97</v>
      </c>
      <c r="H55" s="61">
        <f>VALUE(LEFT(tbl_transaction[[#This Row],[Order Date]],FIND("/",tbl_transaction[[#This Row],[Order Date]])-1))</f>
        <v>9</v>
      </c>
      <c r="I5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24</v>
      </c>
      <c r="J55" s="61" t="str">
        <f>MID(tbl_transaction[[#This Row],[Order Date]], FIND("/",tbl_transaction[[#This Row],[Order Date]], FIND("/", tbl_transaction[[#This Row],[Order Date]])+1)+1, 2)</f>
        <v>20</v>
      </c>
      <c r="K55" s="61">
        <f>VALUE(LEFT(tbl_transaction[[#This Row],[Transaction Date]],FIND("/",tbl_transaction[[#This Row],[Transaction Date]])-1))</f>
        <v>9</v>
      </c>
      <c r="L5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24</v>
      </c>
      <c r="M55" s="61" t="str">
        <f>MID(tbl_transaction[[#This Row],[Transaction Date]], FIND("/",tbl_transaction[[#This Row],[Transaction Date]], FIND("/", tbl_transaction[[#This Row],[Transaction Date]])+1)+1, 2)</f>
        <v>20</v>
      </c>
      <c r="N55" s="9">
        <f>DATE(tbl_transaction[[#This Row],[Year_order]]+2000, tbl_transaction[[#This Row],[Month_order]], tbl_transaction[[#This Row],[Date_order]])</f>
        <v>44098</v>
      </c>
      <c r="O55" s="9">
        <f>DATE(tbl_transaction[[#This Row],[Year_Transact]]+2000,tbl_transaction[[#This Row],[Month_Transact]],tbl_transaction[[#This Row],[Date_Transact]])</f>
        <v>44098</v>
      </c>
      <c r="P5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9985</v>
      </c>
      <c r="R5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9985</v>
      </c>
      <c r="S5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500</v>
      </c>
    </row>
    <row r="56" spans="1:19" x14ac:dyDescent="0.35">
      <c r="A56" t="s">
        <v>217</v>
      </c>
      <c r="B56" t="s">
        <v>299</v>
      </c>
      <c r="C56" t="s">
        <v>299</v>
      </c>
      <c r="D56" t="s">
        <v>31</v>
      </c>
      <c r="F56" s="47">
        <v>300</v>
      </c>
      <c r="G56" s="48">
        <v>18.77</v>
      </c>
      <c r="H56" s="61">
        <f>VALUE(LEFT(tbl_transaction[[#This Row],[Order Date]],FIND("/",tbl_transaction[[#This Row],[Order Date]])-1))</f>
        <v>9</v>
      </c>
      <c r="I5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6" s="61" t="str">
        <f>MID(tbl_transaction[[#This Row],[Order Date]], FIND("/",tbl_transaction[[#This Row],[Order Date]], FIND("/", tbl_transaction[[#This Row],[Order Date]])+1)+1, 2)</f>
        <v>20</v>
      </c>
      <c r="K56" s="61">
        <f>VALUE(LEFT(tbl_transaction[[#This Row],[Transaction Date]],FIND("/",tbl_transaction[[#This Row],[Transaction Date]])-1))</f>
        <v>9</v>
      </c>
      <c r="L5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6" s="61" t="str">
        <f>MID(tbl_transaction[[#This Row],[Transaction Date]], FIND("/",tbl_transaction[[#This Row],[Transaction Date]], FIND("/", tbl_transaction[[#This Row],[Transaction Date]])+1)+1, 2)</f>
        <v>20</v>
      </c>
      <c r="N56" s="9">
        <f>DATE(tbl_transaction[[#This Row],[Year_order]]+2000, tbl_transaction[[#This Row],[Month_order]], tbl_transaction[[#This Row],[Date_order]])</f>
        <v>44102</v>
      </c>
      <c r="O56" s="9">
        <f>DATE(tbl_transaction[[#This Row],[Year_Transact]]+2000,tbl_transaction[[#This Row],[Month_Transact]],tbl_transaction[[#This Row],[Date_Transact]])</f>
        <v>44102</v>
      </c>
      <c r="P5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5631</v>
      </c>
      <c r="R5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5631</v>
      </c>
      <c r="S5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</v>
      </c>
    </row>
    <row r="57" spans="1:19" x14ac:dyDescent="0.35">
      <c r="A57" t="s">
        <v>240</v>
      </c>
      <c r="B57" t="s">
        <v>300</v>
      </c>
      <c r="C57" t="s">
        <v>300</v>
      </c>
      <c r="D57" t="s">
        <v>26</v>
      </c>
      <c r="F57" s="47">
        <v>980</v>
      </c>
      <c r="G57" s="48">
        <v>5.81</v>
      </c>
      <c r="H57" s="61">
        <f>VALUE(LEFT(tbl_transaction[[#This Row],[Order Date]],FIND("/",tbl_transaction[[#This Row],[Order Date]])-1))</f>
        <v>9</v>
      </c>
      <c r="I5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7" s="61" t="str">
        <f>MID(tbl_transaction[[#This Row],[Order Date]], FIND("/",tbl_transaction[[#This Row],[Order Date]], FIND("/", tbl_transaction[[#This Row],[Order Date]])+1)+1, 2)</f>
        <v>20</v>
      </c>
      <c r="K57" s="61">
        <f>VALUE(LEFT(tbl_transaction[[#This Row],[Transaction Date]],FIND("/",tbl_transaction[[#This Row],[Transaction Date]])-1))</f>
        <v>9</v>
      </c>
      <c r="L5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7" s="61" t="str">
        <f>MID(tbl_transaction[[#This Row],[Transaction Date]], FIND("/",tbl_transaction[[#This Row],[Transaction Date]], FIND("/", tbl_transaction[[#This Row],[Transaction Date]])+1)+1, 2)</f>
        <v>20</v>
      </c>
      <c r="N57" s="9">
        <f>DATE(tbl_transaction[[#This Row],[Year_order]]+2000, tbl_transaction[[#This Row],[Month_order]], tbl_transaction[[#This Row],[Date_order]])</f>
        <v>44102</v>
      </c>
      <c r="O57" s="9">
        <f>DATE(tbl_transaction[[#This Row],[Year_Transact]]+2000,tbl_transaction[[#This Row],[Month_Transact]],tbl_transaction[[#This Row],[Date_Transact]])</f>
        <v>44102</v>
      </c>
      <c r="P5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5693.7999999999993</v>
      </c>
      <c r="Q5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-5693.7999999999993</v>
      </c>
      <c r="R5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-980</v>
      </c>
    </row>
    <row r="58" spans="1:19" x14ac:dyDescent="0.35">
      <c r="A58" t="s">
        <v>217</v>
      </c>
      <c r="B58" t="s">
        <v>311</v>
      </c>
      <c r="C58" t="s">
        <v>311</v>
      </c>
      <c r="D58" t="s">
        <v>34</v>
      </c>
      <c r="F58" s="47">
        <v>350</v>
      </c>
      <c r="G58" s="48">
        <v>24.73</v>
      </c>
      <c r="H58" s="61">
        <f>VALUE(LEFT(tbl_transaction[[#This Row],[Order Date]],FIND("/",tbl_transaction[[#This Row],[Order Date]])-1))</f>
        <v>10</v>
      </c>
      <c r="I5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8" s="61" t="str">
        <f>MID(tbl_transaction[[#This Row],[Order Date]], FIND("/",tbl_transaction[[#This Row],[Order Date]], FIND("/", tbl_transaction[[#This Row],[Order Date]])+1)+1, 2)</f>
        <v>20</v>
      </c>
      <c r="K58" s="61">
        <f>VALUE(LEFT(tbl_transaction[[#This Row],[Transaction Date]],FIND("/",tbl_transaction[[#This Row],[Transaction Date]])-1))</f>
        <v>10</v>
      </c>
      <c r="L5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8" s="61" t="str">
        <f>MID(tbl_transaction[[#This Row],[Transaction Date]], FIND("/",tbl_transaction[[#This Row],[Transaction Date]], FIND("/", tbl_transaction[[#This Row],[Transaction Date]])+1)+1, 2)</f>
        <v>20</v>
      </c>
      <c r="N58" s="9">
        <f>DATE(tbl_transaction[[#This Row],[Year_order]]+2000, tbl_transaction[[#This Row],[Month_order]], tbl_transaction[[#This Row],[Date_order]])</f>
        <v>44111</v>
      </c>
      <c r="O58" s="9">
        <f>DATE(tbl_transaction[[#This Row],[Year_Transact]]+2000,tbl_transaction[[#This Row],[Month_Transact]],tbl_transaction[[#This Row],[Date_Transact]])</f>
        <v>44111</v>
      </c>
      <c r="P5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-8655.5</v>
      </c>
      <c r="R5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-8655.5</v>
      </c>
      <c r="S5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-350</v>
      </c>
    </row>
    <row r="59" spans="1:19" x14ac:dyDescent="0.35">
      <c r="A59" t="s">
        <v>312</v>
      </c>
      <c r="B59" t="s">
        <v>313</v>
      </c>
      <c r="C59" t="s">
        <v>313</v>
      </c>
      <c r="D59" t="s">
        <v>19</v>
      </c>
      <c r="F59" s="47">
        <v>150</v>
      </c>
      <c r="G59" s="48">
        <v>86.37</v>
      </c>
      <c r="H59" s="61">
        <f>VALUE(LEFT(tbl_transaction[[#This Row],[Order Date]],FIND("/",tbl_transaction[[#This Row],[Order Date]])-1))</f>
        <v>10</v>
      </c>
      <c r="I5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59" s="61" t="str">
        <f>MID(tbl_transaction[[#This Row],[Order Date]], FIND("/",tbl_transaction[[#This Row],[Order Date]], FIND("/", tbl_transaction[[#This Row],[Order Date]])+1)+1, 2)</f>
        <v>20</v>
      </c>
      <c r="K59" s="61">
        <f>VALUE(LEFT(tbl_transaction[[#This Row],[Transaction Date]],FIND("/",tbl_transaction[[#This Row],[Transaction Date]])-1))</f>
        <v>10</v>
      </c>
      <c r="L5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59" s="61" t="str">
        <f>MID(tbl_transaction[[#This Row],[Transaction Date]], FIND("/",tbl_transaction[[#This Row],[Transaction Date]], FIND("/", tbl_transaction[[#This Row],[Transaction Date]])+1)+1, 2)</f>
        <v>20</v>
      </c>
      <c r="N59" s="9">
        <f>DATE(tbl_transaction[[#This Row],[Year_order]]+2000, tbl_transaction[[#This Row],[Month_order]], tbl_transaction[[#This Row],[Date_order]])</f>
        <v>44111</v>
      </c>
      <c r="O59" s="9">
        <f>DATE(tbl_transaction[[#This Row],[Year_Transact]]+2000,tbl_transaction[[#This Row],[Month_Transact]],tbl_transaction[[#This Row],[Date_Transact]])</f>
        <v>44111</v>
      </c>
      <c r="P5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-12955.5</v>
      </c>
      <c r="Q5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12955.5</v>
      </c>
      <c r="R5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</v>
      </c>
    </row>
    <row r="60" spans="1:19" x14ac:dyDescent="0.35">
      <c r="A60" t="s">
        <v>217</v>
      </c>
      <c r="B60" t="s">
        <v>314</v>
      </c>
      <c r="C60" t="s">
        <v>314</v>
      </c>
      <c r="D60" t="s">
        <v>34</v>
      </c>
      <c r="F60" s="47">
        <v>150</v>
      </c>
      <c r="G60" s="48">
        <v>24.67</v>
      </c>
      <c r="H60" s="61">
        <f>VALUE(LEFT(tbl_transaction[[#This Row],[Order Date]],FIND("/",tbl_transaction[[#This Row],[Order Date]])-1))</f>
        <v>10</v>
      </c>
      <c r="I6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7</v>
      </c>
      <c r="J60" s="61" t="str">
        <f>MID(tbl_transaction[[#This Row],[Order Date]], FIND("/",tbl_transaction[[#This Row],[Order Date]], FIND("/", tbl_transaction[[#This Row],[Order Date]])+1)+1, 2)</f>
        <v>20</v>
      </c>
      <c r="K60" s="61">
        <f>VALUE(LEFT(tbl_transaction[[#This Row],[Transaction Date]],FIND("/",tbl_transaction[[#This Row],[Transaction Date]])-1))</f>
        <v>10</v>
      </c>
      <c r="L6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7</v>
      </c>
      <c r="M60" s="61" t="str">
        <f>MID(tbl_transaction[[#This Row],[Transaction Date]], FIND("/",tbl_transaction[[#This Row],[Transaction Date]], FIND("/", tbl_transaction[[#This Row],[Transaction Date]])+1)+1, 2)</f>
        <v>20</v>
      </c>
      <c r="N60" s="9">
        <f>DATE(tbl_transaction[[#This Row],[Year_order]]+2000, tbl_transaction[[#This Row],[Month_order]], tbl_transaction[[#This Row],[Date_order]])</f>
        <v>44111</v>
      </c>
      <c r="O60" s="9">
        <f>DATE(tbl_transaction[[#This Row],[Year_Transact]]+2000,tbl_transaction[[#This Row],[Month_Transact]],tbl_transaction[[#This Row],[Date_Transact]])</f>
        <v>44111</v>
      </c>
      <c r="P6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-3700.5000000000005</v>
      </c>
      <c r="R6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-3700.5000000000005</v>
      </c>
      <c r="S6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61" spans="1:19" x14ac:dyDescent="0.35">
      <c r="A61" t="s">
        <v>217</v>
      </c>
      <c r="B61" t="s">
        <v>315</v>
      </c>
      <c r="C61" t="s">
        <v>315</v>
      </c>
      <c r="D61" t="s">
        <v>19</v>
      </c>
      <c r="F61" s="47">
        <v>1</v>
      </c>
      <c r="G61" s="48">
        <v>24.67</v>
      </c>
      <c r="H61" s="61">
        <f>VALUE(LEFT(tbl_transaction[[#This Row],[Order Date]],FIND("/",tbl_transaction[[#This Row],[Order Date]])-1))</f>
        <v>10</v>
      </c>
      <c r="I6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1" s="61" t="str">
        <f>MID(tbl_transaction[[#This Row],[Order Date]], FIND("/",tbl_transaction[[#This Row],[Order Date]], FIND("/", tbl_transaction[[#This Row],[Order Date]])+1)+1, 2)</f>
        <v>20</v>
      </c>
      <c r="K61" s="61">
        <f>VALUE(LEFT(tbl_transaction[[#This Row],[Transaction Date]],FIND("/",tbl_transaction[[#This Row],[Transaction Date]])-1))</f>
        <v>10</v>
      </c>
      <c r="L6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1" s="61" t="str">
        <f>MID(tbl_transaction[[#This Row],[Transaction Date]], FIND("/",tbl_transaction[[#This Row],[Transaction Date]], FIND("/", tbl_transaction[[#This Row],[Transaction Date]])+1)+1, 2)</f>
        <v>20</v>
      </c>
      <c r="N61" s="9">
        <f>DATE(tbl_transaction[[#This Row],[Year_order]]+2000, tbl_transaction[[#This Row],[Month_order]], tbl_transaction[[#This Row],[Date_order]])</f>
        <v>44113</v>
      </c>
      <c r="O61" s="9">
        <f>DATE(tbl_transaction[[#This Row],[Year_Transact]]+2000,tbl_transaction[[#This Row],[Month_Transact]],tbl_transaction[[#This Row],[Date_Transact]])</f>
        <v>44113</v>
      </c>
      <c r="P6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-24.67</v>
      </c>
      <c r="Q6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24.67</v>
      </c>
      <c r="R6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2" spans="1:19" x14ac:dyDescent="0.35">
      <c r="A62" t="s">
        <v>217</v>
      </c>
      <c r="B62" t="s">
        <v>316</v>
      </c>
      <c r="C62" t="s">
        <v>316</v>
      </c>
      <c r="D62" t="s">
        <v>34</v>
      </c>
      <c r="F62" s="47">
        <v>300</v>
      </c>
      <c r="G62" s="48">
        <v>24.65</v>
      </c>
      <c r="H62" s="61">
        <f>VALUE(LEFT(tbl_transaction[[#This Row],[Order Date]],FIND("/",tbl_transaction[[#This Row],[Order Date]])-1))</f>
        <v>10</v>
      </c>
      <c r="I6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2" s="61" t="str">
        <f>MID(tbl_transaction[[#This Row],[Order Date]], FIND("/",tbl_transaction[[#This Row],[Order Date]], FIND("/", tbl_transaction[[#This Row],[Order Date]])+1)+1, 2)</f>
        <v>20</v>
      </c>
      <c r="K62" s="61">
        <f>VALUE(LEFT(tbl_transaction[[#This Row],[Transaction Date]],FIND("/",tbl_transaction[[#This Row],[Transaction Date]])-1))</f>
        <v>10</v>
      </c>
      <c r="L6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2" s="61" t="str">
        <f>MID(tbl_transaction[[#This Row],[Transaction Date]], FIND("/",tbl_transaction[[#This Row],[Transaction Date]], FIND("/", tbl_transaction[[#This Row],[Transaction Date]])+1)+1, 2)</f>
        <v>20</v>
      </c>
      <c r="N62" s="9">
        <f>DATE(tbl_transaction[[#This Row],[Year_order]]+2000, tbl_transaction[[#This Row],[Month_order]], tbl_transaction[[#This Row],[Date_order]])</f>
        <v>44113</v>
      </c>
      <c r="O62" s="9">
        <f>DATE(tbl_transaction[[#This Row],[Year_Transact]]+2000,tbl_transaction[[#This Row],[Month_Transact]],tbl_transaction[[#This Row],[Date_Transact]])</f>
        <v>44113</v>
      </c>
      <c r="P6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6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-7395</v>
      </c>
      <c r="R6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-7395</v>
      </c>
      <c r="S6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-300</v>
      </c>
    </row>
    <row r="63" spans="1:19" x14ac:dyDescent="0.35">
      <c r="A63" t="s">
        <v>217</v>
      </c>
      <c r="B63" t="s">
        <v>316</v>
      </c>
      <c r="C63" t="s">
        <v>316</v>
      </c>
      <c r="D63" t="s">
        <v>26</v>
      </c>
      <c r="F63" s="47">
        <v>1</v>
      </c>
      <c r="G63" s="48">
        <v>24.65</v>
      </c>
      <c r="H63" s="61">
        <f>VALUE(LEFT(tbl_transaction[[#This Row],[Order Date]],FIND("/",tbl_transaction[[#This Row],[Order Date]])-1))</f>
        <v>10</v>
      </c>
      <c r="I6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9</v>
      </c>
      <c r="J63" s="61" t="str">
        <f>MID(tbl_transaction[[#This Row],[Order Date]], FIND("/",tbl_transaction[[#This Row],[Order Date]], FIND("/", tbl_transaction[[#This Row],[Order Date]])+1)+1, 2)</f>
        <v>20</v>
      </c>
      <c r="K63" s="61">
        <f>VALUE(LEFT(tbl_transaction[[#This Row],[Transaction Date]],FIND("/",tbl_transaction[[#This Row],[Transaction Date]])-1))</f>
        <v>10</v>
      </c>
      <c r="L6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9</v>
      </c>
      <c r="M63" s="61" t="str">
        <f>MID(tbl_transaction[[#This Row],[Transaction Date]], FIND("/",tbl_transaction[[#This Row],[Transaction Date]], FIND("/", tbl_transaction[[#This Row],[Transaction Date]])+1)+1, 2)</f>
        <v>20</v>
      </c>
      <c r="N63" s="9">
        <f>DATE(tbl_transaction[[#This Row],[Year_order]]+2000, tbl_transaction[[#This Row],[Month_order]], tbl_transaction[[#This Row],[Date_order]])</f>
        <v>44113</v>
      </c>
      <c r="O63" s="9">
        <f>DATE(tbl_transaction[[#This Row],[Year_Transact]]+2000,tbl_transaction[[#This Row],[Month_Transact]],tbl_transaction[[#This Row],[Date_Transact]])</f>
        <v>44113</v>
      </c>
      <c r="P6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24.65</v>
      </c>
      <c r="Q6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-24.65</v>
      </c>
      <c r="R6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</v>
      </c>
    </row>
    <row r="64" spans="1:19" x14ac:dyDescent="0.35">
      <c r="A64" t="s">
        <v>16</v>
      </c>
      <c r="B64" t="s">
        <v>324</v>
      </c>
      <c r="C64" t="s">
        <v>324</v>
      </c>
      <c r="D64" t="s">
        <v>19</v>
      </c>
      <c r="F64" s="47">
        <v>1</v>
      </c>
      <c r="G64" s="48">
        <v>134.68</v>
      </c>
      <c r="H64" s="61">
        <f>VALUE(LEFT(tbl_transaction[[#This Row],[Order Date]],FIND("/",tbl_transaction[[#This Row],[Order Date]])-1))</f>
        <v>10</v>
      </c>
      <c r="I6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4" s="61" t="str">
        <f>MID(tbl_transaction[[#This Row],[Order Date]], FIND("/",tbl_transaction[[#This Row],[Order Date]], FIND("/", tbl_transaction[[#This Row],[Order Date]])+1)+1, 2)</f>
        <v>20</v>
      </c>
      <c r="K64" s="61">
        <f>VALUE(LEFT(tbl_transaction[[#This Row],[Transaction Date]],FIND("/",tbl_transaction[[#This Row],[Transaction Date]])-1))</f>
        <v>10</v>
      </c>
      <c r="L6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4" s="61" t="str">
        <f>MID(tbl_transaction[[#This Row],[Transaction Date]], FIND("/",tbl_transaction[[#This Row],[Transaction Date]], FIND("/", tbl_transaction[[#This Row],[Transaction Date]])+1)+1, 2)</f>
        <v>20</v>
      </c>
      <c r="N64" s="9">
        <f>DATE(tbl_transaction[[#This Row],[Year_order]]+2000, tbl_transaction[[#This Row],[Month_order]], tbl_transaction[[#This Row],[Date_order]])</f>
        <v>44116</v>
      </c>
      <c r="O64" s="9">
        <f>DATE(tbl_transaction[[#This Row],[Year_Transact]]+2000,tbl_transaction[[#This Row],[Month_Transact]],tbl_transaction[[#This Row],[Date_Transact]])</f>
        <v>44116</v>
      </c>
      <c r="P6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-134.68</v>
      </c>
      <c r="Q6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134.68</v>
      </c>
      <c r="R6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5" spans="1:19" x14ac:dyDescent="0.35">
      <c r="A65" t="s">
        <v>321</v>
      </c>
      <c r="B65" t="s">
        <v>325</v>
      </c>
      <c r="C65" t="s">
        <v>325</v>
      </c>
      <c r="D65" t="s">
        <v>19</v>
      </c>
      <c r="F65" s="47">
        <v>100</v>
      </c>
      <c r="G65" s="48">
        <v>74.650000000000006</v>
      </c>
      <c r="H65" s="61">
        <f>VALUE(LEFT(tbl_transaction[[#This Row],[Order Date]],FIND("/",tbl_transaction[[#This Row],[Order Date]])-1))</f>
        <v>10</v>
      </c>
      <c r="I6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5" s="61" t="str">
        <f>MID(tbl_transaction[[#This Row],[Order Date]], FIND("/",tbl_transaction[[#This Row],[Order Date]], FIND("/", tbl_transaction[[#This Row],[Order Date]])+1)+1, 2)</f>
        <v>20</v>
      </c>
      <c r="K65" s="61">
        <f>VALUE(LEFT(tbl_transaction[[#This Row],[Transaction Date]],FIND("/",tbl_transaction[[#This Row],[Transaction Date]])-1))</f>
        <v>10</v>
      </c>
      <c r="L6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5" s="61" t="str">
        <f>MID(tbl_transaction[[#This Row],[Transaction Date]], FIND("/",tbl_transaction[[#This Row],[Transaction Date]], FIND("/", tbl_transaction[[#This Row],[Transaction Date]])+1)+1, 2)</f>
        <v>20</v>
      </c>
      <c r="N65" s="9">
        <f>DATE(tbl_transaction[[#This Row],[Year_order]]+2000, tbl_transaction[[#This Row],[Month_order]], tbl_transaction[[#This Row],[Date_order]])</f>
        <v>44116</v>
      </c>
      <c r="O65" s="9">
        <f>DATE(tbl_transaction[[#This Row],[Year_Transact]]+2000,tbl_transaction[[#This Row],[Month_Transact]],tbl_transaction[[#This Row],[Date_Transact]])</f>
        <v>44116</v>
      </c>
      <c r="P6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-7465.0000000000009</v>
      </c>
      <c r="Q6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7465.0000000000009</v>
      </c>
      <c r="R6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6" spans="1:19" x14ac:dyDescent="0.35">
      <c r="A66" t="s">
        <v>321</v>
      </c>
      <c r="B66" t="s">
        <v>326</v>
      </c>
      <c r="C66" t="s">
        <v>325</v>
      </c>
      <c r="D66" t="s">
        <v>19</v>
      </c>
      <c r="F66" s="47">
        <v>1</v>
      </c>
      <c r="G66" s="48">
        <v>74.58</v>
      </c>
      <c r="H66" s="61">
        <f>VALUE(LEFT(tbl_transaction[[#This Row],[Order Date]],FIND("/",tbl_transaction[[#This Row],[Order Date]])-1))</f>
        <v>10</v>
      </c>
      <c r="I6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6" s="61" t="str">
        <f>MID(tbl_transaction[[#This Row],[Order Date]], FIND("/",tbl_transaction[[#This Row],[Order Date]], FIND("/", tbl_transaction[[#This Row],[Order Date]])+1)+1, 2)</f>
        <v>20</v>
      </c>
      <c r="K66" s="61">
        <f>VALUE(LEFT(tbl_transaction[[#This Row],[Transaction Date]],FIND("/",tbl_transaction[[#This Row],[Transaction Date]])-1))</f>
        <v>10</v>
      </c>
      <c r="L6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6" s="61" t="str">
        <f>MID(tbl_transaction[[#This Row],[Transaction Date]], FIND("/",tbl_transaction[[#This Row],[Transaction Date]], FIND("/", tbl_transaction[[#This Row],[Transaction Date]])+1)+1, 2)</f>
        <v>20</v>
      </c>
      <c r="N66" s="9">
        <f>DATE(tbl_transaction[[#This Row],[Year_order]]+2000, tbl_transaction[[#This Row],[Month_order]], tbl_transaction[[#This Row],[Date_order]])</f>
        <v>44116</v>
      </c>
      <c r="O66" s="9">
        <f>DATE(tbl_transaction[[#This Row],[Year_Transact]]+2000,tbl_transaction[[#This Row],[Month_Transact]],tbl_transaction[[#This Row],[Date_Transact]])</f>
        <v>44116</v>
      </c>
      <c r="P6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-74.58</v>
      </c>
      <c r="Q6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74.58</v>
      </c>
      <c r="R6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67" spans="1:19" x14ac:dyDescent="0.35">
      <c r="A67" t="s">
        <v>16</v>
      </c>
      <c r="B67" t="s">
        <v>327</v>
      </c>
      <c r="C67" t="s">
        <v>327</v>
      </c>
      <c r="D67" t="s">
        <v>26</v>
      </c>
      <c r="F67" s="47">
        <v>51</v>
      </c>
      <c r="G67" s="48">
        <v>123.89</v>
      </c>
      <c r="H67" s="61">
        <f>VALUE(LEFT(tbl_transaction[[#This Row],[Order Date]],FIND("/",tbl_transaction[[#This Row],[Order Date]])-1))</f>
        <v>10</v>
      </c>
      <c r="I6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12</v>
      </c>
      <c r="J67" s="61" t="str">
        <f>MID(tbl_transaction[[#This Row],[Order Date]], FIND("/",tbl_transaction[[#This Row],[Order Date]], FIND("/", tbl_transaction[[#This Row],[Order Date]])+1)+1, 2)</f>
        <v>20</v>
      </c>
      <c r="K67" s="61">
        <f>VALUE(LEFT(tbl_transaction[[#This Row],[Transaction Date]],FIND("/",tbl_transaction[[#This Row],[Transaction Date]])-1))</f>
        <v>10</v>
      </c>
      <c r="L6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12</v>
      </c>
      <c r="M67" s="61" t="str">
        <f>MID(tbl_transaction[[#This Row],[Transaction Date]], FIND("/",tbl_transaction[[#This Row],[Transaction Date]], FIND("/", tbl_transaction[[#This Row],[Transaction Date]])+1)+1, 2)</f>
        <v>20</v>
      </c>
      <c r="N67" s="9">
        <f>DATE(tbl_transaction[[#This Row],[Year_order]]+2000, tbl_transaction[[#This Row],[Month_order]], tbl_transaction[[#This Row],[Date_order]])</f>
        <v>44116</v>
      </c>
      <c r="O67" s="9">
        <f>DATE(tbl_transaction[[#This Row],[Year_Transact]]+2000,tbl_transaction[[#This Row],[Month_Transact]],tbl_transaction[[#This Row],[Date_Transact]])</f>
        <v>44116</v>
      </c>
      <c r="P6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6318.39</v>
      </c>
      <c r="Q6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-6318.39</v>
      </c>
      <c r="R6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-51</v>
      </c>
    </row>
    <row r="68" spans="1:19" x14ac:dyDescent="0.35">
      <c r="A68" t="s">
        <v>328</v>
      </c>
      <c r="B68" t="s">
        <v>332</v>
      </c>
      <c r="C68" t="s">
        <v>332</v>
      </c>
      <c r="D68" t="s">
        <v>19</v>
      </c>
      <c r="F68" s="47">
        <v>50</v>
      </c>
      <c r="G68" s="48">
        <v>127.42</v>
      </c>
      <c r="H68" s="61">
        <f>VALUE(LEFT(tbl_transaction[[#This Row],[Order Date]],FIND("/",tbl_transaction[[#This Row],[Order Date]])-1))</f>
        <v>10</v>
      </c>
      <c r="I6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8" s="61" t="str">
        <f>MID(tbl_transaction[[#This Row],[Order Date]], FIND("/",tbl_transaction[[#This Row],[Order Date]], FIND("/", tbl_transaction[[#This Row],[Order Date]])+1)+1, 2)</f>
        <v>20</v>
      </c>
      <c r="K68" s="61">
        <f>VALUE(LEFT(tbl_transaction[[#This Row],[Transaction Date]],FIND("/",tbl_transaction[[#This Row],[Transaction Date]])-1))</f>
        <v>10</v>
      </c>
      <c r="L6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8" s="61" t="str">
        <f>MID(tbl_transaction[[#This Row],[Transaction Date]], FIND("/",tbl_transaction[[#This Row],[Transaction Date]], FIND("/", tbl_transaction[[#This Row],[Transaction Date]])+1)+1, 2)</f>
        <v>20</v>
      </c>
      <c r="N68" s="9">
        <f>DATE(tbl_transaction[[#This Row],[Year_order]]+2000, tbl_transaction[[#This Row],[Month_order]], tbl_transaction[[#This Row],[Date_order]])</f>
        <v>44117</v>
      </c>
      <c r="O68" s="9">
        <f>DATE(tbl_transaction[[#This Row],[Year_Transact]]+2000,tbl_transaction[[#This Row],[Month_Transact]],tbl_transaction[[#This Row],[Date_Transact]])</f>
        <v>44117</v>
      </c>
      <c r="P6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-6371</v>
      </c>
      <c r="Q6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6371</v>
      </c>
      <c r="R6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69" spans="1:19" x14ac:dyDescent="0.35">
      <c r="A69" t="s">
        <v>334</v>
      </c>
      <c r="B69" t="s">
        <v>337</v>
      </c>
      <c r="C69" t="s">
        <v>337</v>
      </c>
      <c r="D69" t="s">
        <v>19</v>
      </c>
      <c r="F69" s="47">
        <v>600</v>
      </c>
      <c r="G69" s="48">
        <v>7.71</v>
      </c>
      <c r="H69" s="61">
        <f>VALUE(LEFT(tbl_transaction[[#This Row],[Order Date]],FIND("/",tbl_transaction[[#This Row],[Order Date]])-1))</f>
        <v>10</v>
      </c>
      <c r="I6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13</v>
      </c>
      <c r="J69" s="61" t="str">
        <f>MID(tbl_transaction[[#This Row],[Order Date]], FIND("/",tbl_transaction[[#This Row],[Order Date]], FIND("/", tbl_transaction[[#This Row],[Order Date]])+1)+1, 2)</f>
        <v>20</v>
      </c>
      <c r="K69" s="61">
        <f>VALUE(LEFT(tbl_transaction[[#This Row],[Transaction Date]],FIND("/",tbl_transaction[[#This Row],[Transaction Date]])-1))</f>
        <v>10</v>
      </c>
      <c r="L6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13</v>
      </c>
      <c r="M69" s="61" t="str">
        <f>MID(tbl_transaction[[#This Row],[Transaction Date]], FIND("/",tbl_transaction[[#This Row],[Transaction Date]], FIND("/", tbl_transaction[[#This Row],[Transaction Date]])+1)+1, 2)</f>
        <v>20</v>
      </c>
      <c r="N69" s="9">
        <f>DATE(tbl_transaction[[#This Row],[Year_order]]+2000, tbl_transaction[[#This Row],[Month_order]], tbl_transaction[[#This Row],[Date_order]])</f>
        <v>44117</v>
      </c>
      <c r="O69" s="9">
        <f>DATE(tbl_transaction[[#This Row],[Year_Transact]]+2000,tbl_transaction[[#This Row],[Month_Transact]],tbl_transaction[[#This Row],[Date_Transact]])</f>
        <v>44117</v>
      </c>
      <c r="P6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-4626</v>
      </c>
      <c r="Q6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4626</v>
      </c>
      <c r="R6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600</v>
      </c>
    </row>
    <row r="70" spans="1:19" x14ac:dyDescent="0.35">
      <c r="A70" t="s">
        <v>236</v>
      </c>
      <c r="B70" t="s">
        <v>338</v>
      </c>
      <c r="C70" t="s">
        <v>338</v>
      </c>
      <c r="D70" t="s">
        <v>19</v>
      </c>
      <c r="F70" s="47">
        <v>1</v>
      </c>
      <c r="G70" s="48">
        <v>27.09</v>
      </c>
      <c r="H70" s="61">
        <f>VALUE(LEFT(tbl_transaction[[#This Row],[Order Date]],FIND("/",tbl_transaction[[#This Row],[Order Date]])-1))</f>
        <v>10</v>
      </c>
      <c r="I7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0" s="61" t="str">
        <f>MID(tbl_transaction[[#This Row],[Order Date]], FIND("/",tbl_transaction[[#This Row],[Order Date]], FIND("/", tbl_transaction[[#This Row],[Order Date]])+1)+1, 2)</f>
        <v>20</v>
      </c>
      <c r="K70" s="61">
        <f>VALUE(LEFT(tbl_transaction[[#This Row],[Transaction Date]],FIND("/",tbl_transaction[[#This Row],[Transaction Date]])-1))</f>
        <v>10</v>
      </c>
      <c r="L7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0" s="61" t="str">
        <f>MID(tbl_transaction[[#This Row],[Transaction Date]], FIND("/",tbl_transaction[[#This Row],[Transaction Date]], FIND("/", tbl_transaction[[#This Row],[Transaction Date]])+1)+1, 2)</f>
        <v>20</v>
      </c>
      <c r="N70" s="9">
        <f>DATE(tbl_transaction[[#This Row],[Year_order]]+2000, tbl_transaction[[#This Row],[Month_order]], tbl_transaction[[#This Row],[Date_order]])</f>
        <v>44123</v>
      </c>
      <c r="O70" s="9">
        <f>DATE(tbl_transaction[[#This Row],[Year_Transact]]+2000,tbl_transaction[[#This Row],[Month_Transact]],tbl_transaction[[#This Row],[Date_Transact]])</f>
        <v>44123</v>
      </c>
      <c r="P7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-27.09</v>
      </c>
      <c r="Q7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27.09</v>
      </c>
      <c r="R7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71" spans="1:19" x14ac:dyDescent="0.35">
      <c r="A71" t="s">
        <v>236</v>
      </c>
      <c r="B71" t="s">
        <v>339</v>
      </c>
      <c r="C71" t="s">
        <v>339</v>
      </c>
      <c r="D71" t="s">
        <v>26</v>
      </c>
      <c r="F71" s="47">
        <v>101</v>
      </c>
      <c r="G71" s="48">
        <v>27.09</v>
      </c>
      <c r="H71" s="61">
        <f>VALUE(LEFT(tbl_transaction[[#This Row],[Order Date]],FIND("/",tbl_transaction[[#This Row],[Order Date]])-1))</f>
        <v>10</v>
      </c>
      <c r="I7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19</v>
      </c>
      <c r="J71" s="61" t="str">
        <f>MID(tbl_transaction[[#This Row],[Order Date]], FIND("/",tbl_transaction[[#This Row],[Order Date]], FIND("/", tbl_transaction[[#This Row],[Order Date]])+1)+1, 2)</f>
        <v>20</v>
      </c>
      <c r="K71" s="61">
        <f>VALUE(LEFT(tbl_transaction[[#This Row],[Transaction Date]],FIND("/",tbl_transaction[[#This Row],[Transaction Date]])-1))</f>
        <v>10</v>
      </c>
      <c r="L7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19</v>
      </c>
      <c r="M71" s="61" t="str">
        <f>MID(tbl_transaction[[#This Row],[Transaction Date]], FIND("/",tbl_transaction[[#This Row],[Transaction Date]], FIND("/", tbl_transaction[[#This Row],[Transaction Date]])+1)+1, 2)</f>
        <v>20</v>
      </c>
      <c r="N71" s="9">
        <f>DATE(tbl_transaction[[#This Row],[Year_order]]+2000, tbl_transaction[[#This Row],[Month_order]], tbl_transaction[[#This Row],[Date_order]])</f>
        <v>44123</v>
      </c>
      <c r="O71" s="9">
        <f>DATE(tbl_transaction[[#This Row],[Year_Transact]]+2000,tbl_transaction[[#This Row],[Month_Transact]],tbl_transaction[[#This Row],[Date_Transact]])</f>
        <v>44123</v>
      </c>
      <c r="P7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2736.09</v>
      </c>
      <c r="Q7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-2736.09</v>
      </c>
      <c r="R7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-101</v>
      </c>
    </row>
    <row r="72" spans="1:19" x14ac:dyDescent="0.35">
      <c r="A72" t="s">
        <v>20</v>
      </c>
      <c r="B72" t="s">
        <v>340</v>
      </c>
      <c r="C72" t="s">
        <v>340</v>
      </c>
      <c r="D72" t="s">
        <v>31</v>
      </c>
      <c r="F72" s="47">
        <v>3000</v>
      </c>
      <c r="G72" s="48">
        <v>3.95</v>
      </c>
      <c r="H72" s="61">
        <f>VALUE(LEFT(tbl_transaction[[#This Row],[Order Date]],FIND("/",tbl_transaction[[#This Row],[Order Date]])-1))</f>
        <v>10</v>
      </c>
      <c r="I7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2" s="61" t="str">
        <f>MID(tbl_transaction[[#This Row],[Order Date]], FIND("/",tbl_transaction[[#This Row],[Order Date]], FIND("/", tbl_transaction[[#This Row],[Order Date]])+1)+1, 2)</f>
        <v>20</v>
      </c>
      <c r="K72" s="61">
        <f>VALUE(LEFT(tbl_transaction[[#This Row],[Transaction Date]],FIND("/",tbl_transaction[[#This Row],[Transaction Date]])-1))</f>
        <v>10</v>
      </c>
      <c r="L7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2" s="61" t="str">
        <f>MID(tbl_transaction[[#This Row],[Transaction Date]], FIND("/",tbl_transaction[[#This Row],[Transaction Date]], FIND("/", tbl_transaction[[#This Row],[Transaction Date]])+1)+1, 2)</f>
        <v>20</v>
      </c>
      <c r="N72" s="9">
        <f>DATE(tbl_transaction[[#This Row],[Year_order]]+2000, tbl_transaction[[#This Row],[Month_order]], tbl_transaction[[#This Row],[Date_order]])</f>
        <v>44125</v>
      </c>
      <c r="O72" s="9">
        <f>DATE(tbl_transaction[[#This Row],[Year_Transact]]+2000,tbl_transaction[[#This Row],[Month_Transact]],tbl_transaction[[#This Row],[Date_Transact]])</f>
        <v>44125</v>
      </c>
      <c r="P7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7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11850</v>
      </c>
      <c r="R7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11850</v>
      </c>
      <c r="S7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3000</v>
      </c>
    </row>
    <row r="73" spans="1:19" x14ac:dyDescent="0.35">
      <c r="A73" t="s">
        <v>341</v>
      </c>
      <c r="B73" t="s">
        <v>344</v>
      </c>
      <c r="C73" t="s">
        <v>344</v>
      </c>
      <c r="D73" t="s">
        <v>19</v>
      </c>
      <c r="F73" s="47">
        <v>1</v>
      </c>
      <c r="G73" s="48">
        <v>10.73</v>
      </c>
      <c r="H73" s="61">
        <f>VALUE(LEFT(tbl_transaction[[#This Row],[Order Date]],FIND("/",tbl_transaction[[#This Row],[Order Date]])-1))</f>
        <v>10</v>
      </c>
      <c r="I7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3" s="61" t="str">
        <f>MID(tbl_transaction[[#This Row],[Order Date]], FIND("/",tbl_transaction[[#This Row],[Order Date]], FIND("/", tbl_transaction[[#This Row],[Order Date]])+1)+1, 2)</f>
        <v>20</v>
      </c>
      <c r="K73" s="61">
        <f>VALUE(LEFT(tbl_transaction[[#This Row],[Transaction Date]],FIND("/",tbl_transaction[[#This Row],[Transaction Date]])-1))</f>
        <v>10</v>
      </c>
      <c r="L7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3" s="61" t="str">
        <f>MID(tbl_transaction[[#This Row],[Transaction Date]], FIND("/",tbl_transaction[[#This Row],[Transaction Date]], FIND("/", tbl_transaction[[#This Row],[Transaction Date]])+1)+1, 2)</f>
        <v>20</v>
      </c>
      <c r="N73" s="9">
        <f>DATE(tbl_transaction[[#This Row],[Year_order]]+2000, tbl_transaction[[#This Row],[Month_order]], tbl_transaction[[#This Row],[Date_order]])</f>
        <v>44125</v>
      </c>
      <c r="O73" s="9">
        <f>DATE(tbl_transaction[[#This Row],[Year_Transact]]+2000,tbl_transaction[[#This Row],[Month_Transact]],tbl_transaction[[#This Row],[Date_Transact]])</f>
        <v>44125</v>
      </c>
      <c r="P7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-10.73</v>
      </c>
      <c r="Q7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10.73</v>
      </c>
      <c r="R7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74" spans="1:19" x14ac:dyDescent="0.35">
      <c r="A74" t="s">
        <v>341</v>
      </c>
      <c r="B74" t="s">
        <v>345</v>
      </c>
      <c r="C74" t="s">
        <v>345</v>
      </c>
      <c r="D74" t="s">
        <v>19</v>
      </c>
      <c r="F74" s="47">
        <v>1500</v>
      </c>
      <c r="G74" s="48">
        <v>10.97</v>
      </c>
      <c r="H74" s="61">
        <f>VALUE(LEFT(tbl_transaction[[#This Row],[Order Date]],FIND("/",tbl_transaction[[#This Row],[Order Date]])-1))</f>
        <v>10</v>
      </c>
      <c r="I7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74" s="61" t="str">
        <f>MID(tbl_transaction[[#This Row],[Order Date]], FIND("/",tbl_transaction[[#This Row],[Order Date]], FIND("/", tbl_transaction[[#This Row],[Order Date]])+1)+1, 2)</f>
        <v>20</v>
      </c>
      <c r="K74" s="61">
        <f>VALUE(LEFT(tbl_transaction[[#This Row],[Transaction Date]],FIND("/",tbl_transaction[[#This Row],[Transaction Date]])-1))</f>
        <v>10</v>
      </c>
      <c r="L7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74" s="61" t="str">
        <f>MID(tbl_transaction[[#This Row],[Transaction Date]], FIND("/",tbl_transaction[[#This Row],[Transaction Date]], FIND("/", tbl_transaction[[#This Row],[Transaction Date]])+1)+1, 2)</f>
        <v>20</v>
      </c>
      <c r="N74" s="9">
        <f>DATE(tbl_transaction[[#This Row],[Year_order]]+2000, tbl_transaction[[#This Row],[Month_order]], tbl_transaction[[#This Row],[Date_order]])</f>
        <v>44125</v>
      </c>
      <c r="O74" s="9">
        <f>DATE(tbl_transaction[[#This Row],[Year_Transact]]+2000,tbl_transaction[[#This Row],[Month_Transact]],tbl_transaction[[#This Row],[Date_Transact]])</f>
        <v>44125</v>
      </c>
      <c r="P7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-16455</v>
      </c>
      <c r="Q7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16455</v>
      </c>
      <c r="R7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75" spans="1:19" x14ac:dyDescent="0.35">
      <c r="A75" t="s">
        <v>334</v>
      </c>
      <c r="B75" t="s">
        <v>346</v>
      </c>
      <c r="C75" t="s">
        <v>346</v>
      </c>
      <c r="D75" t="s">
        <v>26</v>
      </c>
      <c r="F75" s="47">
        <v>600</v>
      </c>
      <c r="G75" s="48">
        <v>8.16</v>
      </c>
      <c r="H75" s="61">
        <f>VALUE(LEFT(tbl_transaction[[#This Row],[Order Date]],FIND("/",tbl_transaction[[#This Row],[Order Date]])-1))</f>
        <v>10</v>
      </c>
      <c r="I7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75" s="61" t="str">
        <f>MID(tbl_transaction[[#This Row],[Order Date]], FIND("/",tbl_transaction[[#This Row],[Order Date]], FIND("/", tbl_transaction[[#This Row],[Order Date]])+1)+1, 2)</f>
        <v>20</v>
      </c>
      <c r="K75" s="61">
        <f>VALUE(LEFT(tbl_transaction[[#This Row],[Transaction Date]],FIND("/",tbl_transaction[[#This Row],[Transaction Date]])-1))</f>
        <v>10</v>
      </c>
      <c r="L7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75" s="61" t="str">
        <f>MID(tbl_transaction[[#This Row],[Transaction Date]], FIND("/",tbl_transaction[[#This Row],[Transaction Date]], FIND("/", tbl_transaction[[#This Row],[Transaction Date]])+1)+1, 2)</f>
        <v>20</v>
      </c>
      <c r="N75" s="9">
        <f>DATE(tbl_transaction[[#This Row],[Year_order]]+2000, tbl_transaction[[#This Row],[Month_order]], tbl_transaction[[#This Row],[Date_order]])</f>
        <v>44127</v>
      </c>
      <c r="O75" s="9">
        <f>DATE(tbl_transaction[[#This Row],[Year_Transact]]+2000,tbl_transaction[[#This Row],[Month_Transact]],tbl_transaction[[#This Row],[Date_Transact]])</f>
        <v>44127</v>
      </c>
      <c r="P7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4896</v>
      </c>
      <c r="Q7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-4896</v>
      </c>
      <c r="R7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-600</v>
      </c>
    </row>
    <row r="76" spans="1:19" x14ac:dyDescent="0.35">
      <c r="A76" t="s">
        <v>162</v>
      </c>
      <c r="B76">
        <f>SUBTOTAL(103,tbl_transaction[Order Date])</f>
        <v>71</v>
      </c>
      <c r="P76" s="11">
        <f>SUBTOTAL(109,tbl_transaction[Net_Cash_Change])</f>
        <v>-84578.02</v>
      </c>
      <c r="S76" s="47">
        <f>SUBTOTAL(109,tbl_transaction[Stock Holding Change])</f>
        <v>5002</v>
      </c>
    </row>
  </sheetData>
  <dataValidations count="3">
    <dataValidation type="list" allowBlank="1" showInputMessage="1" showErrorMessage="1" sqref="D5:D75" xr:uid="{00000000-0002-0000-0200-000000000000}">
      <formula1>Transactions</formula1>
    </dataValidation>
    <dataValidation type="list" allowBlank="1" showInputMessage="1" showErrorMessage="1" sqref="A5:A75" xr:uid="{00000000-0002-0000-0200-000001000000}">
      <formula1>Symbol</formula1>
    </dataValidation>
    <dataValidation type="whole" allowBlank="1" showInputMessage="1" showErrorMessage="1" sqref="F5:F75" xr:uid="{00000000-0002-0000-0200-000002000000}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8"/>
  <sheetViews>
    <sheetView workbookViewId="0">
      <selection activeCell="A19" sqref="A19"/>
    </sheetView>
  </sheetViews>
  <sheetFormatPr defaultRowHeight="14.5" x14ac:dyDescent="0.35"/>
  <cols>
    <col min="1" max="1" width="10.453125" customWidth="1"/>
    <col min="3" max="3" width="15.453125" customWidth="1"/>
    <col min="5" max="5" width="11.7265625" customWidth="1"/>
    <col min="8" max="8" width="12" customWidth="1"/>
  </cols>
  <sheetData>
    <row r="3" spans="1:9" ht="15.5" x14ac:dyDescent="0.3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3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3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3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35">
      <c r="A7" t="s">
        <v>22</v>
      </c>
      <c r="C7" t="s">
        <v>34</v>
      </c>
    </row>
    <row r="8" spans="1:9" x14ac:dyDescent="0.35">
      <c r="A8" t="s">
        <v>37</v>
      </c>
    </row>
    <row r="9" spans="1:9" x14ac:dyDescent="0.35">
      <c r="A9" t="s">
        <v>217</v>
      </c>
    </row>
    <row r="10" spans="1:9" x14ac:dyDescent="0.35">
      <c r="A10" t="s">
        <v>35</v>
      </c>
    </row>
    <row r="11" spans="1:9" x14ac:dyDescent="0.35">
      <c r="A11" t="s">
        <v>20</v>
      </c>
    </row>
    <row r="12" spans="1:9" x14ac:dyDescent="0.35">
      <c r="A12" t="s">
        <v>240</v>
      </c>
    </row>
    <row r="13" spans="1:9" x14ac:dyDescent="0.35">
      <c r="A13" t="s">
        <v>29</v>
      </c>
    </row>
    <row r="14" spans="1:9" x14ac:dyDescent="0.35">
      <c r="A14" t="s">
        <v>312</v>
      </c>
    </row>
    <row r="15" spans="1:9" x14ac:dyDescent="0.35">
      <c r="A15" t="s">
        <v>321</v>
      </c>
    </row>
    <row r="16" spans="1:9" x14ac:dyDescent="0.35">
      <c r="A16" t="s">
        <v>328</v>
      </c>
    </row>
    <row r="17" spans="1:1" x14ac:dyDescent="0.35">
      <c r="A17" t="s">
        <v>334</v>
      </c>
    </row>
    <row r="18" spans="1:1" x14ac:dyDescent="0.35">
      <c r="A18" t="s">
        <v>341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38"/>
  <sheetViews>
    <sheetView topLeftCell="A19" workbookViewId="0">
      <selection activeCell="A37" sqref="A37"/>
    </sheetView>
  </sheetViews>
  <sheetFormatPr defaultRowHeight="14.5" x14ac:dyDescent="0.35"/>
  <cols>
    <col min="1" max="1" width="9.7265625" bestFit="1" customWidth="1"/>
    <col min="2" max="2" width="14" customWidth="1"/>
    <col min="3" max="4" width="12.7265625" customWidth="1"/>
    <col min="5" max="5" width="13.453125" customWidth="1"/>
    <col min="6" max="6" width="12.1796875" customWidth="1"/>
    <col min="7" max="9" width="13.1796875" customWidth="1"/>
    <col min="10" max="10" width="13.453125" customWidth="1"/>
    <col min="11" max="11" width="13.1796875" customWidth="1"/>
    <col min="12" max="12" width="14.54296875" customWidth="1"/>
    <col min="13" max="13" width="12.54296875" customWidth="1"/>
    <col min="14" max="14" width="16.7265625" customWidth="1"/>
    <col min="15" max="15" width="15.54296875" customWidth="1"/>
    <col min="16" max="20" width="16.453125" customWidth="1"/>
    <col min="21" max="21" width="16.81640625" customWidth="1"/>
    <col min="22" max="22" width="15.453125" customWidth="1"/>
    <col min="23" max="23" width="15.81640625" customWidth="1"/>
    <col min="24" max="24" width="17.453125" customWidth="1"/>
    <col min="25" max="25" width="11.81640625" customWidth="1"/>
    <col min="26" max="26" width="13" customWidth="1"/>
    <col min="27" max="27" width="11.26953125" customWidth="1"/>
    <col min="28" max="28" width="11.7265625" customWidth="1"/>
    <col min="29" max="29" width="12.81640625" customWidth="1"/>
    <col min="30" max="30" width="13.54296875" customWidth="1"/>
    <col min="31" max="31" width="11.54296875" customWidth="1"/>
    <col min="32" max="32" width="13.26953125" customWidth="1"/>
    <col min="33" max="33" width="15.1796875" customWidth="1"/>
    <col min="34" max="34" width="12.36328125" customWidth="1"/>
    <col min="35" max="35" width="11.453125" customWidth="1"/>
  </cols>
  <sheetData>
    <row r="1" spans="1:35" ht="21" x14ac:dyDescent="0.5">
      <c r="A1" s="41" t="s">
        <v>126</v>
      </c>
      <c r="B1" s="41"/>
      <c r="C1" s="41"/>
      <c r="D1" s="41"/>
      <c r="E1" s="41"/>
    </row>
    <row r="2" spans="1:35" ht="15.5" x14ac:dyDescent="0.35">
      <c r="A2" t="s">
        <v>127</v>
      </c>
    </row>
    <row r="4" spans="1:35" x14ac:dyDescent="0.3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317</v>
      </c>
      <c r="M4" t="s">
        <v>322</v>
      </c>
      <c r="N4" t="s">
        <v>330</v>
      </c>
      <c r="O4" t="s">
        <v>335</v>
      </c>
      <c r="P4" t="s">
        <v>342</v>
      </c>
      <c r="Q4" t="s">
        <v>65</v>
      </c>
      <c r="R4" t="s">
        <v>66</v>
      </c>
      <c r="S4" t="s">
        <v>67</v>
      </c>
      <c r="T4" t="s">
        <v>68</v>
      </c>
      <c r="U4" t="s">
        <v>69</v>
      </c>
      <c r="V4" t="s">
        <v>70</v>
      </c>
      <c r="W4" t="s">
        <v>246</v>
      </c>
      <c r="X4" t="s">
        <v>247</v>
      </c>
      <c r="Y4" t="s">
        <v>248</v>
      </c>
      <c r="Z4" t="s">
        <v>249</v>
      </c>
      <c r="AA4" t="s">
        <v>318</v>
      </c>
      <c r="AB4" t="s">
        <v>323</v>
      </c>
      <c r="AC4" t="s">
        <v>331</v>
      </c>
      <c r="AD4" t="s">
        <v>336</v>
      </c>
      <c r="AE4" t="s">
        <v>343</v>
      </c>
      <c r="AF4" t="s">
        <v>71</v>
      </c>
      <c r="AG4" t="s">
        <v>72</v>
      </c>
      <c r="AH4" t="s">
        <v>165</v>
      </c>
      <c r="AI4" t="s">
        <v>167</v>
      </c>
    </row>
    <row r="5" spans="1:35" x14ac:dyDescent="0.3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 s="10"/>
      <c r="M5" s="10"/>
      <c r="N5" s="10"/>
      <c r="O5" s="10"/>
      <c r="P5" s="10"/>
      <c r="Q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$Q4)</f>
        <v>150</v>
      </c>
      <c r="R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$R4)</f>
        <v>1500</v>
      </c>
      <c r="S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$S4)</f>
        <v>50</v>
      </c>
      <c r="T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$U4)</f>
        <v>0</v>
      </c>
      <c r="V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$V4)</f>
        <v>0</v>
      </c>
      <c r="W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$W4)</f>
        <v>0</v>
      </c>
      <c r="X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$X4)</f>
        <v>0</v>
      </c>
      <c r="Y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$Y4)</f>
        <v>0</v>
      </c>
      <c r="Z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$Z4)</f>
        <v>0</v>
      </c>
      <c r="AA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$AA4)</f>
        <v>0</v>
      </c>
      <c r="AB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$AB4)</f>
        <v>0</v>
      </c>
      <c r="AC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$AC4)</f>
        <v>0</v>
      </c>
      <c r="AD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$AD4)</f>
        <v>0</v>
      </c>
      <c r="AE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$AE4)</f>
        <v>0</v>
      </c>
      <c r="AF5" s="10"/>
      <c r="AG5" s="10">
        <f>SUMIFS(tbl_transaction[Net_Cash_Change], tbl_transaction[Transaction_Date],tbl_position[[#This Row],[Date]])+IF(tbl_position[[#This Row],[Date]]=$A$5, 100000, $AG4)</f>
        <v>63721.5</v>
      </c>
      <c r="AH5" s="11">
        <f>SUMIFS(tbl_transaction[Net_Debt_Change], tbl_transaction[Transaction_Date],tbl_position[[#This Row],[Date]])+IF(tbl_position[[#This Row],[Date]]=$A$5, 0, $AH4)</f>
        <v>0</v>
      </c>
      <c r="AI5" s="48">
        <f>tbl_position[[#This Row],[Shares_Holding]]+tbl_position[[#This Row],[Cash_Holding]]-tbl_position[[#This Row],[Liabilities_Holding]]</f>
        <v>63721.5</v>
      </c>
    </row>
    <row r="6" spans="1:35" x14ac:dyDescent="0.3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 s="10"/>
      <c r="M6" s="10"/>
      <c r="N6" s="10"/>
      <c r="O6" s="10"/>
      <c r="P6" s="10"/>
      <c r="Q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$Q5)</f>
        <v>100</v>
      </c>
      <c r="R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$R5)</f>
        <v>1000</v>
      </c>
      <c r="S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$S5)</f>
        <v>50</v>
      </c>
      <c r="T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$U5)</f>
        <v>0</v>
      </c>
      <c r="V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$V5)</f>
        <v>100</v>
      </c>
      <c r="W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$W5)</f>
        <v>0</v>
      </c>
      <c r="X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$X5)</f>
        <v>0</v>
      </c>
      <c r="Y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$Y5)</f>
        <v>0</v>
      </c>
      <c r="Z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$Z5)</f>
        <v>0</v>
      </c>
      <c r="AA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$AA5)</f>
        <v>0</v>
      </c>
      <c r="AB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$AB5)</f>
        <v>0</v>
      </c>
      <c r="AC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$AC5)</f>
        <v>0</v>
      </c>
      <c r="AD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$AD5)</f>
        <v>0</v>
      </c>
      <c r="AE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$AE5)</f>
        <v>0</v>
      </c>
      <c r="AF6" s="10"/>
      <c r="AG6" s="10">
        <f>SUMIFS(tbl_transaction[Net_Cash_Change], tbl_transaction[Transaction_Date],tbl_position[[#This Row],[Date]])+IF(tbl_position[[#This Row],[Date]]=$A$5, 100000, $AG5)</f>
        <v>65134</v>
      </c>
      <c r="AH6" s="11">
        <f>SUMIFS(tbl_transaction[Net_Debt_Change], tbl_transaction[Transaction_Date],tbl_position[[#This Row],[Date]])+IF(tbl_position[[#This Row],[Date]]=$A$5, 0, $AH5)</f>
        <v>-34</v>
      </c>
      <c r="AI6" s="48">
        <f>tbl_position[[#This Row],[Shares_Holding]]+tbl_position[[#This Row],[Cash_Holding]]-tbl_position[[#This Row],[Liabilities_Holding]]</f>
        <v>65168</v>
      </c>
    </row>
    <row r="7" spans="1:35" x14ac:dyDescent="0.3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 s="10"/>
      <c r="M7" s="10"/>
      <c r="N7" s="10"/>
      <c r="O7" s="10"/>
      <c r="P7" s="10"/>
      <c r="Q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$Q6)</f>
        <v>100</v>
      </c>
      <c r="R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$R6)</f>
        <v>1000</v>
      </c>
      <c r="S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$S6)</f>
        <v>50</v>
      </c>
      <c r="T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$T6)</f>
        <v>0</v>
      </c>
      <c r="U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$U6)</f>
        <v>0</v>
      </c>
      <c r="V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$V6)</f>
        <v>0</v>
      </c>
      <c r="W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$W6)</f>
        <v>0</v>
      </c>
      <c r="X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$X6)</f>
        <v>0</v>
      </c>
      <c r="Y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$Y6)</f>
        <v>250</v>
      </c>
      <c r="Z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$Z6)</f>
        <v>0</v>
      </c>
      <c r="AA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$AA6)</f>
        <v>0</v>
      </c>
      <c r="AB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$AB6)</f>
        <v>0</v>
      </c>
      <c r="AC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$AC6)</f>
        <v>0</v>
      </c>
      <c r="AD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$AD6)</f>
        <v>0</v>
      </c>
      <c r="AE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$AE6)</f>
        <v>0</v>
      </c>
      <c r="AF7" s="10"/>
      <c r="AG7" s="10">
        <f>SUMIFS(tbl_transaction[Net_Cash_Change], tbl_transaction[Transaction_Date],tbl_position[[#This Row],[Date]])+IF(tbl_position[[#This Row],[Date]]=$A$5, 100000, $AG6)</f>
        <v>62700.2</v>
      </c>
      <c r="AH7" s="11">
        <f>SUMIFS(tbl_transaction[Net_Debt_Change], tbl_transaction[Transaction_Date],tbl_position[[#This Row],[Date]])+IF(tbl_position[[#This Row],[Date]]=$A$5, 0, $AH6)</f>
        <v>-450</v>
      </c>
      <c r="AI7" s="48">
        <f>tbl_position[[#This Row],[Shares_Holding]]+tbl_position[[#This Row],[Cash_Holding]]-tbl_position[[#This Row],[Liabilities_Holding]]</f>
        <v>63150.2</v>
      </c>
    </row>
    <row r="8" spans="1:35" x14ac:dyDescent="0.3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 s="10"/>
      <c r="M8" s="10"/>
      <c r="N8" s="10"/>
      <c r="O8" s="10"/>
      <c r="P8" s="10"/>
      <c r="Q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$Q7)</f>
        <v>100</v>
      </c>
      <c r="R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$R7)</f>
        <v>1000</v>
      </c>
      <c r="S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$S7)</f>
        <v>50</v>
      </c>
      <c r="T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$T7)</f>
        <v>0</v>
      </c>
      <c r="U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$U7)</f>
        <v>0</v>
      </c>
      <c r="V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$V7)</f>
        <v>0</v>
      </c>
      <c r="W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$W7)</f>
        <v>0</v>
      </c>
      <c r="X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$X7)</f>
        <v>0</v>
      </c>
      <c r="Y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$Y7)</f>
        <v>250</v>
      </c>
      <c r="Z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$Z7)</f>
        <v>0</v>
      </c>
      <c r="AA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$AA7)</f>
        <v>0</v>
      </c>
      <c r="AB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$AB7)</f>
        <v>0</v>
      </c>
      <c r="AC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$AC7)</f>
        <v>0</v>
      </c>
      <c r="AD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$AD7)</f>
        <v>0</v>
      </c>
      <c r="AE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$AE7)</f>
        <v>0</v>
      </c>
      <c r="AF8" s="10"/>
      <c r="AG8" s="10">
        <f>SUMIFS(tbl_transaction[Net_Cash_Change], tbl_transaction[Transaction_Date],tbl_position[[#This Row],[Date]])+IF(tbl_position[[#This Row],[Date]]=$A$5, 100000, $AG7)</f>
        <v>62700.2</v>
      </c>
      <c r="AH8" s="11">
        <f>SUMIFS(tbl_transaction[Net_Debt_Change], tbl_transaction[Transaction_Date],tbl_position[[#This Row],[Date]])+IF(tbl_position[[#This Row],[Date]]=$A$5, 0, $AH7)</f>
        <v>-450</v>
      </c>
      <c r="AI8" s="48">
        <f>tbl_position[[#This Row],[Shares_Holding]]+tbl_position[[#This Row],[Cash_Holding]]-tbl_position[[#This Row],[Liabilities_Holding]]</f>
        <v>63150.2</v>
      </c>
    </row>
    <row r="9" spans="1:35" x14ac:dyDescent="0.3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 s="10"/>
      <c r="M9" s="10"/>
      <c r="N9" s="10"/>
      <c r="O9" s="10"/>
      <c r="P9" s="10"/>
      <c r="Q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$Q8)</f>
        <v>100</v>
      </c>
      <c r="R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$R8)</f>
        <v>0</v>
      </c>
      <c r="S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$S8)</f>
        <v>50</v>
      </c>
      <c r="T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$T8)</f>
        <v>0</v>
      </c>
      <c r="U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$U8)</f>
        <v>100</v>
      </c>
      <c r="V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$V8)</f>
        <v>0</v>
      </c>
      <c r="W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$W8)</f>
        <v>0</v>
      </c>
      <c r="X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$X8)</f>
        <v>0</v>
      </c>
      <c r="Y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$Y8)</f>
        <v>200</v>
      </c>
      <c r="Z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$Z8)</f>
        <v>0</v>
      </c>
      <c r="AA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$AA8)</f>
        <v>0</v>
      </c>
      <c r="AB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$AB8)</f>
        <v>0</v>
      </c>
      <c r="AC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$AC8)</f>
        <v>0</v>
      </c>
      <c r="AD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$AD8)</f>
        <v>0</v>
      </c>
      <c r="AE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$AE8)</f>
        <v>0</v>
      </c>
      <c r="AF9" s="10"/>
      <c r="AG9" s="10">
        <f>SUMIFS(tbl_transaction[Net_Cash_Change], tbl_transaction[Transaction_Date],tbl_position[[#This Row],[Date]])+IF(tbl_position[[#This Row],[Date]]=$A$5, 100000, $AG8)</f>
        <v>61575.199999999997</v>
      </c>
      <c r="AH9" s="11">
        <f>SUMIFS(tbl_transaction[Net_Debt_Change], tbl_transaction[Transaction_Date],tbl_position[[#This Row],[Date]])+IF(tbl_position[[#This Row],[Date]]=$A$5, 0, $AH8)</f>
        <v>6192.4</v>
      </c>
      <c r="AI9" s="48">
        <f>tbl_position[[#This Row],[Shares_Holding]]+tbl_position[[#This Row],[Cash_Holding]]-tbl_position[[#This Row],[Liabilities_Holding]]</f>
        <v>55382.799999999996</v>
      </c>
    </row>
    <row r="10" spans="1:35" x14ac:dyDescent="0.3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 s="10"/>
      <c r="M10" s="10"/>
      <c r="N10" s="10"/>
      <c r="O10" s="10"/>
      <c r="P10" s="10"/>
      <c r="Q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$Q9)</f>
        <v>100</v>
      </c>
      <c r="R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$R9)</f>
        <v>0</v>
      </c>
      <c r="S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$S9)</f>
        <v>50</v>
      </c>
      <c r="T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$T9)</f>
        <v>0</v>
      </c>
      <c r="U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$U9)</f>
        <v>100</v>
      </c>
      <c r="V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$V9)</f>
        <v>0</v>
      </c>
      <c r="W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$W9)</f>
        <v>100</v>
      </c>
      <c r="X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$X9)</f>
        <v>0</v>
      </c>
      <c r="Y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$Y9)</f>
        <v>0</v>
      </c>
      <c r="Z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$Z9)</f>
        <v>1000</v>
      </c>
      <c r="AA1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$AA9)</f>
        <v>0</v>
      </c>
      <c r="AB1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$AB9)</f>
        <v>0</v>
      </c>
      <c r="AC1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$AC9)</f>
        <v>0</v>
      </c>
      <c r="AD1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$AD9)</f>
        <v>0</v>
      </c>
      <c r="AE1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$AE9)</f>
        <v>0</v>
      </c>
      <c r="AF10" s="10"/>
      <c r="AG10" s="10">
        <f>SUMIFS(tbl_transaction[Net_Cash_Change], tbl_transaction[Transaction_Date],tbl_position[[#This Row],[Date]])+IF(tbl_position[[#This Row],[Date]]=$A$5, 100000, $AG9)</f>
        <v>57949.2</v>
      </c>
      <c r="AH10" s="11">
        <f>SUMIFS(tbl_transaction[Net_Debt_Change], tbl_transaction[Transaction_Date],tbl_position[[#This Row],[Date]])+IF(tbl_position[[#This Row],[Date]]=$A$5, 0, $AH9)</f>
        <v>5492.9</v>
      </c>
      <c r="AI10" s="48">
        <f>tbl_position[[#This Row],[Shares_Holding]]+tbl_position[[#This Row],[Cash_Holding]]-tbl_position[[#This Row],[Liabilities_Holding]]</f>
        <v>52456.299999999996</v>
      </c>
    </row>
    <row r="11" spans="1:35" x14ac:dyDescent="0.3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 s="10"/>
      <c r="M11" s="10"/>
      <c r="N11" s="10"/>
      <c r="O11" s="10"/>
      <c r="P11" s="10"/>
      <c r="Q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$Q10)</f>
        <v>50</v>
      </c>
      <c r="R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$R10)</f>
        <v>0</v>
      </c>
      <c r="S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$S10)</f>
        <v>50</v>
      </c>
      <c r="T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$T10)</f>
        <v>0</v>
      </c>
      <c r="U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$U10)</f>
        <v>100</v>
      </c>
      <c r="V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$V10)</f>
        <v>0</v>
      </c>
      <c r="W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$W10)</f>
        <v>100</v>
      </c>
      <c r="X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$X10)</f>
        <v>0</v>
      </c>
      <c r="Y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$Y10)</f>
        <v>0</v>
      </c>
      <c r="Z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$Z10)</f>
        <v>0</v>
      </c>
      <c r="AA1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$AA10)</f>
        <v>0</v>
      </c>
      <c r="AB1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$AB10)</f>
        <v>0</v>
      </c>
      <c r="AC1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$AC10)</f>
        <v>0</v>
      </c>
      <c r="AD1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$AD10)</f>
        <v>0</v>
      </c>
      <c r="AE1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$AE10)</f>
        <v>0</v>
      </c>
      <c r="AF11" s="10"/>
      <c r="AG11" s="10">
        <f>SUMIFS(tbl_transaction[Net_Cash_Change], tbl_transaction[Transaction_Date],tbl_position[[#This Row],[Date]])+IF(tbl_position[[#This Row],[Date]]=$A$5, 100000, $AG10)</f>
        <v>63351.7</v>
      </c>
      <c r="AH11" s="11">
        <f>SUMIFS(tbl_transaction[Net_Debt_Change], tbl_transaction[Transaction_Date],tbl_position[[#This Row],[Date]])+IF(tbl_position[[#This Row],[Date]]=$A$5, 0, $AH10)</f>
        <v>-407.10000000000036</v>
      </c>
      <c r="AI11" s="48">
        <f>tbl_position[[#This Row],[Shares_Holding]]+tbl_position[[#This Row],[Cash_Holding]]-tbl_position[[#This Row],[Liabilities_Holding]]</f>
        <v>63758.799999999996</v>
      </c>
    </row>
    <row r="12" spans="1:35" x14ac:dyDescent="0.3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 s="10"/>
      <c r="M12" s="10"/>
      <c r="N12" s="10"/>
      <c r="O12" s="10"/>
      <c r="P12" s="10"/>
      <c r="Q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$Q11)</f>
        <v>50</v>
      </c>
      <c r="R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$R11)</f>
        <v>0</v>
      </c>
      <c r="S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$S11)</f>
        <v>50</v>
      </c>
      <c r="T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$T11)</f>
        <v>0</v>
      </c>
      <c r="U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$U11)</f>
        <v>100</v>
      </c>
      <c r="V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$V11)</f>
        <v>0</v>
      </c>
      <c r="W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$W11)</f>
        <v>100</v>
      </c>
      <c r="X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$X11)</f>
        <v>0</v>
      </c>
      <c r="Y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$Y11)</f>
        <v>0</v>
      </c>
      <c r="Z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$Z11)</f>
        <v>4000</v>
      </c>
      <c r="AA1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$AA11)</f>
        <v>0</v>
      </c>
      <c r="AB1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$AB11)</f>
        <v>0</v>
      </c>
      <c r="AC1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$AC11)</f>
        <v>0</v>
      </c>
      <c r="AD1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$AD11)</f>
        <v>0</v>
      </c>
      <c r="AE1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$AE11)</f>
        <v>0</v>
      </c>
      <c r="AF12" s="10"/>
      <c r="AG12" s="10">
        <f>SUMIFS(tbl_transaction[Net_Cash_Change], tbl_transaction[Transaction_Date],tbl_position[[#This Row],[Date]])+IF(tbl_position[[#This Row],[Date]]=$A$5, 100000, $AG11)</f>
        <v>37751.699999999997</v>
      </c>
      <c r="AH12" s="11">
        <f>SUMIFS(tbl_transaction[Net_Debt_Change], tbl_transaction[Transaction_Date],tbl_position[[#This Row],[Date]])+IF(tbl_position[[#This Row],[Date]]=$A$5, 0, $AH11)</f>
        <v>-407.10000000000036</v>
      </c>
      <c r="AI12" s="48">
        <f>tbl_position[[#This Row],[Shares_Holding]]+tbl_position[[#This Row],[Cash_Holding]]-tbl_position[[#This Row],[Liabilities_Holding]]</f>
        <v>38158.799999999996</v>
      </c>
    </row>
    <row r="13" spans="1:35" x14ac:dyDescent="0.3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 s="10"/>
      <c r="M13" s="10"/>
      <c r="N13" s="10"/>
      <c r="O13" s="10"/>
      <c r="P13" s="10"/>
      <c r="Q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$Q12)</f>
        <v>50</v>
      </c>
      <c r="R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$R12)</f>
        <v>0</v>
      </c>
      <c r="S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$S12)</f>
        <v>50</v>
      </c>
      <c r="T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$T12)</f>
        <v>0</v>
      </c>
      <c r="U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$U12)</f>
        <v>100</v>
      </c>
      <c r="V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$V12)</f>
        <v>0</v>
      </c>
      <c r="W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$W12)</f>
        <v>100</v>
      </c>
      <c r="X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$X12)</f>
        <v>0</v>
      </c>
      <c r="Y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$Y12)</f>
        <v>0</v>
      </c>
      <c r="Z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$Z12)</f>
        <v>2000</v>
      </c>
      <c r="AA1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$AA12)</f>
        <v>0</v>
      </c>
      <c r="AB1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$AB12)</f>
        <v>0</v>
      </c>
      <c r="AC1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$AC12)</f>
        <v>0</v>
      </c>
      <c r="AD1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$AD12)</f>
        <v>0</v>
      </c>
      <c r="AE1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$AE12)</f>
        <v>0</v>
      </c>
      <c r="AF13" s="10"/>
      <c r="AG13" s="10">
        <f>SUMIFS(tbl_transaction[Net_Cash_Change], tbl_transaction[Transaction_Date],tbl_position[[#This Row],[Date]])+IF(tbl_position[[#This Row],[Date]]=$A$5, 100000, $AG12)</f>
        <v>50051.7</v>
      </c>
      <c r="AH13" s="11">
        <f>SUMIFS(tbl_transaction[Net_Debt_Change], tbl_transaction[Transaction_Date],tbl_position[[#This Row],[Date]])+IF(tbl_position[[#This Row],[Date]]=$A$5, 0, $AH12)</f>
        <v>-407.10000000000036</v>
      </c>
      <c r="AI13" s="48">
        <f>tbl_position[[#This Row],[Shares_Holding]]+tbl_position[[#This Row],[Cash_Holding]]-tbl_position[[#This Row],[Liabilities_Holding]]</f>
        <v>50458.799999999996</v>
      </c>
    </row>
    <row r="14" spans="1:35" x14ac:dyDescent="0.3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 s="10"/>
      <c r="M14" s="10"/>
      <c r="N14" s="10"/>
      <c r="O14" s="10"/>
      <c r="P14" s="10"/>
      <c r="Q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$Q13)</f>
        <v>50</v>
      </c>
      <c r="R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$R13)</f>
        <v>0</v>
      </c>
      <c r="S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$S13)</f>
        <v>50</v>
      </c>
      <c r="T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$T13)</f>
        <v>0</v>
      </c>
      <c r="U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$U13)</f>
        <v>100</v>
      </c>
      <c r="V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$V13)</f>
        <v>0</v>
      </c>
      <c r="W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$W13)</f>
        <v>100</v>
      </c>
      <c r="X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$X13)</f>
        <v>50</v>
      </c>
      <c r="Y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$Y13)</f>
        <v>0</v>
      </c>
      <c r="Z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$Z13)</f>
        <v>980</v>
      </c>
      <c r="AA1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$AA13)</f>
        <v>0</v>
      </c>
      <c r="AB1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$AB13)</f>
        <v>0</v>
      </c>
      <c r="AC1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$AC13)</f>
        <v>0</v>
      </c>
      <c r="AD1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$AD13)</f>
        <v>0</v>
      </c>
      <c r="AE1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$AE13)</f>
        <v>0</v>
      </c>
      <c r="AF14" s="10"/>
      <c r="AG14" s="10">
        <f>SUMIFS(tbl_transaction[Net_Cash_Change], tbl_transaction[Transaction_Date],tbl_position[[#This Row],[Date]])+IF(tbl_position[[#This Row],[Date]]=$A$5, 100000, $AG13)</f>
        <v>43897.299999999996</v>
      </c>
      <c r="AH14" s="11">
        <f>SUMIFS(tbl_transaction[Net_Debt_Change], tbl_transaction[Transaction_Date],tbl_position[[#This Row],[Date]])+IF(tbl_position[[#This Row],[Date]]=$A$5, 0, $AH13)</f>
        <v>-407.10000000000036</v>
      </c>
      <c r="AI14" s="48">
        <f>tbl_position[[#This Row],[Shares_Holding]]+tbl_position[[#This Row],[Cash_Holding]]-tbl_position[[#This Row],[Liabilities_Holding]]</f>
        <v>44304.399999999994</v>
      </c>
    </row>
    <row r="15" spans="1:35" x14ac:dyDescent="0.35">
      <c r="A15" s="8">
        <v>44098</v>
      </c>
      <c r="B15" s="10">
        <f>VLOOKUP(tbl_position[[#This Row],[Date]], tbl_AAPL[], 5, 0)</f>
        <v>108.22</v>
      </c>
      <c r="C15" s="127">
        <f>VLOOKUP(tbl_position[[#This Row],[Date]], tbl_RIOT[], 5, 0)</f>
        <v>2.69</v>
      </c>
      <c r="D15" s="10">
        <f>VLOOKUP(tbl_position[[#This Row],[Date]], tbl_HD[], 5, 0)</f>
        <v>265.7</v>
      </c>
      <c r="E15" s="127">
        <f>VLOOKUP(tbl_position[[#This Row],[Date]], tbl_WMT[], 5, 0)</f>
        <v>136.69999999999999</v>
      </c>
      <c r="F15" s="127">
        <f>VLOOKUP(tbl_position[[#This Row],[Date]], tbl_IBM[], 5, 0)</f>
        <v>118.09</v>
      </c>
      <c r="G15" s="127">
        <f>VLOOKUP(tbl_position[[#This Row],[Date]], tbl_ORCL[], 5, 0)</f>
        <v>59.3</v>
      </c>
      <c r="H15" s="127">
        <f>VLOOKUP(tbl_position[[#This Row],[Date]], tbl_AKRO[], 5, 0)</f>
        <v>32.15</v>
      </c>
      <c r="I15" s="127">
        <f>VLOOKUP(tbl_position[[#This Row],[Date]], tbl_FDX[], 5, 0)</f>
        <v>241.42</v>
      </c>
      <c r="J15" s="127">
        <f>VLOOKUP(tbl_position[[#This Row],[Date]], tbl_NKLA[], 5, 0)</f>
        <v>19.100000000000001</v>
      </c>
      <c r="K15" s="127">
        <f>VLOOKUP(tbl_position[[#This Row],[Date]], tbl_SPXS[], 5, 0)</f>
        <v>6.41</v>
      </c>
      <c r="L15" s="127"/>
      <c r="M15" s="127"/>
      <c r="N15" s="127"/>
      <c r="O15" s="127"/>
      <c r="P15" s="127"/>
      <c r="Q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$Q14)</f>
        <v>50</v>
      </c>
      <c r="R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$R14)</f>
        <v>0</v>
      </c>
      <c r="S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$S14)</f>
        <v>50</v>
      </c>
      <c r="T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$T14)</f>
        <v>0</v>
      </c>
      <c r="U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$U14)</f>
        <v>100</v>
      </c>
      <c r="V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$V14)</f>
        <v>0</v>
      </c>
      <c r="W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$W14)</f>
        <v>100</v>
      </c>
      <c r="X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$X14)</f>
        <v>50</v>
      </c>
      <c r="Y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$Y14)</f>
        <v>500</v>
      </c>
      <c r="Z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$Z14)</f>
        <v>980</v>
      </c>
      <c r="AA1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$AA14)</f>
        <v>0</v>
      </c>
      <c r="AB1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$AB14)</f>
        <v>0</v>
      </c>
      <c r="AC1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$AC14)</f>
        <v>0</v>
      </c>
      <c r="AD1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$AD14)</f>
        <v>0</v>
      </c>
      <c r="AE1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$AE14)</f>
        <v>0</v>
      </c>
      <c r="AF15" s="10"/>
      <c r="AG15" s="10">
        <f>SUMIFS(tbl_transaction[Net_Cash_Change], tbl_transaction[Transaction_Date],tbl_position[[#This Row],[Date]])+IF(tbl_position[[#This Row],[Date]]=$A$5, 100000, $AG14)</f>
        <v>43897.299999999996</v>
      </c>
      <c r="AH15" s="11">
        <f>SUMIFS(tbl_transaction[Net_Debt_Change], tbl_transaction[Transaction_Date],tbl_position[[#This Row],[Date]])+IF(tbl_position[[#This Row],[Date]]=$A$5, 0, $AH14)</f>
        <v>9577.9</v>
      </c>
      <c r="AI15" s="48">
        <f>tbl_position[[#This Row],[Shares_Holding]]+tbl_position[[#This Row],[Cash_Holding]]-tbl_position[[#This Row],[Liabilities_Holding]]</f>
        <v>34319.399999999994</v>
      </c>
    </row>
    <row r="16" spans="1:35" x14ac:dyDescent="0.35">
      <c r="A16" s="9">
        <v>44099</v>
      </c>
      <c r="B16" s="10">
        <f>VLOOKUP(tbl_position[[#This Row],[Date]], tbl_AAPL[], 5, 0)</f>
        <v>112.28</v>
      </c>
      <c r="C16" s="127">
        <f>VLOOKUP(tbl_position[[#This Row],[Date]], tbl_RIOT[], 5, 0)</f>
        <v>2.68</v>
      </c>
      <c r="D16" s="10">
        <f>VLOOKUP(tbl_position[[#This Row],[Date]], tbl_HD[], 5, 0)</f>
        <v>268.55</v>
      </c>
      <c r="E16" s="127">
        <f>VLOOKUP(tbl_position[[#This Row],[Date]], tbl_WMT[], 5, 0)</f>
        <v>137.27000000000001</v>
      </c>
      <c r="F16" s="127">
        <f>VLOOKUP(tbl_position[[#This Row],[Date]], tbl_IBM[], 5, 0)</f>
        <v>118.95</v>
      </c>
      <c r="G16" s="127">
        <f>VLOOKUP(tbl_position[[#This Row],[Date]], tbl_ORCL[], 5, 0)</f>
        <v>59.8</v>
      </c>
      <c r="H16" s="129">
        <f>VLOOKUP(tbl_position[[#This Row],[Date]], tbl_AKRO[], 5, 0)</f>
        <v>32.130000000000003</v>
      </c>
      <c r="I16" s="129">
        <f>VLOOKUP(tbl_position[[#This Row],[Date]], tbl_FDX[], 5, 0)</f>
        <v>250.17</v>
      </c>
      <c r="J16" s="129">
        <f>VLOOKUP(tbl_position[[#This Row],[Date]], tbl_NKLA[], 5, 0)</f>
        <v>19.46</v>
      </c>
      <c r="K16" s="129">
        <f>VLOOKUP(tbl_position[[#This Row],[Date]], tbl_SPXS[], 5, 0)</f>
        <v>6.1</v>
      </c>
      <c r="L16" s="129"/>
      <c r="M16" s="129"/>
      <c r="N16" s="129"/>
      <c r="O16" s="129"/>
      <c r="P16" s="129"/>
      <c r="Q1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$Q15)</f>
        <v>50</v>
      </c>
      <c r="R1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$R15)</f>
        <v>0</v>
      </c>
      <c r="S1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$S15)</f>
        <v>50</v>
      </c>
      <c r="T1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$T15)</f>
        <v>0</v>
      </c>
      <c r="U1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$U15)</f>
        <v>100</v>
      </c>
      <c r="V1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$V15)</f>
        <v>0</v>
      </c>
      <c r="W1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$W15)</f>
        <v>100</v>
      </c>
      <c r="X1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$X15)</f>
        <v>50</v>
      </c>
      <c r="Y1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$Y15)</f>
        <v>500</v>
      </c>
      <c r="Z1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$Z15)</f>
        <v>980</v>
      </c>
      <c r="AA1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$AA15)</f>
        <v>0</v>
      </c>
      <c r="AB1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$AB15)</f>
        <v>0</v>
      </c>
      <c r="AC1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$AC15)</f>
        <v>0</v>
      </c>
      <c r="AD1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$AD15)</f>
        <v>0</v>
      </c>
      <c r="AE1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$AE15)</f>
        <v>0</v>
      </c>
      <c r="AF16" s="10"/>
      <c r="AG16" s="129">
        <f>SUMIFS(tbl_transaction[Net_Cash_Change], tbl_transaction[Transaction_Date],tbl_position[[#This Row],[Date]])+IF(tbl_position[[#This Row],[Date]]=$A$5, 100000, $AG15)</f>
        <v>43897.299999999996</v>
      </c>
      <c r="AH16" s="11">
        <f>SUMIFS(tbl_transaction[Net_Debt_Change], tbl_transaction[Transaction_Date],tbl_position[[#This Row],[Date]])+IF(tbl_position[[#This Row],[Date]]=$A$5, 0, $AH15)</f>
        <v>9577.9</v>
      </c>
      <c r="AI16" s="48">
        <f>tbl_position[[#This Row],[Shares_Holding]]+tbl_position[[#This Row],[Cash_Holding]]-tbl_position[[#This Row],[Liabilities_Holding]]</f>
        <v>34319.399999999994</v>
      </c>
    </row>
    <row r="17" spans="1:35" x14ac:dyDescent="0.35">
      <c r="A17" s="9">
        <v>44102</v>
      </c>
      <c r="B17" s="10">
        <f>VLOOKUP(tbl_position[[#This Row],[Date]], tbl_AAPL[], 5, 0)</f>
        <v>114.96</v>
      </c>
      <c r="C17" s="127">
        <f>VLOOKUP(tbl_position[[#This Row],[Date]], tbl_RIOT[], 5, 0)</f>
        <v>2.74</v>
      </c>
      <c r="D17" s="10">
        <f>VLOOKUP(tbl_position[[#This Row],[Date]], tbl_HD[], 5, 0)</f>
        <v>272.33</v>
      </c>
      <c r="E17" s="127">
        <f>VLOOKUP(tbl_position[[#This Row],[Date]], tbl_WMT[], 5, 0)</f>
        <v>137.25</v>
      </c>
      <c r="F17" s="127">
        <f>VLOOKUP(tbl_position[[#This Row],[Date]], tbl_IBM[], 5, 0)</f>
        <v>121.73</v>
      </c>
      <c r="G17" s="127">
        <f>VLOOKUP(tbl_position[[#This Row],[Date]], tbl_ORCL[], 5, 0)</f>
        <v>59.58</v>
      </c>
      <c r="H17" s="129">
        <f>VLOOKUP(tbl_position[[#This Row],[Date]], tbl_AKRO[], 5, 0)</f>
        <v>31.57</v>
      </c>
      <c r="I17" s="129">
        <f>VLOOKUP(tbl_position[[#This Row],[Date]], tbl_FDX[], 5, 0)</f>
        <v>254.44</v>
      </c>
      <c r="J17" s="129">
        <f>VLOOKUP(tbl_position[[#This Row],[Date]], tbl_NKLA[], 5, 0)</f>
        <v>19.3</v>
      </c>
      <c r="K17" s="129">
        <f>VLOOKUP(tbl_position[[#This Row],[Date]], tbl_SPXS[], 5, 0)</f>
        <v>5.81</v>
      </c>
      <c r="L17" s="129"/>
      <c r="M17" s="129"/>
      <c r="N17" s="129"/>
      <c r="O17" s="129"/>
      <c r="P17" s="129"/>
      <c r="Q1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$Q16)</f>
        <v>50</v>
      </c>
      <c r="R1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$R16)</f>
        <v>0</v>
      </c>
      <c r="S1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$S16)</f>
        <v>50</v>
      </c>
      <c r="T1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$T16)</f>
        <v>0</v>
      </c>
      <c r="U1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$U16)</f>
        <v>100</v>
      </c>
      <c r="V1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$V16)</f>
        <v>0</v>
      </c>
      <c r="W1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$W16)</f>
        <v>100</v>
      </c>
      <c r="X1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$X16)</f>
        <v>50</v>
      </c>
      <c r="Y1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$Y16)</f>
        <v>800</v>
      </c>
      <c r="Z1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$Z16)</f>
        <v>0</v>
      </c>
      <c r="AA1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$AA16)</f>
        <v>0</v>
      </c>
      <c r="AB1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$AB16)</f>
        <v>0</v>
      </c>
      <c r="AC1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$AC16)</f>
        <v>0</v>
      </c>
      <c r="AD1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$AD16)</f>
        <v>0</v>
      </c>
      <c r="AE1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$AE16)</f>
        <v>0</v>
      </c>
      <c r="AF17" s="10"/>
      <c r="AG17" s="129">
        <f>SUMIFS(tbl_transaction[Net_Cash_Change], tbl_transaction[Transaction_Date],tbl_position[[#This Row],[Date]])+IF(tbl_position[[#This Row],[Date]]=$A$5, 100000, $AG16)</f>
        <v>49591.099999999991</v>
      </c>
      <c r="AH17" s="11">
        <f>SUMIFS(tbl_transaction[Net_Debt_Change], tbl_transaction[Transaction_Date],tbl_position[[#This Row],[Date]])+IF(tbl_position[[#This Row],[Date]]=$A$5, 0, $AH16)</f>
        <v>15208.9</v>
      </c>
      <c r="AI17" s="48">
        <f>tbl_position[[#This Row],[Shares_Holding]]+tbl_position[[#This Row],[Cash_Holding]]-tbl_position[[#This Row],[Liabilities_Holding]]</f>
        <v>34382.19999999999</v>
      </c>
    </row>
    <row r="18" spans="1:35" x14ac:dyDescent="0.35">
      <c r="A18" s="9">
        <v>44103</v>
      </c>
      <c r="B18" s="10">
        <f>VLOOKUP(tbl_position[[#This Row],[Date]], tbl_AAPL[], 5, 0)</f>
        <v>114.09</v>
      </c>
      <c r="C18" s="127">
        <f>VLOOKUP(tbl_position[[#This Row],[Date]], tbl_RIOT[], 5, 0)</f>
        <v>2.76</v>
      </c>
      <c r="D18" s="10">
        <f>VLOOKUP(tbl_position[[#This Row],[Date]], tbl_HD[], 5, 0)</f>
        <v>272.11</v>
      </c>
      <c r="E18" s="127">
        <f>VLOOKUP(tbl_position[[#This Row],[Date]], tbl_WMT[], 5, 0)</f>
        <v>137.13999999999999</v>
      </c>
      <c r="F18" s="127">
        <f>VLOOKUP(tbl_position[[#This Row],[Date]], tbl_IBM[], 5, 0)</f>
        <v>120.94</v>
      </c>
      <c r="G18" s="127">
        <f>VLOOKUP(tbl_position[[#This Row],[Date]], tbl_ORCL[], 5, 0)</f>
        <v>59.47</v>
      </c>
      <c r="H18" s="129">
        <f>VLOOKUP(tbl_position[[#This Row],[Date]], tbl_AKRO[], 5, 0)</f>
        <v>31.37</v>
      </c>
      <c r="I18" s="129">
        <f>VLOOKUP(tbl_position[[#This Row],[Date]], tbl_FDX[], 5, 0)</f>
        <v>253.5</v>
      </c>
      <c r="J18" s="129">
        <f>VLOOKUP(tbl_position[[#This Row],[Date]], tbl_NKLA[], 5, 0)</f>
        <v>17.88</v>
      </c>
      <c r="K18" s="129">
        <f>VLOOKUP(tbl_position[[#This Row],[Date]], tbl_SPXS[], 5, 0)</f>
        <v>5.91</v>
      </c>
      <c r="L18" s="129"/>
      <c r="M18" s="129"/>
      <c r="N18" s="129"/>
      <c r="O18" s="129"/>
      <c r="P18" s="129"/>
      <c r="Q1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$Q17)</f>
        <v>50</v>
      </c>
      <c r="R1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$R17)</f>
        <v>0</v>
      </c>
      <c r="S1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$S17)</f>
        <v>50</v>
      </c>
      <c r="T1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$T17)</f>
        <v>0</v>
      </c>
      <c r="U1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$U17)</f>
        <v>100</v>
      </c>
      <c r="V1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$V17)</f>
        <v>0</v>
      </c>
      <c r="W1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$W17)</f>
        <v>100</v>
      </c>
      <c r="X1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$X17)</f>
        <v>50</v>
      </c>
      <c r="Y1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$Y17)</f>
        <v>800</v>
      </c>
      <c r="Z1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$Z17)</f>
        <v>0</v>
      </c>
      <c r="AA1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$AA17)</f>
        <v>0</v>
      </c>
      <c r="AB1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$AB17)</f>
        <v>0</v>
      </c>
      <c r="AC1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$AC17)</f>
        <v>0</v>
      </c>
      <c r="AD1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$AD17)</f>
        <v>0</v>
      </c>
      <c r="AE1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$AE17)</f>
        <v>0</v>
      </c>
      <c r="AF18" s="10"/>
      <c r="AG18" s="129">
        <f>SUMIFS(tbl_transaction[Net_Cash_Change], tbl_transaction[Transaction_Date],tbl_position[[#This Row],[Date]])+IF(tbl_position[[#This Row],[Date]]=$A$5, 100000, $AG17)</f>
        <v>49591.099999999991</v>
      </c>
      <c r="AH18" s="11">
        <f>SUMIFS(tbl_transaction[Net_Debt_Change], tbl_transaction[Transaction_Date],tbl_position[[#This Row],[Date]])+IF(tbl_position[[#This Row],[Date]]=$A$5, 0, $AH17)</f>
        <v>15208.9</v>
      </c>
      <c r="AI18" s="48">
        <f>tbl_position[[#This Row],[Shares_Holding]]+tbl_position[[#This Row],[Cash_Holding]]-tbl_position[[#This Row],[Liabilities_Holding]]</f>
        <v>34382.19999999999</v>
      </c>
    </row>
    <row r="19" spans="1:35" x14ac:dyDescent="0.35">
      <c r="A19" s="9">
        <v>44104</v>
      </c>
      <c r="B19" s="10">
        <f>VLOOKUP(tbl_position[[#This Row],[Date]], tbl_AAPL[], 5, 0)</f>
        <v>115.81</v>
      </c>
      <c r="C19" s="127">
        <f>VLOOKUP(tbl_position[[#This Row],[Date]], tbl_RIOT[], 5, 0)</f>
        <v>2.7</v>
      </c>
      <c r="D19" s="10">
        <f>VLOOKUP(tbl_position[[#This Row],[Date]], tbl_HD[], 5, 0)</f>
        <v>277.70999999999998</v>
      </c>
      <c r="E19" s="127">
        <f>VLOOKUP(tbl_position[[#This Row],[Date]], tbl_WMT[], 5, 0)</f>
        <v>139.91</v>
      </c>
      <c r="F19" s="127">
        <f>VLOOKUP(tbl_position[[#This Row],[Date]], tbl_IBM[], 5, 0)</f>
        <v>121.67</v>
      </c>
      <c r="G19" s="127">
        <f>VLOOKUP(tbl_position[[#This Row],[Date]], tbl_ORCL[], 5, 0)</f>
        <v>59.7</v>
      </c>
      <c r="H19" s="129">
        <f>VLOOKUP(tbl_position[[#This Row],[Date]], tbl_AKRO[], 5, 0)</f>
        <v>30.79</v>
      </c>
      <c r="I19" s="129">
        <f>VLOOKUP(tbl_position[[#This Row],[Date]], tbl_FDX[], 5, 0)</f>
        <v>251.52</v>
      </c>
      <c r="J19" s="129">
        <f>VLOOKUP(tbl_position[[#This Row],[Date]], tbl_NKLA[], 5, 0)</f>
        <v>20.48</v>
      </c>
      <c r="K19" s="129">
        <f>VLOOKUP(tbl_position[[#This Row],[Date]], tbl_SPXS[], 5, 0)</f>
        <v>5.76</v>
      </c>
      <c r="L19" s="129"/>
      <c r="M19" s="129"/>
      <c r="N19" s="129"/>
      <c r="O19" s="129"/>
      <c r="P19" s="129"/>
      <c r="Q1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$Q18)</f>
        <v>50</v>
      </c>
      <c r="R1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$R18)</f>
        <v>0</v>
      </c>
      <c r="S1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$S18)</f>
        <v>50</v>
      </c>
      <c r="T1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$T18)</f>
        <v>0</v>
      </c>
      <c r="U1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$U18)</f>
        <v>100</v>
      </c>
      <c r="V1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$V18)</f>
        <v>0</v>
      </c>
      <c r="W1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$W18)</f>
        <v>100</v>
      </c>
      <c r="X1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$X18)</f>
        <v>50</v>
      </c>
      <c r="Y1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$Y18)</f>
        <v>800</v>
      </c>
      <c r="Z1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$Z18)</f>
        <v>0</v>
      </c>
      <c r="AA1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$AA18)</f>
        <v>0</v>
      </c>
      <c r="AB1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$AB18)</f>
        <v>0</v>
      </c>
      <c r="AC1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$AC18)</f>
        <v>0</v>
      </c>
      <c r="AD1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$AD18)</f>
        <v>0</v>
      </c>
      <c r="AE1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$AE18)</f>
        <v>0</v>
      </c>
      <c r="AF19" s="10"/>
      <c r="AG19" s="129">
        <f>SUMIFS(tbl_transaction[Net_Cash_Change], tbl_transaction[Transaction_Date],tbl_position[[#This Row],[Date]])+IF(tbl_position[[#This Row],[Date]]=$A$5, 100000, $AG18)</f>
        <v>49591.099999999991</v>
      </c>
      <c r="AH19" s="11">
        <f>SUMIFS(tbl_transaction[Net_Debt_Change], tbl_transaction[Transaction_Date],tbl_position[[#This Row],[Date]])+IF(tbl_position[[#This Row],[Date]]=$A$5, 0, $AH18)</f>
        <v>15208.9</v>
      </c>
      <c r="AI19" s="48">
        <f>tbl_position[[#This Row],[Shares_Holding]]+tbl_position[[#This Row],[Cash_Holding]]-tbl_position[[#This Row],[Liabilities_Holding]]</f>
        <v>34382.19999999999</v>
      </c>
    </row>
    <row r="20" spans="1:35" x14ac:dyDescent="0.35">
      <c r="A20" s="9">
        <v>44105</v>
      </c>
      <c r="B20" s="10">
        <f>VLOOKUP(tbl_position[[#This Row],[Date]], tbl_AAPL[], 5, 0)</f>
        <v>116.79</v>
      </c>
      <c r="C20" s="127">
        <f>VLOOKUP(tbl_position[[#This Row],[Date]], tbl_RIOT[], 5, 0)</f>
        <v>2.65</v>
      </c>
      <c r="D20" s="10">
        <f>VLOOKUP(tbl_position[[#This Row],[Date]], tbl_HD[], 5, 0)</f>
        <v>277.62</v>
      </c>
      <c r="E20" s="127">
        <f>VLOOKUP(tbl_position[[#This Row],[Date]], tbl_WMT[], 5, 0)</f>
        <v>143.08000000000001</v>
      </c>
      <c r="F20" s="127">
        <f>VLOOKUP(tbl_position[[#This Row],[Date]], tbl_IBM[], 5, 0)</f>
        <v>121.09</v>
      </c>
      <c r="G20" s="127">
        <f>VLOOKUP(tbl_position[[#This Row],[Date]], tbl_ORCL[], 5, 0)</f>
        <v>59.68</v>
      </c>
      <c r="H20" s="129">
        <f>VLOOKUP(tbl_position[[#This Row],[Date]], tbl_AKRO[], 5, 0)</f>
        <v>29.18</v>
      </c>
      <c r="I20" s="129">
        <f>VLOOKUP(tbl_position[[#This Row],[Date]], tbl_FDX[], 5, 0)</f>
        <v>254.08</v>
      </c>
      <c r="J20" s="129">
        <f>VLOOKUP(tbl_position[[#This Row],[Date]], tbl_NKLA[], 5, 0)</f>
        <v>24.11</v>
      </c>
      <c r="K20" s="129">
        <f>VLOOKUP(tbl_position[[#This Row],[Date]], tbl_SPXS[], 5, 0)</f>
        <v>5.66</v>
      </c>
      <c r="L20" s="129"/>
      <c r="M20" s="129"/>
      <c r="N20" s="129"/>
      <c r="O20" s="129"/>
      <c r="P20" s="129"/>
      <c r="Q2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$Q19)</f>
        <v>50</v>
      </c>
      <c r="R2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$R19)</f>
        <v>0</v>
      </c>
      <c r="S2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$S19)</f>
        <v>50</v>
      </c>
      <c r="T2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$T19)</f>
        <v>0</v>
      </c>
      <c r="U2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$U19)</f>
        <v>100</v>
      </c>
      <c r="V2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$V19)</f>
        <v>0</v>
      </c>
      <c r="W2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$W19)</f>
        <v>100</v>
      </c>
      <c r="X2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$X19)</f>
        <v>50</v>
      </c>
      <c r="Y2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$Y19)</f>
        <v>800</v>
      </c>
      <c r="Z2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$Z19)</f>
        <v>0</v>
      </c>
      <c r="AA2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$AA19)</f>
        <v>0</v>
      </c>
      <c r="AB2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$AB19)</f>
        <v>0</v>
      </c>
      <c r="AC2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$AC19)</f>
        <v>0</v>
      </c>
      <c r="AD2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$AD19)</f>
        <v>0</v>
      </c>
      <c r="AE2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$AE19)</f>
        <v>0</v>
      </c>
      <c r="AF20" s="10"/>
      <c r="AG20" s="129">
        <f>SUMIFS(tbl_transaction[Net_Cash_Change], tbl_transaction[Transaction_Date],tbl_position[[#This Row],[Date]])+IF(tbl_position[[#This Row],[Date]]=$A$5, 100000, $AG19)</f>
        <v>49591.099999999991</v>
      </c>
      <c r="AH20" s="11">
        <f>SUMIFS(tbl_transaction[Net_Debt_Change], tbl_transaction[Transaction_Date],tbl_position[[#This Row],[Date]])+IF(tbl_position[[#This Row],[Date]]=$A$5, 0, $AH19)</f>
        <v>15208.9</v>
      </c>
      <c r="AI20" s="48">
        <f>tbl_position[[#This Row],[Shares_Holding]]+tbl_position[[#This Row],[Cash_Holding]]-tbl_position[[#This Row],[Liabilities_Holding]]</f>
        <v>34382.19999999999</v>
      </c>
    </row>
    <row r="21" spans="1:35" x14ac:dyDescent="0.35">
      <c r="A21" s="9">
        <v>44106</v>
      </c>
      <c r="B21" s="10">
        <f>VLOOKUP(tbl_position[[#This Row],[Date]], tbl_AAPL[], 5, 0)</f>
        <v>113.02</v>
      </c>
      <c r="C21" s="127">
        <f>VLOOKUP(tbl_position[[#This Row],[Date]], tbl_RIOT[], 5, 0)</f>
        <v>2.6</v>
      </c>
      <c r="D21" s="10">
        <f>VLOOKUP(tbl_position[[#This Row],[Date]], tbl_HD[], 5, 0)</f>
        <v>279.31</v>
      </c>
      <c r="E21" s="127">
        <f>VLOOKUP(tbl_position[[#This Row],[Date]], tbl_WMT[], 5, 0)</f>
        <v>140.5</v>
      </c>
      <c r="F21" s="127">
        <f>VLOOKUP(tbl_position[[#This Row],[Date]], tbl_IBM[], 5, 0)</f>
        <v>120.57</v>
      </c>
      <c r="G21" s="127">
        <f>VLOOKUP(tbl_position[[#This Row],[Date]], tbl_ORCL[], 5, 0)</f>
        <v>58.83</v>
      </c>
      <c r="H21" s="129">
        <f>VLOOKUP(tbl_position[[#This Row],[Date]], tbl_AKRO[], 5, 0)</f>
        <v>28.99</v>
      </c>
      <c r="I21" s="129">
        <f>VLOOKUP(tbl_position[[#This Row],[Date]], tbl_FDX[], 5, 0)</f>
        <v>255.2</v>
      </c>
      <c r="J21" s="129">
        <f>VLOOKUP(tbl_position[[#This Row],[Date]], tbl_NKLA[], 5, 0)</f>
        <v>24.25</v>
      </c>
      <c r="K21" s="129">
        <f>VLOOKUP(tbl_position[[#This Row],[Date]], tbl_SPXS[], 5, 0)</f>
        <v>5.81</v>
      </c>
      <c r="L21" s="129"/>
      <c r="M21" s="129"/>
      <c r="N21" s="129"/>
      <c r="O21" s="129"/>
      <c r="P21" s="129"/>
      <c r="Q2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$Q20)</f>
        <v>50</v>
      </c>
      <c r="R2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$R20)</f>
        <v>0</v>
      </c>
      <c r="S2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$S20)</f>
        <v>50</v>
      </c>
      <c r="T2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$T20)</f>
        <v>0</v>
      </c>
      <c r="U2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$U20)</f>
        <v>100</v>
      </c>
      <c r="V2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$V20)</f>
        <v>0</v>
      </c>
      <c r="W2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$W20)</f>
        <v>100</v>
      </c>
      <c r="X2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$X20)</f>
        <v>50</v>
      </c>
      <c r="Y2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$Y20)</f>
        <v>800</v>
      </c>
      <c r="Z2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$Z20)</f>
        <v>0</v>
      </c>
      <c r="AA2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$AA20)</f>
        <v>0</v>
      </c>
      <c r="AB2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$AB20)</f>
        <v>0</v>
      </c>
      <c r="AC2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$AC20)</f>
        <v>0</v>
      </c>
      <c r="AD2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$AD20)</f>
        <v>0</v>
      </c>
      <c r="AE2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$AE20)</f>
        <v>0</v>
      </c>
      <c r="AF21" s="10"/>
      <c r="AG21" s="129">
        <f>SUMIFS(tbl_transaction[Net_Cash_Change], tbl_transaction[Transaction_Date],tbl_position[[#This Row],[Date]])+IF(tbl_position[[#This Row],[Date]]=$A$5, 100000, $AG20)</f>
        <v>49591.099999999991</v>
      </c>
      <c r="AH21" s="11">
        <f>SUMIFS(tbl_transaction[Net_Debt_Change], tbl_transaction[Transaction_Date],tbl_position[[#This Row],[Date]])+IF(tbl_position[[#This Row],[Date]]=$A$5, 0, $AH20)</f>
        <v>15208.9</v>
      </c>
      <c r="AI21" s="48">
        <f>tbl_position[[#This Row],[Shares_Holding]]+tbl_position[[#This Row],[Cash_Holding]]-tbl_position[[#This Row],[Liabilities_Holding]]</f>
        <v>34382.19999999999</v>
      </c>
    </row>
    <row r="22" spans="1:35" x14ac:dyDescent="0.35">
      <c r="A22" s="9">
        <v>44109</v>
      </c>
      <c r="B22" s="10">
        <f>VLOOKUP(tbl_position[[#This Row],[Date]], tbl_AAPL[], 5, 0)</f>
        <v>116.5</v>
      </c>
      <c r="C22" s="127">
        <f>VLOOKUP(tbl_position[[#This Row],[Date]], tbl_RIOT[], 5, 0)</f>
        <v>2.66</v>
      </c>
      <c r="D22" s="10">
        <f>VLOOKUP(tbl_position[[#This Row],[Date]], tbl_HD[], 5, 0)</f>
        <v>282.10000000000002</v>
      </c>
      <c r="E22" s="127">
        <f>VLOOKUP(tbl_position[[#This Row],[Date]], tbl_WMT[], 5, 0)</f>
        <v>141.80000000000001</v>
      </c>
      <c r="F22" s="127">
        <f>VLOOKUP(tbl_position[[#This Row],[Date]], tbl_IBM[], 5, 0)</f>
        <v>122.01</v>
      </c>
      <c r="G22" s="127">
        <f>VLOOKUP(tbl_position[[#This Row],[Date]], tbl_ORCL[], 5, 0)</f>
        <v>59.56</v>
      </c>
      <c r="H22" s="129">
        <f>VLOOKUP(tbl_position[[#This Row],[Date]], tbl_AKRO[], 5, 0)</f>
        <v>29.89</v>
      </c>
      <c r="I22" s="129">
        <f>VLOOKUP(tbl_position[[#This Row],[Date]], tbl_FDX[], 5, 0)</f>
        <v>259.20999999999998</v>
      </c>
      <c r="J22" s="129">
        <f>VLOOKUP(tbl_position[[#This Row],[Date]], tbl_NKLA[], 5, 0)</f>
        <v>23.78</v>
      </c>
      <c r="K22" s="129">
        <f>VLOOKUP(tbl_position[[#This Row],[Date]], tbl_SPXS[], 5, 0)</f>
        <v>5.51</v>
      </c>
      <c r="L22" s="129"/>
      <c r="M22" s="129"/>
      <c r="N22" s="129"/>
      <c r="O22" s="129"/>
      <c r="P22" s="129"/>
      <c r="Q2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$Q21)</f>
        <v>50</v>
      </c>
      <c r="R2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$R21)</f>
        <v>0</v>
      </c>
      <c r="S2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$S21)</f>
        <v>50</v>
      </c>
      <c r="T2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$T21)</f>
        <v>0</v>
      </c>
      <c r="U2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$U21)</f>
        <v>100</v>
      </c>
      <c r="V2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$V21)</f>
        <v>0</v>
      </c>
      <c r="W2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$W21)</f>
        <v>100</v>
      </c>
      <c r="X2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$X21)</f>
        <v>50</v>
      </c>
      <c r="Y2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$Y21)</f>
        <v>800</v>
      </c>
      <c r="Z2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$Z21)</f>
        <v>0</v>
      </c>
      <c r="AA2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$AA21)</f>
        <v>0</v>
      </c>
      <c r="AB2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$AB21)</f>
        <v>0</v>
      </c>
      <c r="AC2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$AC21)</f>
        <v>0</v>
      </c>
      <c r="AD2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$AD21)</f>
        <v>0</v>
      </c>
      <c r="AE2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$AE21)</f>
        <v>0</v>
      </c>
      <c r="AF22" s="10"/>
      <c r="AG22" s="129">
        <f>SUMIFS(tbl_transaction[Net_Cash_Change], tbl_transaction[Transaction_Date],tbl_position[[#This Row],[Date]])+IF(tbl_position[[#This Row],[Date]]=$A$5, 100000, $AG21)</f>
        <v>49591.099999999991</v>
      </c>
      <c r="AH22" s="11">
        <f>SUMIFS(tbl_transaction[Net_Debt_Change], tbl_transaction[Transaction_Date],tbl_position[[#This Row],[Date]])+IF(tbl_position[[#This Row],[Date]]=$A$5, 0, $AH21)</f>
        <v>15208.9</v>
      </c>
      <c r="AI22" s="48">
        <f>tbl_position[[#This Row],[Shares_Holding]]+tbl_position[[#This Row],[Cash_Holding]]-tbl_position[[#This Row],[Liabilities_Holding]]</f>
        <v>34382.19999999999</v>
      </c>
    </row>
    <row r="23" spans="1:35" x14ac:dyDescent="0.35">
      <c r="A23" s="9">
        <v>44110</v>
      </c>
      <c r="B23" s="10">
        <f>VLOOKUP(tbl_position[[#This Row],[Date]], tbl_AAPL[], 5, 0)</f>
        <v>113.16</v>
      </c>
      <c r="C23" s="127">
        <f>VLOOKUP(tbl_position[[#This Row],[Date]], tbl_RIOT[], 5, 0)</f>
        <v>2.57</v>
      </c>
      <c r="D23" s="10">
        <f>VLOOKUP(tbl_position[[#This Row],[Date]], tbl_HD[], 5, 0)</f>
        <v>276.47000000000003</v>
      </c>
      <c r="E23" s="127">
        <f>VLOOKUP(tbl_position[[#This Row],[Date]], tbl_WMT[], 5, 0)</f>
        <v>140.63</v>
      </c>
      <c r="F23" s="127">
        <f>VLOOKUP(tbl_position[[#This Row],[Date]], tbl_IBM[], 5, 0)</f>
        <v>121.97</v>
      </c>
      <c r="G23" s="127">
        <f>VLOOKUP(tbl_position[[#This Row],[Date]], tbl_ORCL[], 5, 0)</f>
        <v>59.51</v>
      </c>
      <c r="H23" s="131">
        <f>VLOOKUP(tbl_position[[#This Row],[Date]], tbl_AKRO[], 5, 0)</f>
        <v>28.19</v>
      </c>
      <c r="I23" s="131">
        <f>VLOOKUP(tbl_position[[#This Row],[Date]], tbl_FDX[], 5, 0)</f>
        <v>259.27</v>
      </c>
      <c r="J23" s="131">
        <f>VLOOKUP(tbl_position[[#This Row],[Date]], tbl_NKLA[], 5, 0)</f>
        <v>23.57</v>
      </c>
      <c r="K23" s="131">
        <f>VLOOKUP(tbl_position[[#This Row],[Date]], tbl_SPXS[], 5, 0)</f>
        <v>5.75</v>
      </c>
      <c r="L23" s="127"/>
      <c r="M23" s="127"/>
      <c r="N23" s="127"/>
      <c r="O23" s="127"/>
      <c r="P23" s="127"/>
      <c r="Q2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$Q22)</f>
        <v>50</v>
      </c>
      <c r="R2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$R22)</f>
        <v>0</v>
      </c>
      <c r="S2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$S22)</f>
        <v>50</v>
      </c>
      <c r="T2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$T22)</f>
        <v>0</v>
      </c>
      <c r="U2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$U22)</f>
        <v>100</v>
      </c>
      <c r="V2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$V22)</f>
        <v>0</v>
      </c>
      <c r="W2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$W22)</f>
        <v>100</v>
      </c>
      <c r="X2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$X22)</f>
        <v>50</v>
      </c>
      <c r="Y2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$Y22)</f>
        <v>800</v>
      </c>
      <c r="Z2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$Z22)</f>
        <v>0</v>
      </c>
      <c r="AA2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$AA22)</f>
        <v>0</v>
      </c>
      <c r="AB2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$AB22)</f>
        <v>0</v>
      </c>
      <c r="AC2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$AC22)</f>
        <v>0</v>
      </c>
      <c r="AD2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$AD22)</f>
        <v>0</v>
      </c>
      <c r="AE2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$AE22)</f>
        <v>0</v>
      </c>
      <c r="AF23" s="10"/>
      <c r="AG23" s="131">
        <f>SUMIFS(tbl_transaction[Net_Cash_Change], tbl_transaction[Transaction_Date],tbl_position[[#This Row],[Date]])+IF(tbl_position[[#This Row],[Date]]=$A$5, 100000, $AG22)</f>
        <v>49591.099999999991</v>
      </c>
      <c r="AH23" s="11">
        <f>SUMIFS(tbl_transaction[Net_Debt_Change], tbl_transaction[Transaction_Date],tbl_position[[#This Row],[Date]])+IF(tbl_position[[#This Row],[Date]]=$A$5, 0, $AH22)</f>
        <v>15208.9</v>
      </c>
      <c r="AI23" s="48">
        <f>tbl_position[[#This Row],[Shares_Holding]]+tbl_position[[#This Row],[Cash_Holding]]-tbl_position[[#This Row],[Liabilities_Holding]]</f>
        <v>34382.19999999999</v>
      </c>
    </row>
    <row r="24" spans="1:35" x14ac:dyDescent="0.35">
      <c r="A24" s="9">
        <v>44111</v>
      </c>
      <c r="B24" s="10">
        <f>VLOOKUP(tbl_position[[#This Row],[Date]], tbl_AAPL[], 5, 0)</f>
        <v>115.08</v>
      </c>
      <c r="C24" s="127">
        <f>VLOOKUP(tbl_position[[#This Row],[Date]], tbl_RIOT[], 5, 0)</f>
        <v>2.66</v>
      </c>
      <c r="D24" s="10">
        <f>VLOOKUP(tbl_position[[#This Row],[Date]], tbl_HD[], 5, 0)</f>
        <v>282.79000000000002</v>
      </c>
      <c r="E24" s="127">
        <f>VLOOKUP(tbl_position[[#This Row],[Date]], tbl_WMT[], 5, 0)</f>
        <v>140.88999999999999</v>
      </c>
      <c r="F24" s="127">
        <f>VLOOKUP(tbl_position[[#This Row],[Date]], tbl_IBM[], 5, 0)</f>
        <v>124.07</v>
      </c>
      <c r="G24" s="127">
        <f>VLOOKUP(tbl_position[[#This Row],[Date]], tbl_ORCL[], 5, 0)</f>
        <v>60.59</v>
      </c>
      <c r="H24" s="131">
        <f>VLOOKUP(tbl_position[[#This Row],[Date]], tbl_AKRO[], 5, 0)</f>
        <v>28.74</v>
      </c>
      <c r="I24" s="131">
        <f>VLOOKUP(tbl_position[[#This Row],[Date]], tbl_FDX[], 5, 0)</f>
        <v>268.26</v>
      </c>
      <c r="J24" s="131">
        <f>VLOOKUP(tbl_position[[#This Row],[Date]], tbl_NKLA[], 5, 0)</f>
        <v>25.72</v>
      </c>
      <c r="K24" s="131">
        <f>VLOOKUP(tbl_position[[#This Row],[Date]], tbl_SPXS[], 5, 0)</f>
        <v>5.44</v>
      </c>
      <c r="L24" s="127">
        <f>VLOOKUP(tbl_position[[#This Row],[Date]], tbl_AMD[], 5, 0)</f>
        <v>86.690002000000007</v>
      </c>
      <c r="M24" s="127"/>
      <c r="N24" s="127"/>
      <c r="O24" s="127"/>
      <c r="P24" s="127"/>
      <c r="Q2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$Q23)</f>
        <v>50</v>
      </c>
      <c r="R2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$R23)</f>
        <v>0</v>
      </c>
      <c r="S2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$S23)</f>
        <v>50</v>
      </c>
      <c r="T2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$T23)</f>
        <v>0</v>
      </c>
      <c r="U2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$U23)</f>
        <v>100</v>
      </c>
      <c r="V2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$V23)</f>
        <v>0</v>
      </c>
      <c r="W2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$W23)</f>
        <v>100</v>
      </c>
      <c r="X2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$X23)</f>
        <v>50</v>
      </c>
      <c r="Y2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$Y23)</f>
        <v>300</v>
      </c>
      <c r="Z2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$Z23)</f>
        <v>0</v>
      </c>
      <c r="AA2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$AA23)</f>
        <v>150</v>
      </c>
      <c r="AB2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$AB23)</f>
        <v>0</v>
      </c>
      <c r="AC2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$AC23)</f>
        <v>0</v>
      </c>
      <c r="AD2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$AD23)</f>
        <v>0</v>
      </c>
      <c r="AE2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$AE23)</f>
        <v>0</v>
      </c>
      <c r="AF24" s="10">
        <f ca="1" xml:space="preserve"> SUMPRODUCT(INDIRECT(ADDRESS(ROW(AF24), 2)):INDIRECT(ADDRESS(ROW(AF24), MATCH("Shares_AAPL", pos_header,0)-1)), INDIRECT(ADDRESS(ROW(AF24), MATCH("Shares_AAPL", pos_header,0))): INDIRECT(ADDRESS(ROW(AF24), MATCH("Shares_Holding", pos_header,0)-1)))</f>
        <v>69307.0003</v>
      </c>
      <c r="AG24" s="131">
        <f>SUMIFS(tbl_transaction[Net_Cash_Change], tbl_transaction[Transaction_Date],tbl_position[[#This Row],[Date]])+IF(tbl_position[[#This Row],[Date]]=$A$5, 100000, $AG23)</f>
        <v>36635.599999999991</v>
      </c>
      <c r="AH24" s="11">
        <f>SUMIFS(tbl_transaction[Net_Debt_Change], tbl_transaction[Transaction_Date],tbl_position[[#This Row],[Date]])+IF(tbl_position[[#This Row],[Date]]=$A$5, 0, $AH23)</f>
        <v>2852.8999999999996</v>
      </c>
      <c r="AI24" s="48">
        <f ca="1">tbl_position[[#This Row],[Shares_Holding]]+tbl_position[[#This Row],[Cash_Holding]]-tbl_position[[#This Row],[Liabilities_Holding]]</f>
        <v>103089.7003</v>
      </c>
    </row>
    <row r="25" spans="1:35" x14ac:dyDescent="0.35">
      <c r="A25" s="9">
        <v>44112</v>
      </c>
      <c r="B25" s="10">
        <f>VLOOKUP(tbl_position[[#This Row],[Date]], tbl_AAPL[], 5, 0)</f>
        <v>114.97</v>
      </c>
      <c r="C25" s="127">
        <f>VLOOKUP(tbl_position[[#This Row],[Date]], tbl_RIOT[], 5, 0)</f>
        <v>2.93</v>
      </c>
      <c r="D25" s="10">
        <f>VLOOKUP(tbl_position[[#This Row],[Date]], tbl_HD[], 5, 0)</f>
        <v>284.52</v>
      </c>
      <c r="E25" s="127">
        <f>VLOOKUP(tbl_position[[#This Row],[Date]], tbl_WMT[], 5, 0)</f>
        <v>141.36000000000001</v>
      </c>
      <c r="F25" s="127">
        <f>VLOOKUP(tbl_position[[#This Row],[Date]], tbl_IBM[], 5, 0)</f>
        <v>131.49</v>
      </c>
      <c r="G25" s="127">
        <f>VLOOKUP(tbl_position[[#This Row],[Date]], tbl_ORCL[], 5, 0)</f>
        <v>60.89</v>
      </c>
      <c r="H25" s="131">
        <f>VLOOKUP(tbl_position[[#This Row],[Date]], tbl_AKRO[], 5, 0)</f>
        <v>29.17</v>
      </c>
      <c r="I25" s="131">
        <f>VLOOKUP(tbl_position[[#This Row],[Date]], tbl_FDX[], 5, 0)</f>
        <v>271.06</v>
      </c>
      <c r="J25" s="131">
        <f>VLOOKUP(tbl_position[[#This Row],[Date]], tbl_NKLA[], 5, 0)</f>
        <v>25</v>
      </c>
      <c r="K25" s="131">
        <f>VLOOKUP(tbl_position[[#This Row],[Date]], tbl_SPXS[], 5, 0)</f>
        <v>5.29</v>
      </c>
      <c r="L25" s="127">
        <f>VLOOKUP(tbl_position[[#This Row],[Date]], tbl_AMD[], 5, 0)</f>
        <v>86.510002</v>
      </c>
      <c r="M25" s="127"/>
      <c r="N25" s="127"/>
      <c r="O25" s="127"/>
      <c r="P25" s="127"/>
      <c r="Q2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$Q24)</f>
        <v>50</v>
      </c>
      <c r="R2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$R24)</f>
        <v>0</v>
      </c>
      <c r="S2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$S24)</f>
        <v>50</v>
      </c>
      <c r="T2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$T24)</f>
        <v>0</v>
      </c>
      <c r="U2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$U24)</f>
        <v>100</v>
      </c>
      <c r="V2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$V24)</f>
        <v>0</v>
      </c>
      <c r="W2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$W24)</f>
        <v>100</v>
      </c>
      <c r="X2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$X24)</f>
        <v>50</v>
      </c>
      <c r="Y2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$Y24)</f>
        <v>300</v>
      </c>
      <c r="Z2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$Z24)</f>
        <v>0</v>
      </c>
      <c r="AA2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$AA24)</f>
        <v>150</v>
      </c>
      <c r="AB2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$AB24)</f>
        <v>0</v>
      </c>
      <c r="AC2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$AC24)</f>
        <v>0</v>
      </c>
      <c r="AD2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$AD24)</f>
        <v>0</v>
      </c>
      <c r="AE2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$AE24)</f>
        <v>0</v>
      </c>
      <c r="AF25" s="10">
        <f ca="1" xml:space="preserve"> SUMPRODUCT(INDIRECT(ADDRESS(ROW(AF25), 2)):INDIRECT(ADDRESS(ROW(AF25), MATCH("Shares_AAPL", pos_header,0)-1)), INDIRECT(ADDRESS(ROW(AF25), MATCH("Shares_AAPL", pos_header,0))): INDIRECT(ADDRESS(ROW(AF25), MATCH("Shares_Holding", pos_header,0)-1)))</f>
        <v>70070.0003</v>
      </c>
      <c r="AG25" s="131">
        <f>SUMIFS(tbl_transaction[Net_Cash_Change], tbl_transaction[Transaction_Date],tbl_position[[#This Row],[Date]])+IF(tbl_position[[#This Row],[Date]]=$A$5, 100000, $AG24)</f>
        <v>36635.599999999991</v>
      </c>
      <c r="AH25" s="11">
        <f>SUMIFS(tbl_transaction[Net_Debt_Change], tbl_transaction[Transaction_Date],tbl_position[[#This Row],[Date]])+IF(tbl_position[[#This Row],[Date]]=$A$5, 0, $AH24)</f>
        <v>2852.8999999999996</v>
      </c>
      <c r="AI25" s="48">
        <f ca="1">tbl_position[[#This Row],[Shares_Holding]]+tbl_position[[#This Row],[Cash_Holding]]-tbl_position[[#This Row],[Liabilities_Holding]]</f>
        <v>103852.7003</v>
      </c>
    </row>
    <row r="26" spans="1:35" x14ac:dyDescent="0.35">
      <c r="A26" s="9">
        <v>44113</v>
      </c>
      <c r="B26" s="10">
        <f>VLOOKUP(tbl_position[[#This Row],[Date]], tbl_AAPL[], 5, 0)</f>
        <v>116.97</v>
      </c>
      <c r="C26" s="127">
        <f>VLOOKUP(tbl_position[[#This Row],[Date]], tbl_RIOT[], 5, 0)</f>
        <v>3.0950000000000002</v>
      </c>
      <c r="D26" s="10">
        <f>VLOOKUP(tbl_position[[#This Row],[Date]], tbl_HD[], 5, 0)</f>
        <v>285.92</v>
      </c>
      <c r="E26" s="127">
        <f>VLOOKUP(tbl_position[[#This Row],[Date]], tbl_WMT[], 5, 0)</f>
        <v>142.78</v>
      </c>
      <c r="F26" s="127">
        <f>VLOOKUP(tbl_position[[#This Row],[Date]], tbl_IBM[], 5, 0)</f>
        <v>127.79</v>
      </c>
      <c r="G26" s="127">
        <f>VLOOKUP(tbl_position[[#This Row],[Date]], tbl_ORCL[], 5, 0)</f>
        <v>61.15</v>
      </c>
      <c r="H26" s="131">
        <f>VLOOKUP(tbl_position[[#This Row],[Date]], tbl_AKRO[], 5, 0)</f>
        <v>28.81</v>
      </c>
      <c r="I26" s="131">
        <f>VLOOKUP(tbl_position[[#This Row],[Date]], tbl_FDX[], 5, 0)</f>
        <v>271.55</v>
      </c>
      <c r="J26" s="131">
        <f>VLOOKUP(tbl_position[[#This Row],[Date]], tbl_NKLA[], 5, 0)</f>
        <v>24.66</v>
      </c>
      <c r="K26" s="131">
        <f>VLOOKUP(tbl_position[[#This Row],[Date]], tbl_SPXS[], 5, 0)</f>
        <v>5.15</v>
      </c>
      <c r="L26" s="127">
        <f>VLOOKUP(tbl_position[[#This Row],[Date]], tbl_AMD[], 5, 0)</f>
        <v>83.099997999999999</v>
      </c>
      <c r="M26" s="127"/>
      <c r="N26" s="127"/>
      <c r="O26" s="127"/>
      <c r="P26" s="127"/>
      <c r="Q2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$Q25)</f>
        <v>50</v>
      </c>
      <c r="R2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$R25)</f>
        <v>0</v>
      </c>
      <c r="S2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$S25)</f>
        <v>50</v>
      </c>
      <c r="T2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$T25)</f>
        <v>0</v>
      </c>
      <c r="U2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$U25)</f>
        <v>100</v>
      </c>
      <c r="V2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$V25)</f>
        <v>0</v>
      </c>
      <c r="W2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$W25)</f>
        <v>100</v>
      </c>
      <c r="X2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$X25)</f>
        <v>50</v>
      </c>
      <c r="Y2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$Y25)</f>
        <v>0</v>
      </c>
      <c r="Z2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$Z25)</f>
        <v>0</v>
      </c>
      <c r="AA2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$AA25)</f>
        <v>150</v>
      </c>
      <c r="AB2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$AB25)</f>
        <v>0</v>
      </c>
      <c r="AC2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$AC25)</f>
        <v>0</v>
      </c>
      <c r="AD2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$AD25)</f>
        <v>0</v>
      </c>
      <c r="AE2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$AE25)</f>
        <v>0</v>
      </c>
      <c r="AF26" s="10">
        <f ca="1" xml:space="preserve"> SUMPRODUCT(INDIRECT(ADDRESS(ROW(AF26), 2)):INDIRECT(ADDRESS(ROW(AF26), MATCH("Shares_AAPL", pos_header,0)-1)), INDIRECT(ADDRESS(ROW(AF26), MATCH("Shares_AAPL", pos_header,0))): INDIRECT(ADDRESS(ROW(AF26), MATCH("Shares_Holding", pos_header,0)-1)))</f>
        <v>61846.9997</v>
      </c>
      <c r="AG26" s="131">
        <f>SUMIFS(tbl_transaction[Net_Cash_Change], tbl_transaction[Transaction_Date],tbl_position[[#This Row],[Date]])+IF(tbl_position[[#This Row],[Date]]=$A$5, 100000, $AG25)</f>
        <v>36635.579999999994</v>
      </c>
      <c r="AH26" s="11">
        <f>SUMIFS(tbl_transaction[Net_Debt_Change], tbl_transaction[Transaction_Date],tbl_position[[#This Row],[Date]])+IF(tbl_position[[#This Row],[Date]]=$A$5, 0, $AH25)</f>
        <v>-4542.1000000000004</v>
      </c>
      <c r="AI26" s="48">
        <f ca="1">tbl_position[[#This Row],[Shares_Holding]]+tbl_position[[#This Row],[Cash_Holding]]-tbl_position[[#This Row],[Liabilities_Holding]]</f>
        <v>103024.67970000001</v>
      </c>
    </row>
    <row r="27" spans="1:35" x14ac:dyDescent="0.35">
      <c r="A27" s="9">
        <v>44116</v>
      </c>
      <c r="B27" s="10">
        <f>VLOOKUP(tbl_position[[#This Row],[Date]], tbl_AAPL[], 5, 0)</f>
        <v>124.4</v>
      </c>
      <c r="C27" s="127">
        <f>VLOOKUP(tbl_position[[#This Row],[Date]], tbl_RIOT[], 5, 0)</f>
        <v>3.5</v>
      </c>
      <c r="D27" s="10">
        <f>VLOOKUP(tbl_position[[#This Row],[Date]], tbl_HD[], 5, 0)</f>
        <v>286.91000000000003</v>
      </c>
      <c r="E27" s="127">
        <f>VLOOKUP(tbl_position[[#This Row],[Date]], tbl_WMT[], 5, 0)</f>
        <v>144.25</v>
      </c>
      <c r="F27" s="127">
        <f>VLOOKUP(tbl_position[[#This Row],[Date]], tbl_IBM[], 5, 0)</f>
        <v>127.21</v>
      </c>
      <c r="G27" s="127">
        <f>VLOOKUP(tbl_position[[#This Row],[Date]], tbl_ORCL[], 5, 0)</f>
        <v>61.46</v>
      </c>
      <c r="H27" s="131">
        <f>VLOOKUP(tbl_position[[#This Row],[Date]], tbl_AKRO[], 5, 0)</f>
        <v>28.93</v>
      </c>
      <c r="I27" s="131">
        <f>VLOOKUP(tbl_position[[#This Row],[Date]], tbl_FDX[], 5, 0)</f>
        <v>273.5</v>
      </c>
      <c r="J27" s="131">
        <f>VLOOKUP(tbl_position[[#This Row],[Date]], tbl_NKLA[], 5, 0)</f>
        <v>24.15</v>
      </c>
      <c r="K27" s="131">
        <f>VLOOKUP(tbl_position[[#This Row],[Date]], tbl_SPXS[], 5, 0)</f>
        <v>4.9000000000000004</v>
      </c>
      <c r="L27" s="127">
        <f>VLOOKUP(tbl_position[[#This Row],[Date]], tbl_AMD[], 5, 0)</f>
        <v>84.290001000000004</v>
      </c>
      <c r="M27" s="127">
        <f>VLOOKUP(tbl_position[[#This Row],[Date]], tbl_CVX[], 5, 0)</f>
        <v>74.510002</v>
      </c>
      <c r="N27" s="127"/>
      <c r="O27" s="127"/>
      <c r="P27" s="127"/>
      <c r="Q2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$Q26)</f>
        <v>0</v>
      </c>
      <c r="R2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$R26)</f>
        <v>0</v>
      </c>
      <c r="S2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$S26)</f>
        <v>50</v>
      </c>
      <c r="T2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$T26)</f>
        <v>0</v>
      </c>
      <c r="U2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$U26)</f>
        <v>100</v>
      </c>
      <c r="V2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$V26)</f>
        <v>0</v>
      </c>
      <c r="W2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$W26)</f>
        <v>100</v>
      </c>
      <c r="X2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$X26)</f>
        <v>50</v>
      </c>
      <c r="Y2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$Y26)</f>
        <v>0</v>
      </c>
      <c r="Z2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$Z26)</f>
        <v>0</v>
      </c>
      <c r="AA2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$AA26)</f>
        <v>150</v>
      </c>
      <c r="AB2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$AB26)</f>
        <v>101</v>
      </c>
      <c r="AC2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$AC26)</f>
        <v>0</v>
      </c>
      <c r="AD2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$AD26)</f>
        <v>0</v>
      </c>
      <c r="AE2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$AE26)</f>
        <v>0</v>
      </c>
      <c r="AF27" s="10">
        <f ca="1" xml:space="preserve"> SUMPRODUCT(INDIRECT(ADDRESS(ROW(AF27), 2)):INDIRECT(ADDRESS(ROW(AF27), MATCH("Shares_AAPL", pos_header,0)-1)), INDIRECT(ADDRESS(ROW(AF27), MATCH("Shares_AAPL", pos_header,0))): INDIRECT(ADDRESS(ROW(AF27), MATCH("Shares_Holding", pos_header,0)-1)))</f>
        <v>63803.510351999998</v>
      </c>
      <c r="AG27" s="131">
        <f>SUMIFS(tbl_transaction[Net_Cash_Change], tbl_transaction[Transaction_Date],tbl_position[[#This Row],[Date]])+IF(tbl_position[[#This Row],[Date]]=$A$5, 100000, $AG26)</f>
        <v>35279.709999999992</v>
      </c>
      <c r="AH27" s="11">
        <f>SUMIFS(tbl_transaction[Net_Debt_Change], tbl_transaction[Transaction_Date],tbl_position[[#This Row],[Date]])+IF(tbl_position[[#This Row],[Date]]=$A$5, 0, $AH26)</f>
        <v>-4542.1000000000004</v>
      </c>
      <c r="AI27" s="48">
        <f ca="1">tbl_position[[#This Row],[Shares_Holding]]+tbl_position[[#This Row],[Cash_Holding]]-tbl_position[[#This Row],[Liabilities_Holding]]</f>
        <v>103625.320352</v>
      </c>
    </row>
    <row r="28" spans="1:35" x14ac:dyDescent="0.35">
      <c r="A28" s="9">
        <v>44117</v>
      </c>
      <c r="B28" s="10">
        <f>VLOOKUP(tbl_position[[#This Row],[Date]], tbl_AAPL[], 5, 0)</f>
        <v>121.1</v>
      </c>
      <c r="C28" s="127">
        <f>VLOOKUP(tbl_position[[#This Row],[Date]], tbl_RIOT[], 5, 0)</f>
        <v>3.37</v>
      </c>
      <c r="D28" s="10">
        <f>VLOOKUP(tbl_position[[#This Row],[Date]], tbl_HD[], 5, 0)</f>
        <v>290.36</v>
      </c>
      <c r="E28" s="127">
        <f>VLOOKUP(tbl_position[[#This Row],[Date]], tbl_WMT[], 5, 0)</f>
        <v>146.22999999999999</v>
      </c>
      <c r="F28" s="127">
        <f>VLOOKUP(tbl_position[[#This Row],[Date]], tbl_IBM[], 5, 0)</f>
        <v>125.1</v>
      </c>
      <c r="G28" s="127">
        <f>VLOOKUP(tbl_position[[#This Row],[Date]], tbl_ORCL[], 5, 0)</f>
        <v>60.97</v>
      </c>
      <c r="H28" s="131">
        <f>VLOOKUP(tbl_position[[#This Row],[Date]], tbl_AKRO[], 5, 0)</f>
        <v>29.44</v>
      </c>
      <c r="I28" s="131">
        <f>VLOOKUP(tbl_position[[#This Row],[Date]], tbl_FDX[], 5, 0)</f>
        <v>272.24</v>
      </c>
      <c r="J28" s="131">
        <f>VLOOKUP(tbl_position[[#This Row],[Date]], tbl_NKLA[], 5, 0)</f>
        <v>24.23</v>
      </c>
      <c r="K28" s="131">
        <f>VLOOKUP(tbl_position[[#This Row],[Date]], tbl_SPXS[], 5, 0)</f>
        <v>5.01</v>
      </c>
      <c r="L28" s="127">
        <f>VLOOKUP(tbl_position[[#This Row],[Date]], tbl_AMD[], 5, 0)</f>
        <v>85.279999000000004</v>
      </c>
      <c r="M28" s="127">
        <f>VLOOKUP(tbl_position[[#This Row],[Date]], tbl_CVX[], 5, 0)</f>
        <v>73.400002000000001</v>
      </c>
      <c r="N28" s="127">
        <f>VLOOKUP(tbl_position[[#This Row],[Date]], tbl_QCOM[], 5, 0)</f>
        <v>127.459999</v>
      </c>
      <c r="O28" s="127">
        <f>VLOOKUP(tbl_position[[#This Row],[Date]], tbl_F[], 5, 0)</f>
        <v>7.76</v>
      </c>
      <c r="P28" s="127"/>
      <c r="Q2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$Q27)</f>
        <v>0</v>
      </c>
      <c r="R2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$R27)</f>
        <v>0</v>
      </c>
      <c r="S2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$S27)</f>
        <v>50</v>
      </c>
      <c r="T2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$T27)</f>
        <v>0</v>
      </c>
      <c r="U2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$U27)</f>
        <v>100</v>
      </c>
      <c r="V2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$V27)</f>
        <v>0</v>
      </c>
      <c r="W2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$W27)</f>
        <v>100</v>
      </c>
      <c r="X2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$X27)</f>
        <v>50</v>
      </c>
      <c r="Y2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$Y27)</f>
        <v>0</v>
      </c>
      <c r="Z2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$Z27)</f>
        <v>0</v>
      </c>
      <c r="AA28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$AA27)</f>
        <v>150</v>
      </c>
      <c r="AB28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$AB27)</f>
        <v>101</v>
      </c>
      <c r="AC28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$AC27)</f>
        <v>50</v>
      </c>
      <c r="AD28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$AD27)</f>
        <v>600</v>
      </c>
      <c r="AE28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$AE27)</f>
        <v>0</v>
      </c>
      <c r="AF28" s="10">
        <f ca="1" xml:space="preserve"> SUMPRODUCT(INDIRECT(ADDRESS(ROW(AF28), 2)):INDIRECT(ADDRESS(ROW(AF28), MATCH("Shares_AAPL", pos_header,0)-1)), INDIRECT(ADDRESS(ROW(AF28), MATCH("Shares_AAPL", pos_header,0))): INDIRECT(ADDRESS(ROW(AF28), MATCH("Shares_Holding", pos_header,0)-1)))</f>
        <v>74818.400001999995</v>
      </c>
      <c r="AG28" s="131">
        <f>SUMIFS(tbl_transaction[Net_Cash_Change], tbl_transaction[Transaction_Date],tbl_position[[#This Row],[Date]])+IF(tbl_position[[#This Row],[Date]]=$A$5, 100000, $AG27)</f>
        <v>24282.709999999992</v>
      </c>
      <c r="AH28" s="11">
        <f>SUMIFS(tbl_transaction[Net_Debt_Change], tbl_transaction[Transaction_Date],tbl_position[[#This Row],[Date]])+IF(tbl_position[[#This Row],[Date]]=$A$5, 0, $AH27)</f>
        <v>-4542.1000000000004</v>
      </c>
      <c r="AI28" s="48">
        <f ca="1">tbl_position[[#This Row],[Shares_Holding]]+tbl_position[[#This Row],[Cash_Holding]]-tbl_position[[#This Row],[Liabilities_Holding]]</f>
        <v>103643.21000199999</v>
      </c>
    </row>
    <row r="29" spans="1:35" x14ac:dyDescent="0.35">
      <c r="A29" s="9">
        <v>44118</v>
      </c>
      <c r="B29" s="10">
        <f>VLOOKUP(tbl_position[[#This Row],[Date]], tbl_AAPL[], 5, 0)</f>
        <v>121.19</v>
      </c>
      <c r="C29" s="127">
        <f>VLOOKUP(tbl_position[[#This Row],[Date]], tbl_RIOT[], 5, 0)</f>
        <v>3.28</v>
      </c>
      <c r="D29" s="10">
        <f>VLOOKUP(tbl_position[[#This Row],[Date]], tbl_HD[], 5, 0)</f>
        <v>287.08999999999997</v>
      </c>
      <c r="E29" s="127">
        <f>VLOOKUP(tbl_position[[#This Row],[Date]], tbl_WMT[], 5, 0)</f>
        <v>143.94</v>
      </c>
      <c r="F29" s="127">
        <f>VLOOKUP(tbl_position[[#This Row],[Date]], tbl_IBM[], 5, 0)</f>
        <v>125.94</v>
      </c>
      <c r="G29" s="127">
        <f>VLOOKUP(tbl_position[[#This Row],[Date]], tbl_ORCL[], 5, 0)</f>
        <v>60.96</v>
      </c>
      <c r="H29" s="131">
        <f>VLOOKUP(tbl_position[[#This Row],[Date]], tbl_AKRO[], 5, 0)</f>
        <v>28.56</v>
      </c>
      <c r="I29" s="131">
        <f>VLOOKUP(tbl_position[[#This Row],[Date]], tbl_FDX[], 5, 0)</f>
        <v>276.24</v>
      </c>
      <c r="J29" s="131">
        <f>VLOOKUP(tbl_position[[#This Row],[Date]], tbl_NKLA[], 5, 0)</f>
        <v>24.11</v>
      </c>
      <c r="K29" s="131">
        <f>VLOOKUP(tbl_position[[#This Row],[Date]], tbl_SPXS[], 5, 0)</f>
        <v>5.09</v>
      </c>
      <c r="L29" s="127">
        <f>VLOOKUP(tbl_position[[#This Row],[Date]], tbl_AMD[], 5, 0)</f>
        <v>84.209998999999996</v>
      </c>
      <c r="M29" s="127">
        <f>VLOOKUP(tbl_position[[#This Row],[Date]], tbl_CVX[], 5, 0)</f>
        <v>72.949996999999996</v>
      </c>
      <c r="N29" s="127">
        <f>VLOOKUP(tbl_position[[#This Row],[Date]], tbl_QCOM[], 5, 0)</f>
        <v>129.88000500000001</v>
      </c>
      <c r="O29" s="127">
        <f>VLOOKUP(tbl_position[[#This Row],[Date]], tbl_F[], 5, 0)</f>
        <v>7.57</v>
      </c>
      <c r="P29" s="127"/>
      <c r="Q2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$Q28)</f>
        <v>0</v>
      </c>
      <c r="R2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$R28)</f>
        <v>0</v>
      </c>
      <c r="S2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$S28)</f>
        <v>50</v>
      </c>
      <c r="T2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$T28)</f>
        <v>0</v>
      </c>
      <c r="U2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$U28)</f>
        <v>100</v>
      </c>
      <c r="V2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$V28)</f>
        <v>0</v>
      </c>
      <c r="W2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$W28)</f>
        <v>100</v>
      </c>
      <c r="X2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$X28)</f>
        <v>50</v>
      </c>
      <c r="Y2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$Y28)</f>
        <v>0</v>
      </c>
      <c r="Z2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$Z28)</f>
        <v>0</v>
      </c>
      <c r="AA29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$AA28)</f>
        <v>150</v>
      </c>
      <c r="AB29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$AB28)</f>
        <v>101</v>
      </c>
      <c r="AC29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$AC28)</f>
        <v>50</v>
      </c>
      <c r="AD29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$AD28)</f>
        <v>600</v>
      </c>
      <c r="AE29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$AE28)</f>
        <v>0</v>
      </c>
      <c r="AF29" s="10">
        <f ca="1" xml:space="preserve"> SUMPRODUCT(INDIRECT(ADDRESS(ROW(AF29), 2)):INDIRECT(ADDRESS(ROW(AF29), MATCH("Shares_AAPL", pos_header,0)-1)), INDIRECT(ADDRESS(ROW(AF29), MATCH("Shares_AAPL", pos_header,0))): INDIRECT(ADDRESS(ROW(AF29), MATCH("Shares_Holding", pos_header,0)-1)))</f>
        <v>74651.949796999994</v>
      </c>
      <c r="AG29" s="131">
        <f>SUMIFS(tbl_transaction[Net_Cash_Change], tbl_transaction[Transaction_Date],tbl_position[[#This Row],[Date]])+IF(tbl_position[[#This Row],[Date]]=$A$5, 100000, $AG28)</f>
        <v>24282.709999999992</v>
      </c>
      <c r="AH29" s="11">
        <f>SUMIFS(tbl_transaction[Net_Debt_Change], tbl_transaction[Transaction_Date],tbl_position[[#This Row],[Date]])+IF(tbl_position[[#This Row],[Date]]=$A$5, 0, $AH28)</f>
        <v>-4542.1000000000004</v>
      </c>
      <c r="AI29" s="48">
        <f ca="1">tbl_position[[#This Row],[Shares_Holding]]+tbl_position[[#This Row],[Cash_Holding]]-tbl_position[[#This Row],[Liabilities_Holding]]</f>
        <v>103476.75979699999</v>
      </c>
    </row>
    <row r="30" spans="1:35" x14ac:dyDescent="0.35">
      <c r="A30" s="9">
        <v>44119</v>
      </c>
      <c r="B30" s="10">
        <f>VLOOKUP(tbl_position[[#This Row],[Date]], tbl_AAPL[], 5, 0)</f>
        <v>120.71</v>
      </c>
      <c r="C30" s="127">
        <f>VLOOKUP(tbl_position[[#This Row],[Date]], tbl_RIOT[], 5, 0)</f>
        <v>3.4</v>
      </c>
      <c r="D30" s="10">
        <f>VLOOKUP(tbl_position[[#This Row],[Date]], tbl_HD[], 5, 0)</f>
        <v>287.54000000000002</v>
      </c>
      <c r="E30" s="127">
        <f>VLOOKUP(tbl_position[[#This Row],[Date]], tbl_WMT[], 5, 0)</f>
        <v>144.53</v>
      </c>
      <c r="F30" s="127">
        <f>VLOOKUP(tbl_position[[#This Row],[Date]], tbl_IBM[], 5, 0)</f>
        <v>124.89</v>
      </c>
      <c r="G30" s="127">
        <f>VLOOKUP(tbl_position[[#This Row],[Date]], tbl_ORCL[], 5, 0)</f>
        <v>60.52</v>
      </c>
      <c r="H30" s="131">
        <f>VLOOKUP(tbl_position[[#This Row],[Date]], tbl_AKRO[], 5, 0)</f>
        <v>27.85</v>
      </c>
      <c r="I30" s="131">
        <f>VLOOKUP(tbl_position[[#This Row],[Date]], tbl_FDX[], 5, 0)</f>
        <v>282.11</v>
      </c>
      <c r="J30" s="131">
        <f>VLOOKUP(tbl_position[[#This Row],[Date]], tbl_NKLA[], 5, 0)</f>
        <v>23.3</v>
      </c>
      <c r="K30" s="131">
        <f>VLOOKUP(tbl_position[[#This Row],[Date]], tbl_SPXS[], 5, 0)</f>
        <v>5.12</v>
      </c>
      <c r="L30" s="127">
        <f>VLOOKUP(tbl_position[[#This Row],[Date]], tbl_AMD[], 5, 0)</f>
        <v>83.129997000000003</v>
      </c>
      <c r="M30" s="127">
        <f>VLOOKUP(tbl_position[[#This Row],[Date]], tbl_CVX[], 5, 0)</f>
        <v>73.510002</v>
      </c>
      <c r="N30" s="127">
        <f>VLOOKUP(tbl_position[[#This Row],[Date]], tbl_QCOM[], 5, 0)</f>
        <v>128.58000200000001</v>
      </c>
      <c r="O30" s="127">
        <f>VLOOKUP(tbl_position[[#This Row],[Date]], tbl_F[], 5, 0)</f>
        <v>7.62</v>
      </c>
      <c r="P30" s="127"/>
      <c r="Q3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$Q29)</f>
        <v>0</v>
      </c>
      <c r="R3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$R29)</f>
        <v>0</v>
      </c>
      <c r="S3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$S29)</f>
        <v>50</v>
      </c>
      <c r="T3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$T29)</f>
        <v>0</v>
      </c>
      <c r="U3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$U29)</f>
        <v>100</v>
      </c>
      <c r="V3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$V29)</f>
        <v>0</v>
      </c>
      <c r="W3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$W29)</f>
        <v>100</v>
      </c>
      <c r="X3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$X29)</f>
        <v>50</v>
      </c>
      <c r="Y3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$Y29)</f>
        <v>0</v>
      </c>
      <c r="Z3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$Z29)</f>
        <v>0</v>
      </c>
      <c r="AA30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$AA29)</f>
        <v>150</v>
      </c>
      <c r="AB30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$AB29)</f>
        <v>101</v>
      </c>
      <c r="AC30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$AC29)</f>
        <v>50</v>
      </c>
      <c r="AD30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$AD29)</f>
        <v>600</v>
      </c>
      <c r="AE30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$AE29)</f>
        <v>0</v>
      </c>
      <c r="AF30" s="10">
        <f ca="1" xml:space="preserve"> SUMPRODUCT(INDIRECT(ADDRESS(ROW(AF30), 2)):INDIRECT(ADDRESS(ROW(AF30), MATCH("Shares_AAPL", pos_header,0)-1)), INDIRECT(ADDRESS(ROW(AF30), MATCH("Shares_AAPL", pos_header,0))): INDIRECT(ADDRESS(ROW(AF30), MATCH("Shares_Holding", pos_header,0)-1)))</f>
        <v>74651.509852000003</v>
      </c>
      <c r="AG30" s="131">
        <f>SUMIFS(tbl_transaction[Net_Cash_Change], tbl_transaction[Transaction_Date],tbl_position[[#This Row],[Date]])+IF(tbl_position[[#This Row],[Date]]=$A$5, 100000, $AG29)</f>
        <v>24282.709999999992</v>
      </c>
      <c r="AH30" s="11">
        <f>SUMIFS(tbl_transaction[Net_Debt_Change], tbl_transaction[Transaction_Date],tbl_position[[#This Row],[Date]])+IF(tbl_position[[#This Row],[Date]]=$A$5, 0, $AH29)</f>
        <v>-4542.1000000000004</v>
      </c>
      <c r="AI30" s="48">
        <f ca="1">tbl_position[[#This Row],[Shares_Holding]]+tbl_position[[#This Row],[Cash_Holding]]-tbl_position[[#This Row],[Liabilities_Holding]]</f>
        <v>103476.319852</v>
      </c>
    </row>
    <row r="31" spans="1:35" x14ac:dyDescent="0.35">
      <c r="A31" s="9">
        <v>44120</v>
      </c>
      <c r="B31" s="10">
        <f>VLOOKUP(tbl_position[[#This Row],[Date]], tbl_AAPL[], 5, 0)</f>
        <v>119.02</v>
      </c>
      <c r="C31" s="127">
        <f>VLOOKUP(tbl_position[[#This Row],[Date]], tbl_RIOT[], 5, 0)</f>
        <v>3.11</v>
      </c>
      <c r="D31" s="10">
        <f>VLOOKUP(tbl_position[[#This Row],[Date]], tbl_HD[], 5, 0)</f>
        <v>287.66000000000003</v>
      </c>
      <c r="E31" s="127">
        <f>VLOOKUP(tbl_position[[#This Row],[Date]], tbl_WMT[], 5, 0)</f>
        <v>144.71</v>
      </c>
      <c r="F31" s="127">
        <f>VLOOKUP(tbl_position[[#This Row],[Date]], tbl_IBM[], 5, 0)</f>
        <v>125.93</v>
      </c>
      <c r="G31" s="127">
        <f>VLOOKUP(tbl_position[[#This Row],[Date]], tbl_ORCL[], 5, 0)</f>
        <v>60.29</v>
      </c>
      <c r="H31" s="131">
        <f>VLOOKUP(tbl_position[[#This Row],[Date]], tbl_AKRO[], 5, 0)</f>
        <v>28.35</v>
      </c>
      <c r="I31" s="131">
        <f>VLOOKUP(tbl_position[[#This Row],[Date]], tbl_FDX[], 5, 0)</f>
        <v>283.87</v>
      </c>
      <c r="J31" s="131">
        <f>VLOOKUP(tbl_position[[#This Row],[Date]], tbl_NKLA[], 5, 0)</f>
        <v>19.55</v>
      </c>
      <c r="K31" s="131">
        <f>VLOOKUP(tbl_position[[#This Row],[Date]], tbl_SPXS[], 5, 0)</f>
        <v>5.13</v>
      </c>
      <c r="L31" s="127">
        <f>VLOOKUP(tbl_position[[#This Row],[Date]], tbl_AMD[], 5, 0)</f>
        <v>83.169998000000007</v>
      </c>
      <c r="M31" s="127">
        <f>VLOOKUP(tbl_position[[#This Row],[Date]], tbl_CVX[], 5, 0)</f>
        <v>72.889999000000003</v>
      </c>
      <c r="N31" s="127">
        <f>VLOOKUP(tbl_position[[#This Row],[Date]], tbl_QCOM[], 5, 0)</f>
        <v>129.029999</v>
      </c>
      <c r="O31" s="127">
        <f>VLOOKUP(tbl_position[[#This Row],[Date]], tbl_F[], 5, 0)</f>
        <v>7.67</v>
      </c>
      <c r="P31" s="127"/>
      <c r="Q3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$Q30)</f>
        <v>0</v>
      </c>
      <c r="R3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$R30)</f>
        <v>0</v>
      </c>
      <c r="S3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$S30)</f>
        <v>50</v>
      </c>
      <c r="T3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$T30)</f>
        <v>0</v>
      </c>
      <c r="U3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$U30)</f>
        <v>100</v>
      </c>
      <c r="V3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$V30)</f>
        <v>0</v>
      </c>
      <c r="W3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$W30)</f>
        <v>100</v>
      </c>
      <c r="X3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$X30)</f>
        <v>50</v>
      </c>
      <c r="Y3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$Y30)</f>
        <v>0</v>
      </c>
      <c r="Z3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$Z30)</f>
        <v>0</v>
      </c>
      <c r="AA31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$AA30)</f>
        <v>150</v>
      </c>
      <c r="AB31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$AB30)</f>
        <v>101</v>
      </c>
      <c r="AC31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$AC30)</f>
        <v>50</v>
      </c>
      <c r="AD31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$AD30)</f>
        <v>600</v>
      </c>
      <c r="AE31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$AE30)</f>
        <v>0</v>
      </c>
      <c r="AF31" s="10">
        <f ca="1" xml:space="preserve"> SUMPRODUCT(INDIRECT(ADDRESS(ROW(AF31), 2)):INDIRECT(ADDRESS(ROW(AF31), MATCH("Shares_AAPL", pos_header,0)-1)), INDIRECT(ADDRESS(ROW(AF31), MATCH("Shares_AAPL", pos_header,0))): INDIRECT(ADDRESS(ROW(AF31), MATCH("Shares_Holding", pos_header,0)-1)))</f>
        <v>74895.389549</v>
      </c>
      <c r="AG31" s="131">
        <f>SUMIFS(tbl_transaction[Net_Cash_Change], tbl_transaction[Transaction_Date],tbl_position[[#This Row],[Date]])+IF(tbl_position[[#This Row],[Date]]=$A$5, 100000, $AG30)</f>
        <v>24282.709999999992</v>
      </c>
      <c r="AH31" s="11">
        <f>SUMIFS(tbl_transaction[Net_Debt_Change], tbl_transaction[Transaction_Date],tbl_position[[#This Row],[Date]])+IF(tbl_position[[#This Row],[Date]]=$A$5, 0, $AH30)</f>
        <v>-4542.1000000000004</v>
      </c>
      <c r="AI31" s="48">
        <f ca="1">tbl_position[[#This Row],[Shares_Holding]]+tbl_position[[#This Row],[Cash_Holding]]-tbl_position[[#This Row],[Liabilities_Holding]]</f>
        <v>103720.199549</v>
      </c>
    </row>
    <row r="32" spans="1:35" x14ac:dyDescent="0.35">
      <c r="A32" s="9">
        <v>44123</v>
      </c>
      <c r="B32" s="10">
        <f>VLOOKUP(tbl_position[[#This Row],[Date]], tbl_AAPL[], 5, 0)</f>
        <v>116.81</v>
      </c>
      <c r="C32" s="127">
        <f>VLOOKUP(tbl_position[[#This Row],[Date]], tbl_RIOT[], 5, 0)</f>
        <v>3.3</v>
      </c>
      <c r="D32" s="10">
        <f>VLOOKUP(tbl_position[[#This Row],[Date]], tbl_HD[], 5, 0)</f>
        <v>284.95999999999998</v>
      </c>
      <c r="E32" s="127">
        <f>VLOOKUP(tbl_position[[#This Row],[Date]], tbl_WMT[], 5, 0)</f>
        <v>143.29</v>
      </c>
      <c r="F32" s="127">
        <f>VLOOKUP(tbl_position[[#This Row],[Date]], tbl_IBM[], 5, 0)</f>
        <v>125.21</v>
      </c>
      <c r="G32" s="127">
        <f>VLOOKUP(tbl_position[[#This Row],[Date]], tbl_ORCL[], 5, 0)</f>
        <v>59.62</v>
      </c>
      <c r="H32" s="131">
        <f>VLOOKUP(tbl_position[[#This Row],[Date]], tbl_AKRO[], 5, 0)</f>
        <v>27.4</v>
      </c>
      <c r="I32" s="131">
        <f>VLOOKUP(tbl_position[[#This Row],[Date]], tbl_FDX[], 5, 0)</f>
        <v>281.97000000000003</v>
      </c>
      <c r="J32" s="131">
        <f>VLOOKUP(tbl_position[[#This Row],[Date]], tbl_NKLA[], 5, 0)</f>
        <v>20.46</v>
      </c>
      <c r="K32" s="131">
        <f>VLOOKUP(tbl_position[[#This Row],[Date]], tbl_SPXS[], 5, 0)</f>
        <v>5.36</v>
      </c>
      <c r="L32" s="127">
        <f>VLOOKUP(tbl_position[[#This Row],[Date]], tbl_AMD[], 5, 0)</f>
        <v>82</v>
      </c>
      <c r="M32" s="127">
        <f>VLOOKUP(tbl_position[[#This Row],[Date]], tbl_CVX[], 5, 0)</f>
        <v>71.279999000000004</v>
      </c>
      <c r="N32" s="127">
        <f>VLOOKUP(tbl_position[[#This Row],[Date]], tbl_QCOM[], 5, 0)</f>
        <v>128.41999799999999</v>
      </c>
      <c r="O32" s="127">
        <f>VLOOKUP(tbl_position[[#This Row],[Date]], tbl_F[], 5, 0)</f>
        <v>7.59</v>
      </c>
      <c r="P32" s="127"/>
      <c r="Q3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$Q31)</f>
        <v>0</v>
      </c>
      <c r="R3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$R31)</f>
        <v>0</v>
      </c>
      <c r="S3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$S31)</f>
        <v>50</v>
      </c>
      <c r="T3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$T31)</f>
        <v>0</v>
      </c>
      <c r="U3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$U31)</f>
        <v>100</v>
      </c>
      <c r="V3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$V31)</f>
        <v>0</v>
      </c>
      <c r="W3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$W31)</f>
        <v>0</v>
      </c>
      <c r="X3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$X31)</f>
        <v>50</v>
      </c>
      <c r="Y3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$Y31)</f>
        <v>0</v>
      </c>
      <c r="Z3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$Z31)</f>
        <v>0</v>
      </c>
      <c r="AA32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$AA31)</f>
        <v>150</v>
      </c>
      <c r="AB32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$AB31)</f>
        <v>101</v>
      </c>
      <c r="AC32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$AC31)</f>
        <v>50</v>
      </c>
      <c r="AD32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$AD31)</f>
        <v>600</v>
      </c>
      <c r="AE32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$AE31)</f>
        <v>0</v>
      </c>
      <c r="AF32" s="10">
        <f ca="1" xml:space="preserve"> SUMPRODUCT(INDIRECT(ADDRESS(ROW(AF32), 2)):INDIRECT(ADDRESS(ROW(AF32), MATCH("Shares_AAPL", pos_header,0)-1)), INDIRECT(ADDRESS(ROW(AF32), MATCH("Shares_AAPL", pos_header,0))): INDIRECT(ADDRESS(ROW(AF32), MATCH("Shares_Holding", pos_header,0)-1)))</f>
        <v>71341.779798999996</v>
      </c>
      <c r="AG32" s="131">
        <f>SUMIFS(tbl_transaction[Net_Cash_Change], tbl_transaction[Transaction_Date],tbl_position[[#This Row],[Date]])+IF(tbl_position[[#This Row],[Date]]=$A$5, 100000, $AG31)</f>
        <v>26991.709999999992</v>
      </c>
      <c r="AH32" s="11">
        <f>SUMIFS(tbl_transaction[Net_Debt_Change], tbl_transaction[Transaction_Date],tbl_position[[#This Row],[Date]])+IF(tbl_position[[#This Row],[Date]]=$A$5, 0, $AH31)</f>
        <v>-4542.1000000000004</v>
      </c>
      <c r="AI32" s="48">
        <f ca="1">tbl_position[[#This Row],[Shares_Holding]]+tbl_position[[#This Row],[Cash_Holding]]-tbl_position[[#This Row],[Liabilities_Holding]]</f>
        <v>102875.58979899999</v>
      </c>
    </row>
    <row r="33" spans="1:35" x14ac:dyDescent="0.35">
      <c r="A33" s="9">
        <v>44124</v>
      </c>
      <c r="B33" s="10">
        <f>VLOOKUP(tbl_position[[#This Row],[Date]], tbl_AAPL[], 5, 0)</f>
        <v>117.51</v>
      </c>
      <c r="C33" s="127">
        <f>VLOOKUP(tbl_position[[#This Row],[Date]], tbl_RIOT[], 5, 0)</f>
        <v>3.54</v>
      </c>
      <c r="D33" s="10">
        <f>VLOOKUP(tbl_position[[#This Row],[Date]], tbl_HD[], 5, 0)</f>
        <v>286.04000000000002</v>
      </c>
      <c r="E33" s="127">
        <f>VLOOKUP(tbl_position[[#This Row],[Date]], tbl_WMT[], 5, 0)</f>
        <v>143.9</v>
      </c>
      <c r="F33" s="127">
        <f>VLOOKUP(tbl_position[[#This Row],[Date]], tbl_IBM[], 5, 0)</f>
        <v>117.37</v>
      </c>
      <c r="G33" s="127">
        <f>VLOOKUP(tbl_position[[#This Row],[Date]], tbl_ORCL[], 5, 0)</f>
        <v>59.75</v>
      </c>
      <c r="H33" s="140">
        <f>VLOOKUP(tbl_position[[#This Row],[Date]], tbl_AKRO[], 5, 0)</f>
        <v>26.64</v>
      </c>
      <c r="I33" s="140">
        <f>VLOOKUP(tbl_position[[#This Row],[Date]], tbl_FDX[], 5, 0)</f>
        <v>287.39999999999998</v>
      </c>
      <c r="J33" s="140">
        <f>VLOOKUP(tbl_position[[#This Row],[Date]], tbl_NKLA[], 5, 0)</f>
        <v>20.72</v>
      </c>
      <c r="K33" s="140">
        <f>VLOOKUP(tbl_position[[#This Row],[Date]], tbl_SPXS[], 5, 0)</f>
        <v>5.3</v>
      </c>
      <c r="L33" s="140">
        <f>VLOOKUP(tbl_position[[#This Row],[Date]], tbl_AMD[], 5, 0)</f>
        <v>81.56</v>
      </c>
      <c r="M33" s="140">
        <f>VLOOKUP(tbl_position[[#This Row],[Date]], tbl_CVX[], 5, 0)</f>
        <v>71.680000000000007</v>
      </c>
      <c r="N33" s="140">
        <f>VLOOKUP(tbl_position[[#This Row],[Date]], tbl_QCOM[], 5, 0)</f>
        <v>128.30000000000001</v>
      </c>
      <c r="O33" s="140">
        <f>VLOOKUP(tbl_position[[#This Row],[Date]], tbl_F[], 5, 0)</f>
        <v>7.74</v>
      </c>
      <c r="P33" s="127"/>
      <c r="Q33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$Q32)</f>
        <v>0</v>
      </c>
      <c r="R33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$R32)</f>
        <v>0</v>
      </c>
      <c r="S33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$S32)</f>
        <v>50</v>
      </c>
      <c r="T33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$T32)</f>
        <v>0</v>
      </c>
      <c r="U33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$U32)</f>
        <v>100</v>
      </c>
      <c r="V33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$V32)</f>
        <v>0</v>
      </c>
      <c r="W33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$W32)</f>
        <v>0</v>
      </c>
      <c r="X33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$X32)</f>
        <v>50</v>
      </c>
      <c r="Y33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$Y32)</f>
        <v>0</v>
      </c>
      <c r="Z33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$Z32)</f>
        <v>0</v>
      </c>
      <c r="AA33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$AA32)</f>
        <v>150</v>
      </c>
      <c r="AB33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$AB32)</f>
        <v>101</v>
      </c>
      <c r="AC33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$AC32)</f>
        <v>50</v>
      </c>
      <c r="AD33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$AD32)</f>
        <v>600</v>
      </c>
      <c r="AE33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$AE32)</f>
        <v>0</v>
      </c>
      <c r="AF33" s="10">
        <f ca="1" xml:space="preserve"> SUMPRODUCT(INDIRECT(ADDRESS(ROW(AF33), 2)):INDIRECT(ADDRESS(ROW(AF33), MATCH("Shares_AAPL", pos_header,0)-1)), INDIRECT(ADDRESS(ROW(AF33), MATCH("Shares_AAPL", pos_header,0))): INDIRECT(ADDRESS(ROW(AF33), MATCH("Shares_Holding", pos_header,0)-1)))</f>
        <v>70941.680000000008</v>
      </c>
      <c r="AG33" s="140">
        <f>SUMIFS(tbl_transaction[Net_Cash_Change], tbl_transaction[Transaction_Date],tbl_position[[#This Row],[Date]])+IF(tbl_position[[#This Row],[Date]]=$A$5, 100000, $AG32)</f>
        <v>26991.709999999992</v>
      </c>
      <c r="AH33" s="11">
        <f>SUMIFS(tbl_transaction[Net_Debt_Change], tbl_transaction[Transaction_Date],tbl_position[[#This Row],[Date]])+IF(tbl_position[[#This Row],[Date]]=$A$5, 0, $AH32)</f>
        <v>-4542.1000000000004</v>
      </c>
      <c r="AI33" s="48">
        <f ca="1">tbl_position[[#This Row],[Shares_Holding]]+tbl_position[[#This Row],[Cash_Holding]]-tbl_position[[#This Row],[Liabilities_Holding]]</f>
        <v>102475.49</v>
      </c>
    </row>
    <row r="34" spans="1:35" x14ac:dyDescent="0.35">
      <c r="A34" s="9">
        <v>44125</v>
      </c>
      <c r="B34" s="10">
        <f>VLOOKUP(tbl_position[[#This Row],[Date]], tbl_AAPL[], 5, 0)</f>
        <v>116.87</v>
      </c>
      <c r="C34" s="127">
        <f>VLOOKUP(tbl_position[[#This Row],[Date]], tbl_RIOT[], 5, 0)</f>
        <v>3.98</v>
      </c>
      <c r="D34" s="10">
        <f>VLOOKUP(tbl_position[[#This Row],[Date]], tbl_HD[], 5, 0)</f>
        <v>284.51</v>
      </c>
      <c r="E34" s="127">
        <f>VLOOKUP(tbl_position[[#This Row],[Date]], tbl_WMT[], 5, 0)</f>
        <v>144.4</v>
      </c>
      <c r="F34" s="127">
        <f>VLOOKUP(tbl_position[[#This Row],[Date]], tbl_IBM[], 5, 0)</f>
        <v>115.06</v>
      </c>
      <c r="G34" s="127">
        <f>VLOOKUP(tbl_position[[#This Row],[Date]], tbl_ORCL[], 5, 0)</f>
        <v>59.67</v>
      </c>
      <c r="H34" s="140">
        <f>VLOOKUP(tbl_position[[#This Row],[Date]], tbl_AKRO[], 5, 0)</f>
        <v>25.8</v>
      </c>
      <c r="I34" s="140">
        <f>VLOOKUP(tbl_position[[#This Row],[Date]], tbl_FDX[], 5, 0)</f>
        <v>282.27999999999997</v>
      </c>
      <c r="J34" s="140">
        <f>VLOOKUP(tbl_position[[#This Row],[Date]], tbl_NKLA[], 5, 0)</f>
        <v>22.24</v>
      </c>
      <c r="K34" s="140">
        <f>VLOOKUP(tbl_position[[#This Row],[Date]], tbl_SPXS[], 5, 0)</f>
        <v>5.33</v>
      </c>
      <c r="L34" s="140">
        <f>VLOOKUP(tbl_position[[#This Row],[Date]], tbl_AMD[], 5, 0)</f>
        <v>79.2</v>
      </c>
      <c r="M34" s="140">
        <f>VLOOKUP(tbl_position[[#This Row],[Date]], tbl_CVX[], 5, 0)</f>
        <v>70.87</v>
      </c>
      <c r="N34" s="140">
        <f>VLOOKUP(tbl_position[[#This Row],[Date]], tbl_QCOM[], 5, 0)</f>
        <v>128.55000000000001</v>
      </c>
      <c r="O34" s="140">
        <f>VLOOKUP(tbl_position[[#This Row],[Date]], tbl_F[], 5, 0)</f>
        <v>7.85</v>
      </c>
      <c r="P34" s="127">
        <f>VLOOKUP(tbl_position[[#This Row],[Date]], tbl_LTHM[], 5, 0)</f>
        <v>10.97</v>
      </c>
      <c r="Q34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$Q33)</f>
        <v>0</v>
      </c>
      <c r="R34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$R33)</f>
        <v>3000</v>
      </c>
      <c r="S34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$S33)</f>
        <v>50</v>
      </c>
      <c r="T34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$T33)</f>
        <v>0</v>
      </c>
      <c r="U34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$U33)</f>
        <v>100</v>
      </c>
      <c r="V34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$V33)</f>
        <v>0</v>
      </c>
      <c r="W34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$W33)</f>
        <v>0</v>
      </c>
      <c r="X34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$X33)</f>
        <v>50</v>
      </c>
      <c r="Y34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$Y33)</f>
        <v>0</v>
      </c>
      <c r="Z34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$Z33)</f>
        <v>0</v>
      </c>
      <c r="AA34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$AA33)</f>
        <v>150</v>
      </c>
      <c r="AB34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$AB33)</f>
        <v>101</v>
      </c>
      <c r="AC34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$AC33)</f>
        <v>50</v>
      </c>
      <c r="AD34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$AD33)</f>
        <v>600</v>
      </c>
      <c r="AE34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$AE33)</f>
        <v>1501</v>
      </c>
      <c r="AF34" s="10">
        <f ca="1" xml:space="preserve"> SUMPRODUCT(INDIRECT(ADDRESS(ROW(AF34), 2)):INDIRECT(ADDRESS(ROW(AF34), MATCH("Shares_AAPL", pos_header,0)-1)), INDIRECT(ADDRESS(ROW(AF34), MATCH("Shares_AAPL", pos_header,0))): INDIRECT(ADDRESS(ROW(AF34), MATCH("Shares_Holding", pos_header,0)-1)))</f>
        <v>98426.84</v>
      </c>
      <c r="AG34" s="140">
        <f>SUMIFS(tbl_transaction[Net_Cash_Change], tbl_transaction[Transaction_Date],tbl_position[[#This Row],[Date]])+IF(tbl_position[[#This Row],[Date]]=$A$5, 100000, $AG33)</f>
        <v>10525.979999999992</v>
      </c>
      <c r="AH34" s="11">
        <f>SUMIFS(tbl_transaction[Net_Debt_Change], tbl_transaction[Transaction_Date],tbl_position[[#This Row],[Date]])+IF(tbl_position[[#This Row],[Date]]=$A$5, 0, $AH33)</f>
        <v>7307.9</v>
      </c>
      <c r="AI34" s="48">
        <f ca="1">tbl_position[[#This Row],[Shares_Holding]]+tbl_position[[#This Row],[Cash_Holding]]-tbl_position[[#This Row],[Liabilities_Holding]]</f>
        <v>101644.92</v>
      </c>
    </row>
    <row r="35" spans="1:35" x14ac:dyDescent="0.35">
      <c r="A35" s="9">
        <v>44126</v>
      </c>
      <c r="B35" s="10">
        <f>VLOOKUP(tbl_position[[#This Row],[Date]], tbl_AAPL[], 5, 0)</f>
        <v>115.75</v>
      </c>
      <c r="C35" s="127">
        <f>VLOOKUP(tbl_position[[#This Row],[Date]], tbl_RIOT[], 5, 0)</f>
        <v>4.0549999999999997</v>
      </c>
      <c r="D35" s="10">
        <f>VLOOKUP(tbl_position[[#This Row],[Date]], tbl_HD[], 5, 0)</f>
        <v>281.16000000000003</v>
      </c>
      <c r="E35" s="127">
        <f>VLOOKUP(tbl_position[[#This Row],[Date]], tbl_WMT[], 5, 0)</f>
        <v>143.55000000000001</v>
      </c>
      <c r="F35" s="127">
        <f>VLOOKUP(tbl_position[[#This Row],[Date]], tbl_IBM[], 5, 0)</f>
        <v>115.76</v>
      </c>
      <c r="G35" s="127">
        <f>VLOOKUP(tbl_position[[#This Row],[Date]], tbl_ORCL[], 5, 0)</f>
        <v>59.69</v>
      </c>
      <c r="H35" s="140">
        <f>VLOOKUP(tbl_position[[#This Row],[Date]], tbl_AKRO[], 5, 0)</f>
        <v>25.81</v>
      </c>
      <c r="I35" s="140">
        <f>VLOOKUP(tbl_position[[#This Row],[Date]], tbl_FDX[], 5, 0)</f>
        <v>275.95</v>
      </c>
      <c r="J35" s="140">
        <f>VLOOKUP(tbl_position[[#This Row],[Date]], tbl_NKLA[], 5, 0)</f>
        <v>22.72</v>
      </c>
      <c r="K35" s="140">
        <f>VLOOKUP(tbl_position[[#This Row],[Date]], tbl_SPXS[], 5, 0)</f>
        <v>5.24</v>
      </c>
      <c r="L35" s="140">
        <f>VLOOKUP(tbl_position[[#This Row],[Date]], tbl_AMD[], 5, 0)</f>
        <v>79.42</v>
      </c>
      <c r="M35" s="140">
        <f>VLOOKUP(tbl_position[[#This Row],[Date]], tbl_CVX[], 5, 0)</f>
        <v>73.400000000000006</v>
      </c>
      <c r="N35" s="140">
        <f>VLOOKUP(tbl_position[[#This Row],[Date]], tbl_QCOM[], 5, 0)</f>
        <v>128.38</v>
      </c>
      <c r="O35" s="140">
        <f>VLOOKUP(tbl_position[[#This Row],[Date]], tbl_F[], 5, 0)</f>
        <v>8.2100000000000009</v>
      </c>
      <c r="P35" s="127">
        <f>VLOOKUP(tbl_position[[#This Row],[Date]], tbl_LTHM[], 5, 0)</f>
        <v>10.6</v>
      </c>
      <c r="Q35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$Q34)</f>
        <v>0</v>
      </c>
      <c r="R35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$R34)</f>
        <v>3000</v>
      </c>
      <c r="S35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$S34)</f>
        <v>50</v>
      </c>
      <c r="T35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$T34)</f>
        <v>0</v>
      </c>
      <c r="U35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$U34)</f>
        <v>100</v>
      </c>
      <c r="V35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$V34)</f>
        <v>0</v>
      </c>
      <c r="W35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$W34)</f>
        <v>0</v>
      </c>
      <c r="X35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$X34)</f>
        <v>50</v>
      </c>
      <c r="Y35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$Y34)</f>
        <v>0</v>
      </c>
      <c r="Z35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$Z34)</f>
        <v>0</v>
      </c>
      <c r="AA35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$AA34)</f>
        <v>150</v>
      </c>
      <c r="AB35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$AB34)</f>
        <v>101</v>
      </c>
      <c r="AC35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$AC34)</f>
        <v>50</v>
      </c>
      <c r="AD35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$AD34)</f>
        <v>600</v>
      </c>
      <c r="AE35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$AE34)</f>
        <v>1501</v>
      </c>
      <c r="AF35" s="10">
        <f ca="1" xml:space="preserve"> SUMPRODUCT(INDIRECT(ADDRESS(ROW(AF35), 2)):INDIRECT(ADDRESS(ROW(AF35), MATCH("Shares_AAPL", pos_header,0)-1)), INDIRECT(ADDRESS(ROW(AF35), MATCH("Shares_AAPL", pos_header,0))): INDIRECT(ADDRESS(ROW(AF35), MATCH("Shares_Holding", pos_header,0)-1)))</f>
        <v>98178.5</v>
      </c>
      <c r="AG35" s="140">
        <f>SUMIFS(tbl_transaction[Net_Cash_Change], tbl_transaction[Transaction_Date],tbl_position[[#This Row],[Date]])+IF(tbl_position[[#This Row],[Date]]=$A$5, 100000, $AG34)</f>
        <v>10525.979999999992</v>
      </c>
      <c r="AH35" s="11">
        <f>SUMIFS(tbl_transaction[Net_Debt_Change], tbl_transaction[Transaction_Date],tbl_position[[#This Row],[Date]])+IF(tbl_position[[#This Row],[Date]]=$A$5, 0, $AH34)</f>
        <v>7307.9</v>
      </c>
      <c r="AI35" s="48">
        <f ca="1">tbl_position[[#This Row],[Shares_Holding]]+tbl_position[[#This Row],[Cash_Holding]]-tbl_position[[#This Row],[Liabilities_Holding]]</f>
        <v>101396.58</v>
      </c>
    </row>
    <row r="36" spans="1:35" x14ac:dyDescent="0.35">
      <c r="A36" s="9">
        <v>44127</v>
      </c>
      <c r="B36" s="10">
        <f>VLOOKUP(tbl_position[[#This Row],[Date]], tbl_AAPL[], 5, 0)</f>
        <v>115.04</v>
      </c>
      <c r="C36" s="127">
        <f>VLOOKUP(tbl_position[[#This Row],[Date]], tbl_RIOT[], 5, 0)</f>
        <v>3.91</v>
      </c>
      <c r="D36" s="10">
        <f>VLOOKUP(tbl_position[[#This Row],[Date]], tbl_HD[], 5, 0)</f>
        <v>283</v>
      </c>
      <c r="E36" s="127">
        <f>VLOOKUP(tbl_position[[#This Row],[Date]], tbl_WMT[], 5, 0)</f>
        <v>143.85</v>
      </c>
      <c r="F36" s="127">
        <f>VLOOKUP(tbl_position[[#This Row],[Date]], tbl_IBM[], 5, 0)</f>
        <v>116</v>
      </c>
      <c r="G36" s="127">
        <f>VLOOKUP(tbl_position[[#This Row],[Date]], tbl_ORCL[], 5, 0)</f>
        <v>59.9</v>
      </c>
      <c r="H36" s="140">
        <f>VLOOKUP(tbl_position[[#This Row],[Date]], tbl_AKRO[], 5, 0)</f>
        <v>26.24</v>
      </c>
      <c r="I36" s="140">
        <f>VLOOKUP(tbl_position[[#This Row],[Date]], tbl_FDX[], 5, 0)</f>
        <v>283.56</v>
      </c>
      <c r="J36" s="140">
        <f>VLOOKUP(tbl_position[[#This Row],[Date]], tbl_NKLA[], 5, 0)</f>
        <v>22.54</v>
      </c>
      <c r="K36" s="140">
        <f>VLOOKUP(tbl_position[[#This Row],[Date]], tbl_SPXS[], 5, 0)</f>
        <v>5.18</v>
      </c>
      <c r="L36" s="140">
        <f>VLOOKUP(tbl_position[[#This Row],[Date]], tbl_AMD[], 5, 0)</f>
        <v>81.96</v>
      </c>
      <c r="M36" s="140">
        <f>VLOOKUP(tbl_position[[#This Row],[Date]], tbl_CVX[], 5, 0)</f>
        <v>72.569999999999993</v>
      </c>
      <c r="N36" s="140">
        <f>VLOOKUP(tbl_position[[#This Row],[Date]], tbl_QCOM[], 5, 0)</f>
        <v>128.88</v>
      </c>
      <c r="O36" s="140">
        <f>VLOOKUP(tbl_position[[#This Row],[Date]], tbl_F[], 5, 0)</f>
        <v>8.16</v>
      </c>
      <c r="P36" s="127">
        <f>VLOOKUP(tbl_position[[#This Row],[Date]], tbl_LTHM[], 5, 0)</f>
        <v>10.79</v>
      </c>
      <c r="Q3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$Q35)</f>
        <v>0</v>
      </c>
      <c r="R3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$R35)</f>
        <v>3000</v>
      </c>
      <c r="S3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$S35)</f>
        <v>50</v>
      </c>
      <c r="T3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$T35)</f>
        <v>0</v>
      </c>
      <c r="U3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$U35)</f>
        <v>100</v>
      </c>
      <c r="V3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$V35)</f>
        <v>0</v>
      </c>
      <c r="W3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$W35)</f>
        <v>0</v>
      </c>
      <c r="X3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$X35)</f>
        <v>50</v>
      </c>
      <c r="Y3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$Y35)</f>
        <v>0</v>
      </c>
      <c r="Z3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$Z35)</f>
        <v>0</v>
      </c>
      <c r="AA36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$AA35)</f>
        <v>150</v>
      </c>
      <c r="AB36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$AB35)</f>
        <v>101</v>
      </c>
      <c r="AC36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$AC35)</f>
        <v>50</v>
      </c>
      <c r="AD36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$AD35)</f>
        <v>0</v>
      </c>
      <c r="AE36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$AE35)</f>
        <v>1501</v>
      </c>
      <c r="AF36" s="10">
        <f ca="1" xml:space="preserve"> SUMPRODUCT(INDIRECT(ADDRESS(ROW(AF36), 2)):INDIRECT(ADDRESS(ROW(AF36), MATCH("Shares_AAPL", pos_header,0)-1)), INDIRECT(ADDRESS(ROW(AF36), MATCH("Shares_AAPL", pos_header,0))): INDIRECT(ADDRESS(ROW(AF36), MATCH("Shares_Holding", pos_header,0)-1)))</f>
        <v>93921.36</v>
      </c>
      <c r="AG36" s="140">
        <f>SUMIFS(tbl_transaction[Net_Cash_Change], tbl_transaction[Transaction_Date],tbl_position[[#This Row],[Date]])+IF(tbl_position[[#This Row],[Date]]=$A$5, 100000, $AG35)</f>
        <v>15421.979999999992</v>
      </c>
      <c r="AH36" s="11">
        <f>SUMIFS(tbl_transaction[Net_Debt_Change], tbl_transaction[Transaction_Date],tbl_position[[#This Row],[Date]])+IF(tbl_position[[#This Row],[Date]]=$A$5, 0, $AH35)</f>
        <v>7307.9</v>
      </c>
      <c r="AI36" s="48">
        <f ca="1">tbl_position[[#This Row],[Shares_Holding]]+tbl_position[[#This Row],[Cash_Holding]]-tbl_position[[#This Row],[Liabilities_Holding]]</f>
        <v>102035.44</v>
      </c>
    </row>
    <row r="37" spans="1:35" x14ac:dyDescent="0.35">
      <c r="A37" s="9">
        <v>44130</v>
      </c>
      <c r="B37" s="10">
        <f>VLOOKUP(tbl_position[[#This Row],[Date]], tbl_AAPL[], 5, 0)</f>
        <v>115.05</v>
      </c>
      <c r="C37" s="127">
        <f>VLOOKUP(tbl_position[[#This Row],[Date]], tbl_RIOT[], 5, 0)</f>
        <v>3.85</v>
      </c>
      <c r="D37" s="10">
        <f>VLOOKUP(tbl_position[[#This Row],[Date]], tbl_HD[], 5, 0)</f>
        <v>276.04000000000002</v>
      </c>
      <c r="E37" s="127">
        <f>VLOOKUP(tbl_position[[#This Row],[Date]], tbl_WMT[], 5, 0)</f>
        <v>142.16</v>
      </c>
      <c r="F37" s="127">
        <f>VLOOKUP(tbl_position[[#This Row],[Date]], tbl_IBM[], 5, 0)</f>
        <v>112.22</v>
      </c>
      <c r="G37" s="127">
        <f>VLOOKUP(tbl_position[[#This Row],[Date]], tbl_ORCL[], 5, 0)</f>
        <v>57.49</v>
      </c>
      <c r="H37" s="140">
        <f>VLOOKUP(tbl_position[[#This Row],[Date]], tbl_AKRO[], 5, 0)</f>
        <v>26.26</v>
      </c>
      <c r="I37" s="140">
        <f>VLOOKUP(tbl_position[[#This Row],[Date]], tbl_FDX[], 5, 0)</f>
        <v>277.62</v>
      </c>
      <c r="J37" s="140">
        <f>VLOOKUP(tbl_position[[#This Row],[Date]], tbl_NKLA[], 5, 0)</f>
        <v>20.91</v>
      </c>
      <c r="K37" s="140">
        <f>VLOOKUP(tbl_position[[#This Row],[Date]], tbl_SPXS[], 5, 0)</f>
        <v>5.46</v>
      </c>
      <c r="L37" s="140">
        <f>VLOOKUP(tbl_position[[#This Row],[Date]], tbl_AMD[], 5, 0)</f>
        <v>82.23</v>
      </c>
      <c r="M37" s="140">
        <f>VLOOKUP(tbl_position[[#This Row],[Date]], tbl_CVX[], 5, 0)</f>
        <v>70.94</v>
      </c>
      <c r="N37" s="140">
        <f>VLOOKUP(tbl_position[[#This Row],[Date]], tbl_QCOM[], 5, 0)</f>
        <v>126.2</v>
      </c>
      <c r="O37" s="140">
        <f>VLOOKUP(tbl_position[[#This Row],[Date]], tbl_F[], 5, 0)</f>
        <v>8.0299999999999994</v>
      </c>
      <c r="P37" s="127">
        <f>VLOOKUP(tbl_position[[#This Row],[Date]], tbl_LTHM[], 5, 0)</f>
        <v>10.62</v>
      </c>
      <c r="Q3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$Q36)</f>
        <v>0</v>
      </c>
      <c r="R3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$R36)</f>
        <v>3000</v>
      </c>
      <c r="S3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$S36)</f>
        <v>50</v>
      </c>
      <c r="T3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$T36)</f>
        <v>0</v>
      </c>
      <c r="U3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$U36)</f>
        <v>100</v>
      </c>
      <c r="V3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$V36)</f>
        <v>0</v>
      </c>
      <c r="W3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$W36)</f>
        <v>0</v>
      </c>
      <c r="X3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$X36)</f>
        <v>50</v>
      </c>
      <c r="Y3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$Y36)</f>
        <v>0</v>
      </c>
      <c r="Z3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$Z36)</f>
        <v>0</v>
      </c>
      <c r="AA37" s="47">
        <f>SUMIFS(tbl_transaction[Stock Holding Change], tbl_transaction[Symbol], MID(tbl_position[[#Headers],[Shares_AMD]], FIND("_", tbl_position[[#Headers],[Shares_AMD]])+1, 99), tbl_transaction[Transaction_Date], tbl_position[[#This Row],[Date]]) + IF(tbl_position[[#This Row],[Date]]=$A$5, 0, $AA36)</f>
        <v>150</v>
      </c>
      <c r="AB37" s="47">
        <f>SUMIFS(tbl_transaction[Stock Holding Change], tbl_transaction[Symbol], MID(tbl_position[[#Headers],[Shares_CVX]], FIND("_", tbl_position[[#Headers],[Shares_CVX]])+1, 99), tbl_transaction[Transaction_Date], tbl_position[[#This Row],[Date]]) + IF(tbl_position[[#This Row],[Date]]=$A$5, 0, $AB36)</f>
        <v>101</v>
      </c>
      <c r="AC37" s="47">
        <f>SUMIFS(tbl_transaction[Stock Holding Change], tbl_transaction[Symbol], MID(tbl_position[[#Headers],[Shares_QCOM]], FIND("_", tbl_position[[#Headers],[Shares_QCOM]])+1, 99), tbl_transaction[Transaction_Date], tbl_position[[#This Row],[Date]]) + IF(tbl_position[[#This Row],[Date]]=$A$5, 0, $AC36)</f>
        <v>50</v>
      </c>
      <c r="AD37" s="47">
        <f>SUMIFS(tbl_transaction[Stock Holding Change], tbl_transaction[Symbol], MID(tbl_position[[#Headers],[Shares_F]], FIND("_", tbl_position[[#Headers],[Shares_F]])+1, 99), tbl_transaction[Transaction_Date], tbl_position[[#This Row],[Date]]) + IF(tbl_position[[#This Row],[Date]]=$A$5, 0, $AD36)</f>
        <v>0</v>
      </c>
      <c r="AE37" s="47">
        <f>SUMIFS(tbl_transaction[Stock Holding Change], tbl_transaction[Symbol], MID(tbl_position[[#Headers],[Shares_LTHM]], FIND("_", tbl_position[[#Headers],[Shares_LTHM]])+1, 99), tbl_transaction[Transaction_Date], tbl_position[[#This Row],[Date]]) + IF(tbl_position[[#This Row],[Date]]=$A$5, 0, $AE36)</f>
        <v>1501</v>
      </c>
      <c r="AF37" s="10">
        <f ca="1" xml:space="preserve"> SUMPRODUCT(INDIRECT(ADDRESS(ROW(AF37), 2)):INDIRECT(ADDRESS(ROW(AF37), MATCH("Shares_AAPL", pos_header,0)-1)), INDIRECT(ADDRESS(ROW(AF37), MATCH("Shares_AAPL", pos_header,0))): INDIRECT(ADDRESS(ROW(AF37), MATCH("Shares_Holding", pos_header,0)-1)))</f>
        <v>92205.06</v>
      </c>
      <c r="AG37" s="140">
        <f>SUMIFS(tbl_transaction[Net_Cash_Change], tbl_transaction[Transaction_Date],tbl_position[[#This Row],[Date]])+IF(tbl_position[[#This Row],[Date]]=$A$5, 100000, $AG36)</f>
        <v>15421.979999999992</v>
      </c>
      <c r="AH37" s="11">
        <f>SUMIFS(tbl_transaction[Net_Debt_Change], tbl_transaction[Transaction_Date],tbl_position[[#This Row],[Date]])+IF(tbl_position[[#This Row],[Date]]=$A$5, 0, $AH36)</f>
        <v>7307.9</v>
      </c>
      <c r="AI37" s="48">
        <f ca="1">tbl_position[[#This Row],[Shares_Holding]]+tbl_position[[#This Row],[Cash_Holding]]-tbl_position[[#This Row],[Liabilities_Holding]]</f>
        <v>100319.14</v>
      </c>
    </row>
    <row r="38" spans="1:35" x14ac:dyDescent="0.35">
      <c r="A38" t="s">
        <v>162</v>
      </c>
      <c r="B38">
        <f>SUBTOTAL(103,tbl_position[Price_AAPL])</f>
        <v>33</v>
      </c>
      <c r="D38" s="46"/>
      <c r="AG38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60"/>
  <sheetViews>
    <sheetView topLeftCell="A42" workbookViewId="0">
      <selection activeCell="A60" sqref="A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  <col min="8" max="8" width="11.1796875" customWidth="1"/>
    <col min="10" max="10" width="11.54296875" customWidth="1"/>
    <col min="11" max="11" width="12" customWidth="1"/>
    <col min="12" max="12" width="11.81640625" customWidth="1"/>
    <col min="13" max="13" width="9.81640625" bestFit="1" customWidth="1"/>
    <col min="15" max="15" width="11.7265625" customWidth="1"/>
    <col min="16" max="16" width="13.26953125" customWidth="1"/>
  </cols>
  <sheetData>
    <row r="1" spans="1:19" ht="21" x14ac:dyDescent="0.5">
      <c r="A1" s="41" t="s">
        <v>74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3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3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3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3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3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3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3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3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3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3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3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3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3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3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3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3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3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3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35">
      <c r="A37" s="8">
        <v>44098</v>
      </c>
      <c r="B37" s="48">
        <v>265.70999999999998</v>
      </c>
      <c r="C37" s="48">
        <v>269.7</v>
      </c>
      <c r="D37" s="48">
        <v>263.88</v>
      </c>
      <c r="E37" s="48">
        <v>265.7</v>
      </c>
      <c r="F37" s="48">
        <v>265.7</v>
      </c>
      <c r="G37">
        <v>3095600</v>
      </c>
      <c r="H37" s="10">
        <f>IF(tbl_HD[[#This Row],[Date]]=$A$5, $F37, EMA_Beta*$H36 + (1-EMA_Beta)*$F37)</f>
        <v>275.6531498348794</v>
      </c>
      <c r="I37" s="46">
        <f ca="1">IF(tbl_HD[[#This Row],[RS]]= "", "", 100-(100/(1+tbl_HD[[#This Row],[RS]])))</f>
        <v>41.441428938990988</v>
      </c>
      <c r="J37" s="10">
        <f ca="1">IF(ROW($N37)-4&lt;BB_Periods, "", AVERAGE(INDIRECT(ADDRESS(ROW($F37)-RSI_Periods +1, MATCH("Adj Close", Price_Header,0))): INDIRECT(ADDRESS(ROW($F37),MATCH("Adj Close", Price_Header,0)))))</f>
        <v>274.70785707142858</v>
      </c>
      <c r="K37" s="127">
        <f ca="1">IF(tbl_HD[[#This Row],[BB_Mean]]="", "", tbl_HD[[#This Row],[BB_Mean]]+(BB_Width*tbl_HD[[#This Row],[BB_Stdev]]))</f>
        <v>286.49719852482912</v>
      </c>
      <c r="L37" s="127">
        <f ca="1">IF(tbl_HD[[#This Row],[BB_Mean]]="", "", tbl_HD[[#This Row],[BB_Mean]]-(BB_Width*tbl_HD[[#This Row],[BB_Stdev]]))</f>
        <v>262.91851561802804</v>
      </c>
      <c r="M37" s="46">
        <f>IF(ROW(tbl_HD[[#This Row],[Adj Close]])=5, 0, $F37-$F36)</f>
        <v>-0.85000000000002274</v>
      </c>
      <c r="N37" s="46">
        <f>MAX(tbl_HD[[#This Row],[Move]],0)</f>
        <v>0</v>
      </c>
      <c r="O37" s="46">
        <f>MAX(-tbl_HD[[#This Row],[Move]],0)</f>
        <v>0.85000000000002274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2.1821413571428536</v>
      </c>
      <c r="R37" s="46">
        <f ca="1">IF(tbl_HD[[#This Row],[Avg_Upmove]]="", "", tbl_HD[[#This Row],[Avg_Upmove]]/tbl_HD[[#This Row],[Avg_Downmove]])</f>
        <v>0.70769194309429784</v>
      </c>
      <c r="S37" s="10">
        <f ca="1">IF(ROW($N37)-4&lt;BB_Periods, "", _xlfn.STDEV.S(INDIRECT(ADDRESS(ROW($F37)-RSI_Periods +1, MATCH("Adj Close", Price_Header,0))): INDIRECT(ADDRESS(ROW($F37),MATCH("Adj Close", Price_Header,0)))))</f>
        <v>5.8946707267002596</v>
      </c>
    </row>
    <row r="38" spans="1:19" x14ac:dyDescent="0.35">
      <c r="A38" s="8">
        <v>44099</v>
      </c>
      <c r="B38" s="48">
        <v>264.19</v>
      </c>
      <c r="C38" s="48">
        <v>270.14999999999998</v>
      </c>
      <c r="D38" s="48">
        <v>263.92</v>
      </c>
      <c r="E38" s="48">
        <v>268.55</v>
      </c>
      <c r="F38" s="48">
        <v>268.55</v>
      </c>
      <c r="G38">
        <v>2457700</v>
      </c>
      <c r="H38" s="10">
        <f>IF(tbl_HD[[#This Row],[Date]]=$A$5, $F38, EMA_Beta*$H37 + (1-EMA_Beta)*$F38)</f>
        <v>274.94283485139147</v>
      </c>
      <c r="I38" s="46">
        <f ca="1">IF(tbl_HD[[#This Row],[RS]]= "", "", 100-(100/(1+tbl_HD[[#This Row],[RS]])))</f>
        <v>48.891103831628051</v>
      </c>
      <c r="J38" s="10">
        <f ca="1">IF(ROW($N38)-4&lt;BB_Periods, "", AVERAGE(INDIRECT(ADDRESS(ROW($F38)-RSI_Periods +1, MATCH("Adj Close", Price_Header,0))): INDIRECT(ADDRESS(ROW($F38),MATCH("Adj Close", Price_Header,0)))))</f>
        <v>274.62857107142861</v>
      </c>
      <c r="K38" s="127">
        <f ca="1">IF(tbl_HD[[#This Row],[BB_Mean]]="", "", tbl_HD[[#This Row],[BB_Mean]]+(BB_Width*tbl_HD[[#This Row],[BB_Stdev]]))</f>
        <v>286.57799312369139</v>
      </c>
      <c r="L38" s="127">
        <f ca="1">IF(tbl_HD[[#This Row],[BB_Mean]]="", "", tbl_HD[[#This Row],[BB_Mean]]-(BB_Width*tbl_HD[[#This Row],[BB_Stdev]]))</f>
        <v>262.67914901916583</v>
      </c>
      <c r="M38" s="46">
        <f>IF(ROW(tbl_HD[[#This Row],[Adj Close]])=5, 0, $F38-$F37)</f>
        <v>2.8500000000000227</v>
      </c>
      <c r="N38" s="46">
        <f>MAX(tbl_HD[[#This Row],[Move]],0)</f>
        <v>2.8500000000000227</v>
      </c>
      <c r="O38" s="46">
        <f>MAX(-tbl_HD[[#This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1.7478552857142842</v>
      </c>
      <c r="Q38" s="46">
        <f ca="1">IF(ROW($O38)-5&lt;RSI_Periods, "", AVERAGE(INDIRECT(ADDRESS(ROW($O38)-RSI_Periods +1, MATCH("Downmove", Price_Header,0))): INDIRECT(ADDRESS(ROW($O38),MATCH("Downmove", Price_Header,0)))))</f>
        <v>1.8271412857142846</v>
      </c>
      <c r="R38" s="46">
        <f ca="1">IF(tbl_HD[[#This Row],[Avg_Upmove]]="", "", tbl_HD[[#This Row],[Avg_Upmove]]/tbl_HD[[#This Row],[Avg_Downmove]])</f>
        <v>0.95660653031054188</v>
      </c>
      <c r="S38" s="10">
        <f ca="1">IF(ROW($N38)-4&lt;BB_Periods, "", _xlfn.STDEV.S(INDIRECT(ADDRESS(ROW($F38)-RSI_Periods +1, MATCH("Adj Close", Price_Header,0))): INDIRECT(ADDRESS(ROW($F38),MATCH("Adj Close", Price_Header,0)))))</f>
        <v>5.9747110261313932</v>
      </c>
    </row>
    <row r="39" spans="1:19" x14ac:dyDescent="0.35">
      <c r="A39" s="8">
        <v>44102</v>
      </c>
      <c r="B39" s="48">
        <v>271.93</v>
      </c>
      <c r="C39" s="48">
        <v>274.22000000000003</v>
      </c>
      <c r="D39" s="48">
        <v>270.3</v>
      </c>
      <c r="E39" s="48">
        <v>272.33</v>
      </c>
      <c r="F39" s="48">
        <v>272.33</v>
      </c>
      <c r="G39">
        <v>3061100</v>
      </c>
      <c r="H39" s="10">
        <f>IF(tbl_HD[[#This Row],[Date]]=$A$5, $F39, EMA_Beta*$H38 + (1-EMA_Beta)*$F39)</f>
        <v>274.68155136625234</v>
      </c>
      <c r="I39" s="46">
        <f ca="1">IF(tbl_HD[[#This Row],[RS]]= "", "", 100-(100/(1+tbl_HD[[#This Row],[RS]])))</f>
        <v>52.872910736706892</v>
      </c>
      <c r="J39" s="10">
        <f ca="1">IF(ROW($N39)-4&lt;BB_Periods, "", AVERAGE(INDIRECT(ADDRESS(ROW($F39)-RSI_Periods +1, MATCH("Adj Close", Price_Header,0))): INDIRECT(ADDRESS(ROW($F39),MATCH("Adj Close", Price_Header,0)))))</f>
        <v>274.84785607142857</v>
      </c>
      <c r="K39" s="127">
        <f ca="1">IF(tbl_HD[[#This Row],[BB_Mean]]="", "", tbl_HD[[#This Row],[BB_Mean]]+(BB_Width*tbl_HD[[#This Row],[BB_Stdev]]))</f>
        <v>286.48138866846745</v>
      </c>
      <c r="L39" s="127">
        <f ca="1">IF(tbl_HD[[#This Row],[BB_Mean]]="", "", tbl_HD[[#This Row],[BB_Mean]]-(BB_Width*tbl_HD[[#This Row],[BB_Stdev]]))</f>
        <v>263.21432347438969</v>
      </c>
      <c r="M39" s="46">
        <f>IF(ROW(tbl_HD[[#This Row],[Adj Close]])=5, 0, $F39-$F38)</f>
        <v>3.7799999999999727</v>
      </c>
      <c r="N39" s="46">
        <f>MAX(tbl_HD[[#This Row],[Move]],0)</f>
        <v>3.7799999999999727</v>
      </c>
      <c r="O39" s="46">
        <f>MAX(-tbl_HD[[#This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2.0178552857142824</v>
      </c>
      <c r="Q39" s="46">
        <f ca="1">IF(ROW($O39)-5&lt;RSI_Periods, "", AVERAGE(INDIRECT(ADDRESS(ROW($O39)-RSI_Periods +1, MATCH("Downmove", Price_Header,0))): INDIRECT(ADDRESS(ROW($O39),MATCH("Downmove", Price_Header,0)))))</f>
        <v>1.7985702857142851</v>
      </c>
      <c r="R39" s="46">
        <f ca="1">IF(tbl_HD[[#This Row],[Avg_Upmove]]="", "", tbl_HD[[#This Row],[Avg_Upmove]]/tbl_HD[[#This Row],[Avg_Downmove]])</f>
        <v>1.1219218407763867</v>
      </c>
      <c r="S39" s="10">
        <f ca="1">IF(ROW($N39)-4&lt;BB_Periods, "", _xlfn.STDEV.S(INDIRECT(ADDRESS(ROW($F39)-RSI_Periods +1, MATCH("Adj Close", Price_Header,0))): INDIRECT(ADDRESS(ROW($F39),MATCH("Adj Close", Price_Header,0)))))</f>
        <v>5.8167662985194317</v>
      </c>
    </row>
    <row r="40" spans="1:19" x14ac:dyDescent="0.35">
      <c r="A40" s="8">
        <v>44103</v>
      </c>
      <c r="B40" s="48">
        <v>273.39999999999998</v>
      </c>
      <c r="C40" s="48">
        <v>273.83999999999997</v>
      </c>
      <c r="D40" s="48">
        <v>271.11</v>
      </c>
      <c r="E40" s="48">
        <v>272.11</v>
      </c>
      <c r="F40" s="48">
        <v>272.11</v>
      </c>
      <c r="G40">
        <v>2048900</v>
      </c>
      <c r="H40" s="10">
        <f>IF(tbl_HD[[#This Row],[Date]]=$A$5, $F40, EMA_Beta*$H39 + (1-EMA_Beta)*$F40)</f>
        <v>274.42439622962712</v>
      </c>
      <c r="I40" s="46">
        <f ca="1">IF(tbl_HD[[#This Row],[RS]]= "", "", 100-(100/(1+tbl_HD[[#This Row],[RS]])))</f>
        <v>44.626102674301507</v>
      </c>
      <c r="J40" s="10">
        <f ca="1">IF(ROW($N40)-4&lt;BB_Periods, "", AVERAGE(INDIRECT(ADDRESS(ROW($F40)-RSI_Periods +1, MATCH("Adj Close", Price_Header,0))): INDIRECT(ADDRESS(ROW($F40),MATCH("Adj Close", Price_Header,0)))))</f>
        <v>274.49571257142856</v>
      </c>
      <c r="K40" s="127">
        <f ca="1">IF(tbl_HD[[#This Row],[BB_Mean]]="", "", tbl_HD[[#This Row],[BB_Mean]]+(BB_Width*tbl_HD[[#This Row],[BB_Stdev]]))</f>
        <v>286.14185769809552</v>
      </c>
      <c r="L40" s="127">
        <f ca="1">IF(tbl_HD[[#This Row],[BB_Mean]]="", "", tbl_HD[[#This Row],[BB_Mean]]-(BB_Width*tbl_HD[[#This Row],[BB_Stdev]]))</f>
        <v>262.84956744476159</v>
      </c>
      <c r="M40" s="46">
        <f>IF(ROW(tbl_HD[[#This Row],[Adj Close]])=5, 0, $F40-$F39)</f>
        <v>-0.21999999999997044</v>
      </c>
      <c r="N40" s="46">
        <f>MAX(tbl_HD[[#This Row],[Move]],0)</f>
        <v>0</v>
      </c>
      <c r="O40" s="46">
        <f>MAX(-tbl_HD[[#This Row],[Move]],0)</f>
        <v>0.21999999999997044</v>
      </c>
      <c r="P40" s="46">
        <f ca="1">IF(ROW($N40)-5&lt;RSI_Periods, "", AVERAGE(INDIRECT(ADDRESS(ROW($N40)-RSI_Periods +1, MATCH("Upmove", Price_Header,0))): INDIRECT(ADDRESS(ROW($N40),MATCH("Upmove", Price_Header,0)))))</f>
        <v>1.4621410714285699</v>
      </c>
      <c r="Q40" s="46">
        <f ca="1">IF(ROW($O40)-5&lt;RSI_Periods, "", AVERAGE(INDIRECT(ADDRESS(ROW($O40)-RSI_Periods +1, MATCH("Downmove", Price_Header,0))): INDIRECT(ADDRESS(ROW($O40),MATCH("Downmove", Price_Header,0)))))</f>
        <v>1.8142845714285687</v>
      </c>
      <c r="R40" s="46">
        <f ca="1">IF(tbl_HD[[#This Row],[Avg_Upmove]]="", "", tbl_HD[[#This Row],[Avg_Upmove]]/tbl_HD[[#This Row],[Avg_Downmove]])</f>
        <v>0.80590503521577062</v>
      </c>
      <c r="S40" s="10">
        <f ca="1">IF(ROW($N40)-4&lt;BB_Periods, "", _xlfn.STDEV.S(INDIRECT(ADDRESS(ROW($F40)-RSI_Periods +1, MATCH("Adj Close", Price_Header,0))): INDIRECT(ADDRESS(ROW($F40),MATCH("Adj Close", Price_Header,0)))))</f>
        <v>5.8230725633334695</v>
      </c>
    </row>
    <row r="41" spans="1:19" x14ac:dyDescent="0.35">
      <c r="A41" s="8">
        <v>44104</v>
      </c>
      <c r="B41" s="48">
        <v>273.48</v>
      </c>
      <c r="C41" s="48">
        <v>279.92</v>
      </c>
      <c r="D41" s="48">
        <v>272.52</v>
      </c>
      <c r="E41" s="48">
        <v>277.70999999999998</v>
      </c>
      <c r="F41" s="48">
        <v>277.70999999999998</v>
      </c>
      <c r="G41">
        <v>4778800</v>
      </c>
      <c r="H41" s="10">
        <f>IF(tbl_HD[[#This Row],[Date]]=$A$5, $F41, EMA_Beta*$H40 + (1-EMA_Beta)*$F41)</f>
        <v>274.75295660666444</v>
      </c>
      <c r="I41" s="46">
        <f ca="1">IF(tbl_HD[[#This Row],[RS]]= "", "", 100-(100/(1+tbl_HD[[#This Row],[RS]])))</f>
        <v>55.315077487225615</v>
      </c>
      <c r="J41" s="10">
        <f ca="1">IF(ROW($N41)-4&lt;BB_Periods, "", AVERAGE(INDIRECT(ADDRESS(ROW($F41)-RSI_Periods +1, MATCH("Adj Close", Price_Header,0))): INDIRECT(ADDRESS(ROW($F41),MATCH("Adj Close", Price_Header,0)))))</f>
        <v>274.85356885714288</v>
      </c>
      <c r="K41" s="127">
        <f ca="1">IF(tbl_HD[[#This Row],[BB_Mean]]="", "", tbl_HD[[#This Row],[BB_Mean]]+(BB_Width*tbl_HD[[#This Row],[BB_Stdev]]))</f>
        <v>286.5697051387005</v>
      </c>
      <c r="L41" s="127">
        <f ca="1">IF(tbl_HD[[#This Row],[BB_Mean]]="", "", tbl_HD[[#This Row],[BB_Mean]]-(BB_Width*tbl_HD[[#This Row],[BB_Stdev]]))</f>
        <v>263.13743257558525</v>
      </c>
      <c r="M41" s="46">
        <f>IF(ROW(tbl_HD[[#This Row],[Adj Close]])=5, 0, $F41-$F40)</f>
        <v>5.5999999999999659</v>
      </c>
      <c r="N41" s="46">
        <f>MAX(tbl_HD[[#This Row],[Move]],0)</f>
        <v>5.5999999999999659</v>
      </c>
      <c r="O41" s="46">
        <f>MAX(-tbl_HD[[#This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1.8621410714285673</v>
      </c>
      <c r="Q41" s="46">
        <f ca="1">IF(ROW($O41)-5&lt;RSI_Periods, "", AVERAGE(INDIRECT(ADDRESS(ROW($O41)-RSI_Periods +1, MATCH("Downmove", Price_Header,0))): INDIRECT(ADDRESS(ROW($O41),MATCH("Downmove", Price_Header,0)))))</f>
        <v>1.5042847857142843</v>
      </c>
      <c r="R41" s="46">
        <f ca="1">IF(tbl_HD[[#This Row],[Avg_Upmove]]="", "", tbl_HD[[#This Row],[Avg_Upmove]]/tbl_HD[[#This Row],[Avg_Downmove]])</f>
        <v>1.2378913149376574</v>
      </c>
      <c r="S41" s="10">
        <f ca="1">IF(ROW($N41)-4&lt;BB_Periods, "", _xlfn.STDEV.S(INDIRECT(ADDRESS(ROW($F41)-RSI_Periods +1, MATCH("Adj Close", Price_Header,0))): INDIRECT(ADDRESS(ROW($F41),MATCH("Adj Close", Price_Header,0)))))</f>
        <v>5.8580681407788191</v>
      </c>
    </row>
    <row r="42" spans="1:19" x14ac:dyDescent="0.35">
      <c r="A42" s="8">
        <v>44105</v>
      </c>
      <c r="B42" s="48">
        <v>279.44</v>
      </c>
      <c r="C42" s="48">
        <v>280</v>
      </c>
      <c r="D42" s="48">
        <v>275.85000000000002</v>
      </c>
      <c r="E42" s="48">
        <v>277.62</v>
      </c>
      <c r="F42" s="48">
        <v>277.62</v>
      </c>
      <c r="G42">
        <v>2696900</v>
      </c>
      <c r="H42" s="10">
        <f>IF(tbl_HD[[#This Row],[Date]]=$A$5, $F42, EMA_Beta*$H41 + (1-EMA_Beta)*$F42)</f>
        <v>275.03966094599798</v>
      </c>
      <c r="I42" s="46">
        <f ca="1">IF(tbl_HD[[#This Row],[RS]]= "", "", 100-(100/(1+tbl_HD[[#This Row],[RS]])))</f>
        <v>51.479712531228785</v>
      </c>
      <c r="J42" s="10">
        <f ca="1">IF(ROW($N42)-4&lt;BB_Periods, "", AVERAGE(INDIRECT(ADDRESS(ROW($F42)-RSI_Periods +1, MATCH("Adj Close", Price_Header,0))): INDIRECT(ADDRESS(ROW($F42),MATCH("Adj Close", Price_Header,0)))))</f>
        <v>274.94571264285713</v>
      </c>
      <c r="K42" s="127">
        <f ca="1">IF(tbl_HD[[#This Row],[BB_Mean]]="", "", tbl_HD[[#This Row],[BB_Mean]]+(BB_Width*tbl_HD[[#This Row],[BB_Stdev]]))</f>
        <v>286.73194939465009</v>
      </c>
      <c r="L42" s="127">
        <f ca="1">IF(tbl_HD[[#This Row],[BB_Mean]]="", "", tbl_HD[[#This Row],[BB_Mean]]-(BB_Width*tbl_HD[[#This Row],[BB_Stdev]]))</f>
        <v>263.15947589106418</v>
      </c>
      <c r="M42" s="46">
        <f>IF(ROW(tbl_HD[[#This Row],[Adj Close]])=5, 0, $F42-$F41)</f>
        <v>-8.9999999999974989E-2</v>
      </c>
      <c r="N42" s="46">
        <f>MAX(tbl_HD[[#This Row],[Move]],0)</f>
        <v>0</v>
      </c>
      <c r="O42" s="46">
        <f>MAX(-tbl_HD[[#This Row],[Move]],0)</f>
        <v>8.9999999999974989E-2</v>
      </c>
      <c r="P42" s="46">
        <f ca="1">IF(ROW($N42)-5&lt;RSI_Periods, "", AVERAGE(INDIRECT(ADDRESS(ROW($N42)-RSI_Periods +1, MATCH("Upmove", Price_Header,0))): INDIRECT(ADDRESS(ROW($N42),MATCH("Upmove", Price_Header,0)))))</f>
        <v>1.6028571428571385</v>
      </c>
      <c r="Q42" s="46">
        <f ca="1">IF(ROW($O42)-5&lt;RSI_Periods, "", AVERAGE(INDIRECT(ADDRESS(ROW($O42)-RSI_Periods +1, MATCH("Downmove", Price_Header,0))): INDIRECT(ADDRESS(ROW($O42),MATCH("Downmove", Price_Header,0)))))</f>
        <v>1.5107133571428537</v>
      </c>
      <c r="R42" s="46">
        <f ca="1">IF(tbl_HD[[#This Row],[Avg_Upmove]]="", "", tbl_HD[[#This Row],[Avg_Upmove]]/tbl_HD[[#This Row],[Avg_Downmove]])</f>
        <v>1.0609935599487599</v>
      </c>
      <c r="S42" s="10">
        <f ca="1">IF(ROW($N42)-4&lt;BB_Periods, "", _xlfn.STDEV.S(INDIRECT(ADDRESS(ROW($F42)-RSI_Periods +1, MATCH("Adj Close", Price_Header,0))): INDIRECT(ADDRESS(ROW($F42),MATCH("Adj Close", Price_Header,0)))))</f>
        <v>5.8931183758964742</v>
      </c>
    </row>
    <row r="43" spans="1:19" x14ac:dyDescent="0.35">
      <c r="A43" s="8">
        <v>44106</v>
      </c>
      <c r="B43" s="48">
        <v>274.94</v>
      </c>
      <c r="C43" s="48">
        <v>281.08</v>
      </c>
      <c r="D43" s="48">
        <v>274.10000000000002</v>
      </c>
      <c r="E43" s="48">
        <v>279.31</v>
      </c>
      <c r="F43" s="48">
        <v>279.31</v>
      </c>
      <c r="G43">
        <v>2943600</v>
      </c>
      <c r="H43" s="10">
        <f>IF(tbl_HD[[#This Row],[Date]]=$A$5, $F43, EMA_Beta*$H42 + (1-EMA_Beta)*$F43)</f>
        <v>275.46669485139819</v>
      </c>
      <c r="I43" s="46">
        <f ca="1">IF(tbl_HD[[#This Row],[RS]]= "", "", 100-(100/(1+tbl_HD[[#This Row],[RS]])))</f>
        <v>48.364264338019701</v>
      </c>
      <c r="J43" s="10">
        <f ca="1">IF(ROW($N43)-4&lt;BB_Periods, "", AVERAGE(INDIRECT(ADDRESS(ROW($F43)-RSI_Periods +1, MATCH("Adj Close", Price_Header,0))): INDIRECT(ADDRESS(ROW($F43),MATCH("Adj Close", Price_Header,0)))))</f>
        <v>274.84999878571432</v>
      </c>
      <c r="K43" s="127">
        <f ca="1">IF(tbl_HD[[#This Row],[BB_Mean]]="", "", tbl_HD[[#This Row],[BB_Mean]]+(BB_Width*tbl_HD[[#This Row],[BB_Stdev]]))</f>
        <v>286.45709074034079</v>
      </c>
      <c r="L43" s="127">
        <f ca="1">IF(tbl_HD[[#This Row],[BB_Mean]]="", "", tbl_HD[[#This Row],[BB_Mean]]-(BB_Width*tbl_HD[[#This Row],[BB_Stdev]]))</f>
        <v>263.24290683108785</v>
      </c>
      <c r="M43" s="46">
        <f>IF(ROW(tbl_HD[[#This Row],[Adj Close]])=5, 0, $F43-$F42)</f>
        <v>1.6899999999999977</v>
      </c>
      <c r="N43" s="46">
        <f>MAX(tbl_HD[[#This Row],[Move]],0)</f>
        <v>1.6899999999999977</v>
      </c>
      <c r="O43" s="46">
        <f>MAX(-tbl_HD[[#This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1.4149994999999973</v>
      </c>
      <c r="Q43" s="46">
        <f ca="1">IF(ROW($O43)-5&lt;RSI_Periods, "", AVERAGE(INDIRECT(ADDRESS(ROW($O43)-RSI_Periods +1, MATCH("Downmove", Price_Header,0))): INDIRECT(ADDRESS(ROW($O43),MATCH("Downmove", Price_Header,0)))))</f>
        <v>1.5107133571428537</v>
      </c>
      <c r="R43" s="46">
        <f ca="1">IF(tbl_HD[[#This Row],[Avg_Upmove]]="", "", tbl_HD[[#This Row],[Avg_Upmove]]/tbl_HD[[#This Row],[Avg_Downmove]])</f>
        <v>0.93664327075000131</v>
      </c>
      <c r="S43" s="10">
        <f ca="1">IF(ROW($N43)-4&lt;BB_Periods, "", _xlfn.STDEV.S(INDIRECT(ADDRESS(ROW($F43)-RSI_Periods +1, MATCH("Adj Close", Price_Header,0))): INDIRECT(ADDRESS(ROW($F43),MATCH("Adj Close", Price_Header,0)))))</f>
        <v>5.8035459773132478</v>
      </c>
    </row>
    <row r="44" spans="1:19" x14ac:dyDescent="0.35">
      <c r="A44" s="8">
        <v>44109</v>
      </c>
      <c r="B44" s="48">
        <v>280.92</v>
      </c>
      <c r="C44" s="48">
        <v>282.42</v>
      </c>
      <c r="D44" s="48">
        <v>279.7</v>
      </c>
      <c r="E44" s="48">
        <v>282.10000000000002</v>
      </c>
      <c r="F44" s="48">
        <v>282.10000000000002</v>
      </c>
      <c r="G44">
        <v>2328700</v>
      </c>
      <c r="H44" s="10">
        <f>IF(tbl_HD[[#This Row],[Date]]=$A$5, $F44, EMA_Beta*$H43 + (1-EMA_Beta)*$F44)</f>
        <v>276.13002536625839</v>
      </c>
      <c r="I44" s="46">
        <f ca="1">IF(tbl_HD[[#This Row],[RS]]= "", "", 100-(100/(1+tbl_HD[[#This Row],[RS]])))</f>
        <v>45.517789586070705</v>
      </c>
      <c r="J44" s="10">
        <f ca="1">IF(ROW($N44)-4&lt;BB_Periods, "", AVERAGE(INDIRECT(ADDRESS(ROW($F44)-RSI_Periods +1, MATCH("Adj Close", Price_Header,0))): INDIRECT(ADDRESS(ROW($F44),MATCH("Adj Close", Price_Header,0)))))</f>
        <v>274.60142828571429</v>
      </c>
      <c r="K44" s="127">
        <f ca="1">IF(tbl_HD[[#This Row],[BB_Mean]]="", "", tbl_HD[[#This Row],[BB_Mean]]+(BB_Width*tbl_HD[[#This Row],[BB_Stdev]]))</f>
        <v>285.33483759798071</v>
      </c>
      <c r="L44" s="127">
        <f ca="1">IF(tbl_HD[[#This Row],[BB_Mean]]="", "", tbl_HD[[#This Row],[BB_Mean]]-(BB_Width*tbl_HD[[#This Row],[BB_Stdev]]))</f>
        <v>263.86801897344787</v>
      </c>
      <c r="M44" s="46">
        <f>IF(ROW(tbl_HD[[#This Row],[Adj Close]])=5, 0, $F44-$F43)</f>
        <v>2.7900000000000205</v>
      </c>
      <c r="N44" s="46">
        <f>MAX(tbl_HD[[#This Row],[Move]],0)</f>
        <v>2.7900000000000205</v>
      </c>
      <c r="O44" s="46">
        <f>MAX(-tbl_HD[[#This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1.2621428571428541</v>
      </c>
      <c r="Q44" s="46">
        <f ca="1">IF(ROW($O44)-5&lt;RSI_Periods, "", AVERAGE(INDIRECT(ADDRESS(ROW($O44)-RSI_Periods +1, MATCH("Downmove", Price_Header,0))): INDIRECT(ADDRESS(ROW($O44),MATCH("Downmove", Price_Header,0)))))</f>
        <v>1.5107133571428537</v>
      </c>
      <c r="R44" s="46">
        <f ca="1">IF(tbl_HD[[#This Row],[Avg_Upmove]]="", "", tbl_HD[[#This Row],[Avg_Upmove]]/tbl_HD[[#This Row],[Avg_Downmove]])</f>
        <v>0.83546150643024031</v>
      </c>
      <c r="S44" s="10">
        <f ca="1">IF(ROW($N44)-4&lt;BB_Periods, "", _xlfn.STDEV.S(INDIRECT(ADDRESS(ROW($F44)-RSI_Periods +1, MATCH("Adj Close", Price_Header,0))): INDIRECT(ADDRESS(ROW($F44),MATCH("Adj Close", Price_Header,0)))))</f>
        <v>5.3667046561332121</v>
      </c>
    </row>
    <row r="45" spans="1:19" x14ac:dyDescent="0.35">
      <c r="A45" s="8">
        <v>44110</v>
      </c>
      <c r="B45" s="48">
        <v>282.5</v>
      </c>
      <c r="C45" s="48">
        <v>283</v>
      </c>
      <c r="D45" s="48">
        <v>275.77</v>
      </c>
      <c r="E45" s="48">
        <v>276.47000000000003</v>
      </c>
      <c r="F45" s="48">
        <v>276.47000000000003</v>
      </c>
      <c r="G45">
        <v>2992500</v>
      </c>
      <c r="H45" s="10">
        <f>IF(tbl_HD[[#This Row],[Date]]=$A$5, $F45, EMA_Beta*$H44 + (1-EMA_Beta)*$F45)</f>
        <v>276.16402282963259</v>
      </c>
      <c r="I45" s="46">
        <f ca="1">IF(tbl_HD[[#This Row],[RS]]= "", "", 100-(100/(1+tbl_HD[[#This Row],[RS]])))</f>
        <v>43.629624243256295</v>
      </c>
      <c r="J45" s="10">
        <f ca="1">IF(ROW($N45)-4&lt;BB_Periods, "", AVERAGE(INDIRECT(ADDRESS(ROW($F45)-RSI_Periods +1, MATCH("Adj Close", Price_Header,0))): INDIRECT(ADDRESS(ROW($F45),MATCH("Adj Close", Price_Header,0)))))</f>
        <v>274.23285649999997</v>
      </c>
      <c r="K45" s="127">
        <f ca="1">IF(tbl_HD[[#This Row],[BB_Mean]]="", "", tbl_HD[[#This Row],[BB_Mean]]+(BB_Width*tbl_HD[[#This Row],[BB_Stdev]]))</f>
        <v>284.25757337880719</v>
      </c>
      <c r="L45" s="127">
        <f ca="1">IF(tbl_HD[[#This Row],[BB_Mean]]="", "", tbl_HD[[#This Row],[BB_Mean]]-(BB_Width*tbl_HD[[#This Row],[BB_Stdev]]))</f>
        <v>264.20813962119274</v>
      </c>
      <c r="M45" s="46">
        <f>IF(ROW(tbl_HD[[#This Row],[Adj Close]])=5, 0, $F45-$F44)</f>
        <v>-5.6299999999999955</v>
      </c>
      <c r="N45" s="46">
        <f>MAX(tbl_HD[[#This Row],[Move]],0)</f>
        <v>0</v>
      </c>
      <c r="O45" s="46">
        <f>MAX(-tbl_HD[[#This Row],[Move]],0)</f>
        <v>5.6299999999999955</v>
      </c>
      <c r="P45" s="46">
        <f ca="1">IF(ROW($N45)-5&lt;RSI_Periods, "", AVERAGE(INDIRECT(ADDRESS(ROW($N45)-RSI_Periods +1, MATCH("Upmove", Price_Header,0))): INDIRECT(ADDRESS(ROW($N45),MATCH("Upmove", Price_Header,0)))))</f>
        <v>1.2621428571428541</v>
      </c>
      <c r="Q45" s="46">
        <f ca="1">IF(ROW($O45)-5&lt;RSI_Periods, "", AVERAGE(INDIRECT(ADDRESS(ROW($O45)-RSI_Periods +1, MATCH("Downmove", Price_Header,0))): INDIRECT(ADDRESS(ROW($O45),MATCH("Downmove", Price_Header,0)))))</f>
        <v>1.6307146428571369</v>
      </c>
      <c r="R45" s="46">
        <f ca="1">IF(tbl_HD[[#This Row],[Avg_Upmove]]="", "", tbl_HD[[#This Row],[Avg_Upmove]]/tbl_HD[[#This Row],[Avg_Downmove]])</f>
        <v>0.77398143364401462</v>
      </c>
      <c r="S45" s="10">
        <f ca="1">IF(ROW($N45)-4&lt;BB_Periods, "", _xlfn.STDEV.S(INDIRECT(ADDRESS(ROW($F45)-RSI_Periods +1, MATCH("Adj Close", Price_Header,0))): INDIRECT(ADDRESS(ROW($F45),MATCH("Adj Close", Price_Header,0)))))</f>
        <v>5.0123584394036254</v>
      </c>
    </row>
    <row r="46" spans="1:19" x14ac:dyDescent="0.35">
      <c r="A46" s="8">
        <v>44111</v>
      </c>
      <c r="B46" s="48">
        <v>280.85000000000002</v>
      </c>
      <c r="C46" s="48">
        <v>284</v>
      </c>
      <c r="D46" s="48">
        <v>280</v>
      </c>
      <c r="E46" s="48">
        <v>282.79000000000002</v>
      </c>
      <c r="F46" s="48">
        <v>282.79000000000002</v>
      </c>
      <c r="G46">
        <v>3423700</v>
      </c>
      <c r="H46" s="10">
        <f>IF(tbl_HD[[#This Row],[Date]]=$A$5, $F46, EMA_Beta*$H45 + (1-EMA_Beta)*$F46)</f>
        <v>276.82662054666935</v>
      </c>
      <c r="I46" s="46">
        <f ca="1">IF(tbl_HD[[#This Row],[RS]]= "", "", 100-(100/(1+tbl_HD[[#This Row],[RS]])))</f>
        <v>53.134008376657292</v>
      </c>
      <c r="J46" s="10">
        <f ca="1">IF(ROW($N46)-4&lt;BB_Periods, "", AVERAGE(INDIRECT(ADDRESS(ROW($F46)-RSI_Periods +1, MATCH("Adj Close", Price_Header,0))): INDIRECT(ADDRESS(ROW($F46),MATCH("Adj Close", Price_Header,0)))))</f>
        <v>274.43499999999995</v>
      </c>
      <c r="K46" s="127">
        <f ca="1">IF(tbl_HD[[#This Row],[BB_Mean]]="", "", tbl_HD[[#This Row],[BB_Mean]]+(BB_Width*tbl_HD[[#This Row],[BB_Stdev]]))</f>
        <v>285.05372294219393</v>
      </c>
      <c r="L46" s="127">
        <f ca="1">IF(tbl_HD[[#This Row],[BB_Mean]]="", "", tbl_HD[[#This Row],[BB_Mean]]-(BB_Width*tbl_HD[[#This Row],[BB_Stdev]]))</f>
        <v>263.81627705780596</v>
      </c>
      <c r="M46" s="46">
        <f>IF(ROW(tbl_HD[[#This Row],[Adj Close]])=5, 0, $F46-$F45)</f>
        <v>6.3199999999999932</v>
      </c>
      <c r="N46" s="46">
        <f>MAX(tbl_HD[[#This Row],[Move]],0)</f>
        <v>6.3199999999999932</v>
      </c>
      <c r="O46" s="46">
        <f>MAX(-tbl_HD[[#This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1.7135714285714252</v>
      </c>
      <c r="Q46" s="46">
        <f ca="1">IF(ROW($O46)-5&lt;RSI_Periods, "", AVERAGE(INDIRECT(ADDRESS(ROW($O46)-RSI_Periods +1, MATCH("Downmove", Price_Header,0))): INDIRECT(ADDRESS(ROW($O46),MATCH("Downmove", Price_Header,0)))))</f>
        <v>1.5114279285714238</v>
      </c>
      <c r="R46" s="46">
        <f ca="1">IF(tbl_HD[[#This Row],[Avg_Upmove]]="", "", tbl_HD[[#This Row],[Avg_Upmove]]/tbl_HD[[#This Row],[Avg_Downmove]])</f>
        <v>1.1337433933691194</v>
      </c>
      <c r="S46" s="10">
        <f ca="1">IF(ROW($N46)-4&lt;BB_Periods, "", _xlfn.STDEV.S(INDIRECT(ADDRESS(ROW($F46)-RSI_Periods +1, MATCH("Adj Close", Price_Header,0))): INDIRECT(ADDRESS(ROW($F46),MATCH("Adj Close", Price_Header,0)))))</f>
        <v>5.309361471096997</v>
      </c>
    </row>
    <row r="47" spans="1:19" x14ac:dyDescent="0.35">
      <c r="A47" s="8">
        <v>44112</v>
      </c>
      <c r="B47" s="48">
        <v>283.83999999999997</v>
      </c>
      <c r="C47" s="48">
        <v>284.95</v>
      </c>
      <c r="D47" s="48">
        <v>281.17</v>
      </c>
      <c r="E47" s="48">
        <v>284.52</v>
      </c>
      <c r="F47" s="48">
        <v>284.52</v>
      </c>
      <c r="G47">
        <v>2256200</v>
      </c>
      <c r="H47" s="10">
        <f>IF(tbl_HD[[#This Row],[Date]]=$A$5, $F47, EMA_Beta*$H46 + (1-EMA_Beta)*$F47)</f>
        <v>277.59595849200241</v>
      </c>
      <c r="I47" s="46">
        <f ca="1">IF(tbl_HD[[#This Row],[RS]]= "", "", 100-(100/(1+tbl_HD[[#This Row],[RS]])))</f>
        <v>61.07812871052009</v>
      </c>
      <c r="J47" s="10">
        <f ca="1">IF(ROW($N47)-4&lt;BB_Periods, "", AVERAGE(INDIRECT(ADDRESS(ROW($F47)-RSI_Periods +1, MATCH("Adj Close", Price_Header,0))): INDIRECT(ADDRESS(ROW($F47),MATCH("Adj Close", Price_Header,0)))))</f>
        <v>275.10142857142853</v>
      </c>
      <c r="K47" s="127">
        <f ca="1">IF(tbl_HD[[#This Row],[BB_Mean]]="", "", tbl_HD[[#This Row],[BB_Mean]]+(BB_Width*tbl_HD[[#This Row],[BB_Stdev]]))</f>
        <v>287.0162618790016</v>
      </c>
      <c r="L47" s="127">
        <f ca="1">IF(tbl_HD[[#This Row],[BB_Mean]]="", "", tbl_HD[[#This Row],[BB_Mean]]-(BB_Width*tbl_HD[[#This Row],[BB_Stdev]]))</f>
        <v>263.18659526385545</v>
      </c>
      <c r="M47" s="46">
        <f>IF(ROW(tbl_HD[[#This Row],[Adj Close]])=5, 0, $F47-$F46)</f>
        <v>1.7299999999999613</v>
      </c>
      <c r="N47" s="46">
        <f>MAX(tbl_HD[[#This Row],[Move]],0)</f>
        <v>1.7299999999999613</v>
      </c>
      <c r="O47" s="46">
        <f>MAX(-tbl_HD[[#This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1.837142857142851</v>
      </c>
      <c r="Q47" s="46">
        <f ca="1">IF(ROW($O47)-5&lt;RSI_Periods, "", AVERAGE(INDIRECT(ADDRESS(ROW($O47)-RSI_Periods +1, MATCH("Downmove", Price_Header,0))): INDIRECT(ADDRESS(ROW($O47),MATCH("Downmove", Price_Header,0)))))</f>
        <v>1.1707142857142807</v>
      </c>
      <c r="R47" s="46">
        <f ca="1">IF(tbl_HD[[#This Row],[Avg_Upmove]]="", "", tbl_HD[[#This Row],[Avg_Upmove]]/tbl_HD[[#This Row],[Avg_Downmove]])</f>
        <v>1.5692495424039064</v>
      </c>
      <c r="S47" s="10">
        <f ca="1">IF(ROW($N47)-4&lt;BB_Periods, "", _xlfn.STDEV.S(INDIRECT(ADDRESS(ROW($F47)-RSI_Periods +1, MATCH("Adj Close", Price_Header,0))): INDIRECT(ADDRESS(ROW($F47),MATCH("Adj Close", Price_Header,0)))))</f>
        <v>5.957416653786539</v>
      </c>
    </row>
    <row r="48" spans="1:19" x14ac:dyDescent="0.35">
      <c r="A48" s="8">
        <v>44113</v>
      </c>
      <c r="B48" s="48">
        <v>285.47000000000003</v>
      </c>
      <c r="C48" s="48">
        <v>287.27999999999997</v>
      </c>
      <c r="D48" s="48">
        <v>284.08999999999997</v>
      </c>
      <c r="E48" s="48">
        <v>285.92</v>
      </c>
      <c r="F48" s="48">
        <v>285.92</v>
      </c>
      <c r="G48">
        <v>2238500</v>
      </c>
      <c r="H48" s="10">
        <f>IF(tbl_HD[[#This Row],[Date]]=$A$5, $F48, EMA_Beta*$H47 + (1-EMA_Beta)*$F48)</f>
        <v>278.4283626428022</v>
      </c>
      <c r="I48" s="46">
        <f ca="1">IF(tbl_HD[[#This Row],[RS]]= "", "", 100-(100/(1+tbl_HD[[#This Row],[RS]])))</f>
        <v>66.683058765674986</v>
      </c>
      <c r="J48" s="10">
        <f ca="1">IF(ROW($N48)-4&lt;BB_Periods, "", AVERAGE(INDIRECT(ADDRESS(ROW($F48)-RSI_Periods +1, MATCH("Adj Close", Price_Header,0))): INDIRECT(ADDRESS(ROW($F48),MATCH("Adj Close", Price_Header,0)))))</f>
        <v>276.07071428571425</v>
      </c>
      <c r="K48" s="127">
        <f ca="1">IF(tbl_HD[[#This Row],[BB_Mean]]="", "", tbl_HD[[#This Row],[BB_Mean]]+(BB_Width*tbl_HD[[#This Row],[BB_Stdev]]))</f>
        <v>289.17031490037942</v>
      </c>
      <c r="L48" s="127">
        <f ca="1">IF(tbl_HD[[#This Row],[BB_Mean]]="", "", tbl_HD[[#This Row],[BB_Mean]]-(BB_Width*tbl_HD[[#This Row],[BB_Stdev]]))</f>
        <v>262.97111367104907</v>
      </c>
      <c r="M48" s="46">
        <f>IF(ROW(tbl_HD[[#This Row],[Adj Close]])=5, 0, $F48-$F47)</f>
        <v>1.4000000000000341</v>
      </c>
      <c r="N48" s="46">
        <f>MAX(tbl_HD[[#This Row],[Move]],0)</f>
        <v>1.4000000000000341</v>
      </c>
      <c r="O48" s="46">
        <f>MAX(-tbl_HD[[#This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1.9371428571428535</v>
      </c>
      <c r="Q48" s="46">
        <f ca="1">IF(ROW($O48)-5&lt;RSI_Periods, "", AVERAGE(INDIRECT(ADDRESS(ROW($O48)-RSI_Periods +1, MATCH("Downmove", Price_Header,0))): INDIRECT(ADDRESS(ROW($O48),MATCH("Downmove", Price_Header,0)))))</f>
        <v>0.96785714285713964</v>
      </c>
      <c r="R48" s="46">
        <f ca="1">IF(tbl_HD[[#This Row],[Avg_Upmove]]="", "", tbl_HD[[#This Row],[Avg_Upmove]]/tbl_HD[[#This Row],[Avg_Downmove]])</f>
        <v>2.0014760147601507</v>
      </c>
      <c r="S48" s="10">
        <f ca="1">IF(ROW($N48)-4&lt;BB_Periods, "", _xlfn.STDEV.S(INDIRECT(ADDRESS(ROW($F48)-RSI_Periods +1, MATCH("Adj Close", Price_Header,0))): INDIRECT(ADDRESS(ROW($F48),MATCH("Adj Close", Price_Header,0)))))</f>
        <v>6.5498003073325899</v>
      </c>
    </row>
    <row r="49" spans="1:19" x14ac:dyDescent="0.35">
      <c r="A49" s="8">
        <v>44116</v>
      </c>
      <c r="B49" s="48">
        <v>287.39</v>
      </c>
      <c r="C49" s="48">
        <v>288.33</v>
      </c>
      <c r="D49" s="48">
        <v>286.06</v>
      </c>
      <c r="E49" s="48">
        <v>286.91000000000003</v>
      </c>
      <c r="F49" s="48">
        <v>286.91000000000003</v>
      </c>
      <c r="G49">
        <v>2411900</v>
      </c>
      <c r="H49" s="10">
        <f>IF(tbl_HD[[#This Row],[Date]]=$A$5, $F49, EMA_Beta*$H48 + (1-EMA_Beta)*$F49)</f>
        <v>279.27652637852196</v>
      </c>
      <c r="I49" s="46">
        <f ca="1">IF(tbl_HD[[#This Row],[RS]]= "", "", 100-(100/(1+tbl_HD[[#This Row],[RS]])))</f>
        <v>66.707616707616765</v>
      </c>
      <c r="J49" s="10">
        <f ca="1">IF(ROW($N49)-4&lt;BB_Periods, "", AVERAGE(INDIRECT(ADDRESS(ROW($F49)-RSI_Periods +1, MATCH("Adj Close", Price_Header,0))): INDIRECT(ADDRESS(ROW($F49),MATCH("Adj Close", Price_Header,0)))))</f>
        <v>277.04214285714284</v>
      </c>
      <c r="K49" s="127">
        <f ca="1">IF(tbl_HD[[#This Row],[BB_Mean]]="", "", tbl_HD[[#This Row],[BB_Mean]]+(BB_Width*tbl_HD[[#This Row],[BB_Stdev]]))</f>
        <v>291.23158243749259</v>
      </c>
      <c r="L49" s="127">
        <f ca="1">IF(tbl_HD[[#This Row],[BB_Mean]]="", "", tbl_HD[[#This Row],[BB_Mean]]-(BB_Width*tbl_HD[[#This Row],[BB_Stdev]]))</f>
        <v>262.85270327679308</v>
      </c>
      <c r="M49" s="46">
        <f>IF(ROW(tbl_HD[[#This Row],[Adj Close]])=5, 0, $F49-$F48)</f>
        <v>0.99000000000000909</v>
      </c>
      <c r="N49" s="46">
        <f>MAX(tbl_HD[[#This Row],[Move]],0)</f>
        <v>0.99000000000000909</v>
      </c>
      <c r="O49" s="46">
        <f>MAX(-tbl_HD[[#This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1.9392857142857127</v>
      </c>
      <c r="Q49" s="46">
        <f ca="1">IF(ROW($O49)-5&lt;RSI_Periods, "", AVERAGE(INDIRECT(ADDRESS(ROW($O49)-RSI_Periods +1, MATCH("Downmove", Price_Header,0))): INDIRECT(ADDRESS(ROW($O49),MATCH("Downmove", Price_Header,0)))))</f>
        <v>0.96785714285713964</v>
      </c>
      <c r="R49" s="46">
        <f ca="1">IF(tbl_HD[[#This Row],[Avg_Upmove]]="", "", tbl_HD[[#This Row],[Avg_Upmove]]/tbl_HD[[#This Row],[Avg_Downmove]])</f>
        <v>2.0036900369003741</v>
      </c>
      <c r="S49" s="10">
        <f ca="1">IF(ROW($N49)-4&lt;BB_Periods, "", _xlfn.STDEV.S(INDIRECT(ADDRESS(ROW($F49)-RSI_Periods +1, MATCH("Adj Close", Price_Header,0))): INDIRECT(ADDRESS(ROW($F49),MATCH("Adj Close", Price_Header,0)))))</f>
        <v>7.0947197901748709</v>
      </c>
    </row>
    <row r="50" spans="1:19" x14ac:dyDescent="0.35">
      <c r="A50" s="8">
        <v>44117</v>
      </c>
      <c r="B50" s="48">
        <v>285.7</v>
      </c>
      <c r="C50" s="48">
        <v>290.77</v>
      </c>
      <c r="D50" s="48">
        <v>285.7</v>
      </c>
      <c r="E50" s="48">
        <v>290.36</v>
      </c>
      <c r="F50" s="48">
        <v>290.36</v>
      </c>
      <c r="G50">
        <v>2699900</v>
      </c>
      <c r="H50" s="10">
        <f>IF(tbl_HD[[#This Row],[Date]]=$A$5, $F50, EMA_Beta*$H49 + (1-EMA_Beta)*$F50)</f>
        <v>280.38487374066978</v>
      </c>
      <c r="I50" s="46">
        <f ca="1">IF(tbl_HD[[#This Row],[RS]]= "", "", 100-(100/(1+tbl_HD[[#This Row],[RS]])))</f>
        <v>81.840064188285709</v>
      </c>
      <c r="J50" s="10">
        <f ca="1">IF(ROW($N50)-4&lt;BB_Periods, "", AVERAGE(INDIRECT(ADDRESS(ROW($F50)-RSI_Periods +1, MATCH("Adj Close", Price_Header,0))): INDIRECT(ADDRESS(ROW($F50),MATCH("Adj Close", Price_Header,0)))))</f>
        <v>278.74285714285713</v>
      </c>
      <c r="K50" s="127">
        <f ca="1">IF(tbl_HD[[#This Row],[BB_Mean]]="", "", tbl_HD[[#This Row],[BB_Mean]]+(BB_Width*tbl_HD[[#This Row],[BB_Stdev]]))</f>
        <v>293.21980843383409</v>
      </c>
      <c r="L50" s="127">
        <f ca="1">IF(tbl_HD[[#This Row],[BB_Mean]]="", "", tbl_HD[[#This Row],[BB_Mean]]-(BB_Width*tbl_HD[[#This Row],[BB_Stdev]]))</f>
        <v>264.26590585188018</v>
      </c>
      <c r="M50" s="46">
        <f>IF(ROW(tbl_HD[[#This Row],[Adj Close]])=5, 0, $F50-$F49)</f>
        <v>3.4499999999999886</v>
      </c>
      <c r="N50" s="46">
        <f>MAX(tbl_HD[[#This Row],[Move]],0)</f>
        <v>3.4499999999999886</v>
      </c>
      <c r="O50" s="46">
        <f>MAX(-tbl_HD[[#This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2.1857142857142833</v>
      </c>
      <c r="Q50" s="46">
        <f ca="1">IF(ROW($O50)-5&lt;RSI_Periods, "", AVERAGE(INDIRECT(ADDRESS(ROW($O50)-RSI_Periods +1, MATCH("Downmove", Price_Header,0))): INDIRECT(ADDRESS(ROW($O50),MATCH("Downmove", Price_Header,0)))))</f>
        <v>0.48499999999999738</v>
      </c>
      <c r="R50" s="46">
        <f ca="1">IF(tbl_HD[[#This Row],[Avg_Upmove]]="", "", tbl_HD[[#This Row],[Avg_Upmove]]/tbl_HD[[#This Row],[Avg_Downmove]])</f>
        <v>4.5066273932253509</v>
      </c>
      <c r="S50" s="10">
        <f ca="1">IF(ROW($N50)-4&lt;BB_Periods, "", _xlfn.STDEV.S(INDIRECT(ADDRESS(ROW($F50)-RSI_Periods +1, MATCH("Adj Close", Price_Header,0))): INDIRECT(ADDRESS(ROW($F50),MATCH("Adj Close", Price_Header,0)))))</f>
        <v>7.2384756454884718</v>
      </c>
    </row>
    <row r="51" spans="1:19" x14ac:dyDescent="0.35">
      <c r="A51" s="8">
        <v>44118</v>
      </c>
      <c r="B51" s="48">
        <v>289.51</v>
      </c>
      <c r="C51" s="48">
        <v>290.3</v>
      </c>
      <c r="D51" s="48">
        <v>285.14999999999998</v>
      </c>
      <c r="E51" s="48">
        <v>287.08999999999997</v>
      </c>
      <c r="F51" s="48">
        <v>287.08999999999997</v>
      </c>
      <c r="G51">
        <v>2221000</v>
      </c>
      <c r="H51" s="10">
        <f>IF(tbl_HD[[#This Row],[Date]]=$A$5, $F51, EMA_Beta*$H50 + (1-EMA_Beta)*$F51)</f>
        <v>281.05538636660282</v>
      </c>
      <c r="I51" s="46">
        <f ca="1">IF(tbl_HD[[#This Row],[RS]]= "", "", 100-(100/(1+tbl_HD[[#This Row],[RS]])))</f>
        <v>76.865109269027897</v>
      </c>
      <c r="J51" s="10">
        <f ca="1">IF(ROW($N51)-4&lt;BB_Periods, "", AVERAGE(INDIRECT(ADDRESS(ROW($F51)-RSI_Periods +1, MATCH("Adj Close", Price_Header,0))): INDIRECT(ADDRESS(ROW($F51),MATCH("Adj Close", Price_Header,0)))))</f>
        <v>280.27071428571429</v>
      </c>
      <c r="K51" s="127">
        <f ca="1">IF(tbl_HD[[#This Row],[BB_Mean]]="", "", tbl_HD[[#This Row],[BB_Mean]]+(BB_Width*tbl_HD[[#This Row],[BB_Stdev]]))</f>
        <v>293.25614627529569</v>
      </c>
      <c r="L51" s="127">
        <f ca="1">IF(tbl_HD[[#This Row],[BB_Mean]]="", "", tbl_HD[[#This Row],[BB_Mean]]-(BB_Width*tbl_HD[[#This Row],[BB_Stdev]]))</f>
        <v>267.28528229613289</v>
      </c>
      <c r="M51" s="46">
        <f>IF(ROW(tbl_HD[[#This Row],[Adj Close]])=5, 0, $F51-$F50)</f>
        <v>-3.2700000000000387</v>
      </c>
      <c r="N51" s="46">
        <f>MAX(tbl_HD[[#This Row],[Move]],0)</f>
        <v>0</v>
      </c>
      <c r="O51" s="46">
        <f>MAX(-tbl_HD[[#This Row],[Move]],0)</f>
        <v>3.2700000000000387</v>
      </c>
      <c r="P51" s="46">
        <f ca="1">IF(ROW($N51)-5&lt;RSI_Periods, "", AVERAGE(INDIRECT(ADDRESS(ROW($N51)-RSI_Periods +1, MATCH("Upmove", Price_Header,0))): INDIRECT(ADDRESS(ROW($N51),MATCH("Upmove", Price_Header,0)))))</f>
        <v>2.1857142857142833</v>
      </c>
      <c r="Q51" s="46">
        <f ca="1">IF(ROW($O51)-5&lt;RSI_Periods, "", AVERAGE(INDIRECT(ADDRESS(ROW($O51)-RSI_Periods +1, MATCH("Downmove", Price_Header,0))): INDIRECT(ADDRESS(ROW($O51),MATCH("Downmove", Price_Header,0)))))</f>
        <v>0.65785714285714136</v>
      </c>
      <c r="R51" s="46">
        <f ca="1">IF(tbl_HD[[#This Row],[Avg_Upmove]]="", "", tbl_HD[[#This Row],[Avg_Upmove]]/tbl_HD[[#This Row],[Avg_Downmove]])</f>
        <v>3.322475570032577</v>
      </c>
      <c r="S51" s="10">
        <f ca="1">IF(ROW($N51)-4&lt;BB_Periods, "", _xlfn.STDEV.S(INDIRECT(ADDRESS(ROW($F51)-RSI_Periods +1, MATCH("Adj Close", Price_Header,0))): INDIRECT(ADDRESS(ROW($F51),MATCH("Adj Close", Price_Header,0)))))</f>
        <v>6.4927159947907009</v>
      </c>
    </row>
    <row r="52" spans="1:19" x14ac:dyDescent="0.35">
      <c r="A52" s="8">
        <v>44119</v>
      </c>
      <c r="B52" s="48">
        <v>284.12</v>
      </c>
      <c r="C52" s="48">
        <v>290.25</v>
      </c>
      <c r="D52" s="48">
        <v>283.12</v>
      </c>
      <c r="E52" s="48">
        <v>287.54000000000002</v>
      </c>
      <c r="F52" s="48">
        <v>287.54000000000002</v>
      </c>
      <c r="G52">
        <v>2699400</v>
      </c>
      <c r="H52" s="10">
        <f>IF(tbl_HD[[#This Row],[Date]]=$A$5, $F52, EMA_Beta*$H51 + (1-EMA_Beta)*$F52)</f>
        <v>281.70384772994254</v>
      </c>
      <c r="I52" s="46">
        <f ca="1">IF(tbl_HD[[#This Row],[RS]]= "", "", 100-(100/(1+tbl_HD[[#This Row],[RS]])))</f>
        <v>75.380914194065781</v>
      </c>
      <c r="J52" s="10">
        <f ca="1">IF(ROW($N52)-4&lt;BB_Periods, "", AVERAGE(INDIRECT(ADDRESS(ROW($F52)-RSI_Periods +1, MATCH("Adj Close", Price_Header,0))): INDIRECT(ADDRESS(ROW($F52),MATCH("Adj Close", Price_Header,0)))))</f>
        <v>281.62714285714287</v>
      </c>
      <c r="K52" s="127">
        <f ca="1">IF(tbl_HD[[#This Row],[BB_Mean]]="", "", tbl_HD[[#This Row],[BB_Mean]]+(BB_Width*tbl_HD[[#This Row],[BB_Stdev]]))</f>
        <v>293.23255917505617</v>
      </c>
      <c r="L52" s="127">
        <f ca="1">IF(tbl_HD[[#This Row],[BB_Mean]]="", "", tbl_HD[[#This Row],[BB_Mean]]-(BB_Width*tbl_HD[[#This Row],[BB_Stdev]]))</f>
        <v>270.02172653922958</v>
      </c>
      <c r="M52" s="46">
        <f>IF(ROW(tbl_HD[[#This Row],[Adj Close]])=5, 0, $F52-$F51)</f>
        <v>0.45000000000004547</v>
      </c>
      <c r="N52" s="46">
        <f>MAX(tbl_HD[[#This Row],[Move]],0)</f>
        <v>0.45000000000004547</v>
      </c>
      <c r="O52" s="46">
        <f>MAX(-tbl_HD[[#This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2.0142857142857133</v>
      </c>
      <c r="Q52" s="46">
        <f ca="1">IF(ROW($O52)-5&lt;RSI_Periods, "", AVERAGE(INDIRECT(ADDRESS(ROW($O52)-RSI_Periods +1, MATCH("Downmove", Price_Header,0))): INDIRECT(ADDRESS(ROW($O52),MATCH("Downmove", Price_Header,0)))))</f>
        <v>0.65785714285714136</v>
      </c>
      <c r="R52" s="46">
        <f ca="1">IF(tbl_HD[[#This Row],[Avg_Upmove]]="", "", tbl_HD[[#This Row],[Avg_Upmove]]/tbl_HD[[#This Row],[Avg_Downmove]])</f>
        <v>3.0618892508143376</v>
      </c>
      <c r="S52" s="10">
        <f ca="1">IF(ROW($N52)-4&lt;BB_Periods, "", _xlfn.STDEV.S(INDIRECT(ADDRESS(ROW($F52)-RSI_Periods +1, MATCH("Adj Close", Price_Header,0))): INDIRECT(ADDRESS(ROW($F52),MATCH("Adj Close", Price_Header,0)))))</f>
        <v>5.8027081589566443</v>
      </c>
    </row>
    <row r="53" spans="1:19" x14ac:dyDescent="0.35">
      <c r="A53" s="8">
        <v>44120</v>
      </c>
      <c r="B53" s="48">
        <v>288.25</v>
      </c>
      <c r="C53" s="48">
        <v>292.64999999999998</v>
      </c>
      <c r="D53" s="48">
        <v>287.25</v>
      </c>
      <c r="E53" s="48">
        <v>287.66000000000003</v>
      </c>
      <c r="F53" s="48">
        <v>287.66000000000003</v>
      </c>
      <c r="G53">
        <v>3108600</v>
      </c>
      <c r="H53" s="10">
        <f>IF(tbl_HD[[#This Row],[Date]]=$A$5, $F53, EMA_Beta*$H52 + (1-EMA_Beta)*$F53)</f>
        <v>282.29946295694828</v>
      </c>
      <c r="I53" s="46">
        <f ca="1">IF(tbl_HD[[#This Row],[RS]]= "", "", 100-(100/(1+tbl_HD[[#This Row],[RS]])))</f>
        <v>72.711111111111165</v>
      </c>
      <c r="J53" s="10">
        <f ca="1">IF(ROW($N53)-4&lt;BB_Periods, "", AVERAGE(INDIRECT(ADDRESS(ROW($F53)-RSI_Periods +1, MATCH("Adj Close", Price_Header,0))): INDIRECT(ADDRESS(ROW($F53),MATCH("Adj Close", Price_Header,0)))))</f>
        <v>282.72214285714284</v>
      </c>
      <c r="K53" s="127">
        <f ca="1">IF(tbl_HD[[#This Row],[BB_Mean]]="", "", tbl_HD[[#This Row],[BB_Mean]]+(BB_Width*tbl_HD[[#This Row],[BB_Stdev]]))</f>
        <v>293.40499231444926</v>
      </c>
      <c r="L53" s="127">
        <f ca="1">IF(tbl_HD[[#This Row],[BB_Mean]]="", "", tbl_HD[[#This Row],[BB_Mean]]-(BB_Width*tbl_HD[[#This Row],[BB_Stdev]]))</f>
        <v>272.03929339983642</v>
      </c>
      <c r="M53" s="46">
        <f>IF(ROW(tbl_HD[[#This Row],[Adj Close]])=5, 0, $F53-$F52)</f>
        <v>0.12000000000000455</v>
      </c>
      <c r="N53" s="46">
        <f>MAX(tbl_HD[[#This Row],[Move]],0)</f>
        <v>0.12000000000000455</v>
      </c>
      <c r="O53" s="46">
        <f>MAX(-tbl_HD[[#This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1.7528571428571442</v>
      </c>
      <c r="Q53" s="46">
        <f ca="1">IF(ROW($O53)-5&lt;RSI_Periods, "", AVERAGE(INDIRECT(ADDRESS(ROW($O53)-RSI_Periods +1, MATCH("Downmove", Price_Header,0))): INDIRECT(ADDRESS(ROW($O53),MATCH("Downmove", Price_Header,0)))))</f>
        <v>0.65785714285714136</v>
      </c>
      <c r="R53" s="46">
        <f ca="1">IF(tbl_HD[[#This Row],[Avg_Upmove]]="", "", tbl_HD[[#This Row],[Avg_Upmove]]/tbl_HD[[#This Row],[Avg_Downmove]])</f>
        <v>2.6644951140065229</v>
      </c>
      <c r="S53" s="10">
        <f ca="1">IF(ROW($N53)-4&lt;BB_Periods, "", _xlfn.STDEV.S(INDIRECT(ADDRESS(ROW($F53)-RSI_Periods +1, MATCH("Adj Close", Price_Header,0))): INDIRECT(ADDRESS(ROW($F53),MATCH("Adj Close", Price_Header,0)))))</f>
        <v>5.3414247286532222</v>
      </c>
    </row>
    <row r="54" spans="1:19" x14ac:dyDescent="0.35">
      <c r="A54" s="8">
        <v>44123</v>
      </c>
      <c r="B54" s="48">
        <v>289.76</v>
      </c>
      <c r="C54" s="48">
        <v>290.11</v>
      </c>
      <c r="D54" s="48">
        <v>283.91000000000003</v>
      </c>
      <c r="E54" s="48">
        <v>284.95999999999998</v>
      </c>
      <c r="F54" s="48">
        <v>284.95999999999998</v>
      </c>
      <c r="G54">
        <v>1437777</v>
      </c>
      <c r="H54" s="10">
        <f>IF(tbl_HD[[#This Row],[Date]]=$A$5, $F54, EMA_Beta*$H53 + (1-EMA_Beta)*$F54)</f>
        <v>282.56551666125347</v>
      </c>
      <c r="I54" s="46">
        <f ca="1">IF(tbl_HD[[#This Row],[RS]]= "", "", 100-(100/(1+tbl_HD[[#This Row],[RS]])))</f>
        <v>67.733922163952442</v>
      </c>
      <c r="J54" s="10">
        <f ca="1">IF(ROW($N54)-4&lt;BB_Periods, "", AVERAGE(INDIRECT(ADDRESS(ROW($F54)-RSI_Periods +1, MATCH("Adj Close", Price_Header,0))): INDIRECT(ADDRESS(ROW($F54),MATCH("Adj Close", Price_Header,0)))))</f>
        <v>283.64</v>
      </c>
      <c r="K54" s="127">
        <f ca="1">IF(tbl_HD[[#This Row],[BB_Mean]]="", "", tbl_HD[[#This Row],[BB_Mean]]+(BB_Width*tbl_HD[[#This Row],[BB_Stdev]]))</f>
        <v>292.43679312197173</v>
      </c>
      <c r="L54" s="127">
        <f ca="1">IF(tbl_HD[[#This Row],[BB_Mean]]="", "", tbl_HD[[#This Row],[BB_Mean]]-(BB_Width*tbl_HD[[#This Row],[BB_Stdev]]))</f>
        <v>274.84320687802824</v>
      </c>
      <c r="M54" s="46">
        <f>IF(ROW(tbl_HD[[#This Row],[Adj Close]])=5, 0, $F54-$F53)</f>
        <v>-2.7000000000000455</v>
      </c>
      <c r="N54" s="46">
        <f>MAX(tbl_HD[[#This Row],[Move]],0)</f>
        <v>0</v>
      </c>
      <c r="O54" s="46">
        <f>MAX(-tbl_HD[[#This Row],[Move]],0)</f>
        <v>2.7000000000000455</v>
      </c>
      <c r="P54" s="46">
        <f ca="1">IF(ROW($N54)-5&lt;RSI_Periods, "", AVERAGE(INDIRECT(ADDRESS(ROW($N54)-RSI_Periods +1, MATCH("Upmove", Price_Header,0))): INDIRECT(ADDRESS(ROW($N54),MATCH("Upmove", Price_Header,0)))))</f>
        <v>1.7528571428571442</v>
      </c>
      <c r="Q54" s="46">
        <f ca="1">IF(ROW($O54)-5&lt;RSI_Periods, "", AVERAGE(INDIRECT(ADDRESS(ROW($O54)-RSI_Periods +1, MATCH("Downmove", Price_Header,0))): INDIRECT(ADDRESS(ROW($O54),MATCH("Downmove", Price_Header,0)))))</f>
        <v>0.83500000000000385</v>
      </c>
      <c r="R54" s="46">
        <f ca="1">IF(tbl_HD[[#This Row],[Avg_Upmove]]="", "", tbl_HD[[#This Row],[Avg_Upmove]]/tbl_HD[[#This Row],[Avg_Downmove]])</f>
        <v>2.0992301112061509</v>
      </c>
      <c r="S54" s="10">
        <f ca="1">IF(ROW($N54)-4&lt;BB_Periods, "", _xlfn.STDEV.S(INDIRECT(ADDRESS(ROW($F54)-RSI_Periods +1, MATCH("Adj Close", Price_Header,0))): INDIRECT(ADDRESS(ROW($F54),MATCH("Adj Close", Price_Header,0)))))</f>
        <v>4.3983965609858693</v>
      </c>
    </row>
    <row r="55" spans="1:19" x14ac:dyDescent="0.35">
      <c r="A55" s="8">
        <v>44124</v>
      </c>
      <c r="B55" s="48">
        <v>285.14</v>
      </c>
      <c r="C55" s="48">
        <v>289.79000000000002</v>
      </c>
      <c r="D55" s="48">
        <v>284.13</v>
      </c>
      <c r="E55" s="48">
        <v>286.04000000000002</v>
      </c>
      <c r="F55" s="48">
        <v>286.04000000000002</v>
      </c>
      <c r="G55">
        <v>2281500</v>
      </c>
      <c r="H55" s="10">
        <f>IF(tbl_HD[[#This Row],[Date]]=$A$5, $F55, EMA_Beta*$H54 + (1-EMA_Beta)*$F55)</f>
        <v>282.91296499512811</v>
      </c>
      <c r="I55" s="46">
        <f ca="1">IF(tbl_HD[[#This Row],[RS]]= "", "", 100-(100/(1+tbl_HD[[#This Row],[RS]])))</f>
        <v>63.1346578366446</v>
      </c>
      <c r="J55" s="10">
        <f ca="1">IF(ROW($N55)-4&lt;BB_Periods, "", AVERAGE(INDIRECT(ADDRESS(ROW($F55)-RSI_Periods +1, MATCH("Adj Close", Price_Header,0))): INDIRECT(ADDRESS(ROW($F55),MATCH("Adj Close", Price_Header,0)))))</f>
        <v>284.23500000000001</v>
      </c>
      <c r="K55" s="127">
        <f ca="1">IF(tbl_HD[[#This Row],[BB_Mean]]="", "", tbl_HD[[#This Row],[BB_Mean]]+(BB_Width*tbl_HD[[#This Row],[BB_Stdev]]))</f>
        <v>292.40879207730887</v>
      </c>
      <c r="L55" s="127">
        <f ca="1">IF(tbl_HD[[#This Row],[BB_Mean]]="", "", tbl_HD[[#This Row],[BB_Mean]]-(BB_Width*tbl_HD[[#This Row],[BB_Stdev]]))</f>
        <v>276.06120792269115</v>
      </c>
      <c r="M55" s="46">
        <f>IF(ROW(tbl_HD[[#This Row],[Adj Close]])=5, 0, $F55-$F54)</f>
        <v>1.0800000000000409</v>
      </c>
      <c r="N55" s="46">
        <f>MAX(tbl_HD[[#This Row],[Move]],0)</f>
        <v>1.0800000000000409</v>
      </c>
      <c r="O55" s="46">
        <f>MAX(-tbl_HD[[#This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1.4300000000000068</v>
      </c>
      <c r="Q55" s="46">
        <f ca="1">IF(ROW($O55)-5&lt;RSI_Periods, "", AVERAGE(INDIRECT(ADDRESS(ROW($O55)-RSI_Periods +1, MATCH("Downmove", Price_Header,0))): INDIRECT(ADDRESS(ROW($O55),MATCH("Downmove", Price_Header,0)))))</f>
        <v>0.83500000000000385</v>
      </c>
      <c r="R55" s="46">
        <f ca="1">IF(tbl_HD[[#This Row],[Avg_Upmove]]="", "", tbl_HD[[#This Row],[Avg_Upmove]]/tbl_HD[[#This Row],[Avg_Downmove]])</f>
        <v>1.7125748502994014</v>
      </c>
      <c r="S55" s="10">
        <f ca="1">IF(ROW($N55)-4&lt;BB_Periods, "", _xlfn.STDEV.S(INDIRECT(ADDRESS(ROW($F55)-RSI_Periods +1, MATCH("Adj Close", Price_Header,0))): INDIRECT(ADDRESS(ROW($F55),MATCH("Adj Close", Price_Header,0)))))</f>
        <v>4.086896038654424</v>
      </c>
    </row>
    <row r="56" spans="1:19" x14ac:dyDescent="0.35">
      <c r="A56" s="8">
        <v>44125</v>
      </c>
      <c r="B56" s="48">
        <v>285.39</v>
      </c>
      <c r="C56" s="48">
        <v>288.02</v>
      </c>
      <c r="D56" s="48">
        <v>283.27999999999997</v>
      </c>
      <c r="E56" s="48">
        <v>284.51</v>
      </c>
      <c r="F56" s="48">
        <v>284.51</v>
      </c>
      <c r="G56">
        <v>2304500</v>
      </c>
      <c r="H56" s="10">
        <f>IF(tbl_HD[[#This Row],[Date]]=$A$5, $F56, EMA_Beta*$H55 + (1-EMA_Beta)*$F56)</f>
        <v>283.07266849561529</v>
      </c>
      <c r="I56" s="46">
        <f ca="1">IF(tbl_HD[[#This Row],[RS]]= "", "", 100-(100/(1+tbl_HD[[#This Row],[RS]])))</f>
        <v>60.392156862745011</v>
      </c>
      <c r="J56" s="10">
        <f ca="1">IF(ROW($N56)-4&lt;BB_Periods, "", AVERAGE(INDIRECT(ADDRESS(ROW($F56)-RSI_Periods +1, MATCH("Adj Close", Price_Header,0))): INDIRECT(ADDRESS(ROW($F56),MATCH("Adj Close", Price_Header,0)))))</f>
        <v>284.72714285714289</v>
      </c>
      <c r="K56" s="127">
        <f ca="1">IF(tbl_HD[[#This Row],[BB_Mean]]="", "", tbl_HD[[#This Row],[BB_Mean]]+(BB_Width*tbl_HD[[#This Row],[BB_Stdev]]))</f>
        <v>291.96086486354693</v>
      </c>
      <c r="L56" s="127">
        <f ca="1">IF(tbl_HD[[#This Row],[BB_Mean]]="", "", tbl_HD[[#This Row],[BB_Mean]]-(BB_Width*tbl_HD[[#This Row],[BB_Stdev]]))</f>
        <v>277.49342085073886</v>
      </c>
      <c r="M56" s="46">
        <f>IF(ROW(tbl_HD[[#This Row],[Adj Close]])=5, 0, $F56-$F55)</f>
        <v>-1.5300000000000296</v>
      </c>
      <c r="N56" s="46">
        <f>MAX(tbl_HD[[#This Row],[Move]],0)</f>
        <v>0</v>
      </c>
      <c r="O56" s="46">
        <f>MAX(-tbl_HD[[#This Row],[Move]],0)</f>
        <v>1.5300000000000296</v>
      </c>
      <c r="P56" s="46">
        <f ca="1">IF(ROW($N56)-5&lt;RSI_Periods, "", AVERAGE(INDIRECT(ADDRESS(ROW($N56)-RSI_Periods +1, MATCH("Upmove", Price_Header,0))): INDIRECT(ADDRESS(ROW($N56),MATCH("Upmove", Price_Header,0)))))</f>
        <v>1.4300000000000068</v>
      </c>
      <c r="Q56" s="46">
        <f ca="1">IF(ROW($O56)-5&lt;RSI_Periods, "", AVERAGE(INDIRECT(ADDRESS(ROW($O56)-RSI_Periods +1, MATCH("Downmove", Price_Header,0))): INDIRECT(ADDRESS(ROW($O56),MATCH("Downmove", Price_Header,0)))))</f>
        <v>0.93785714285715061</v>
      </c>
      <c r="R56" s="46">
        <f ca="1">IF(tbl_HD[[#This Row],[Avg_Upmove]]="", "", tbl_HD[[#This Row],[Avg_Upmove]]/tbl_HD[[#This Row],[Avg_Downmove]])</f>
        <v>1.5247524752475194</v>
      </c>
      <c r="S56" s="10">
        <f ca="1">IF(ROW($N56)-4&lt;BB_Periods, "", _xlfn.STDEV.S(INDIRECT(ADDRESS(ROW($F56)-RSI_Periods +1, MATCH("Adj Close", Price_Header,0))): INDIRECT(ADDRESS(ROW($F56),MATCH("Adj Close", Price_Header,0)))))</f>
        <v>3.6168610032020179</v>
      </c>
    </row>
    <row r="57" spans="1:19" x14ac:dyDescent="0.35">
      <c r="A57" s="8">
        <v>44126</v>
      </c>
      <c r="B57" s="48">
        <v>283.93</v>
      </c>
      <c r="C57" s="48">
        <v>285.68</v>
      </c>
      <c r="D57" s="48">
        <v>280.64999999999998</v>
      </c>
      <c r="E57" s="48">
        <v>281.16000000000003</v>
      </c>
      <c r="F57" s="48">
        <v>281.16000000000003</v>
      </c>
      <c r="G57">
        <v>2787000</v>
      </c>
      <c r="H57" s="10">
        <f>IF(tbl_HD[[#This Row],[Date]]=$A$5, $F57, EMA_Beta*$H56 + (1-EMA_Beta)*$F57)</f>
        <v>282.88140164605375</v>
      </c>
      <c r="I57" s="46">
        <f ca="1">IF(tbl_HD[[#This Row],[RS]]= "", "", 100-(100/(1+tbl_HD[[#This Row],[RS]])))</f>
        <v>52.6572823901178</v>
      </c>
      <c r="J57" s="10">
        <f ca="1">IF(ROW($N57)-4&lt;BB_Periods, "", AVERAGE(INDIRECT(ADDRESS(ROW($F57)-RSI_Periods +1, MATCH("Adj Close", Price_Header,0))): INDIRECT(ADDRESS(ROW($F57),MATCH("Adj Close", Price_Header,0)))))</f>
        <v>284.8592857142857</v>
      </c>
      <c r="K57" s="127">
        <f ca="1">IF(tbl_HD[[#This Row],[BB_Mean]]="", "", tbl_HD[[#This Row],[BB_Mean]]+(BB_Width*tbl_HD[[#This Row],[BB_Stdev]]))</f>
        <v>291.72495264602526</v>
      </c>
      <c r="L57" s="127">
        <f ca="1">IF(tbl_HD[[#This Row],[BB_Mean]]="", "", tbl_HD[[#This Row],[BB_Mean]]-(BB_Width*tbl_HD[[#This Row],[BB_Stdev]]))</f>
        <v>277.99361878254615</v>
      </c>
      <c r="M57" s="46">
        <f>IF(ROW(tbl_HD[[#This Row],[Adj Close]])=5, 0, $F57-$F56)</f>
        <v>-3.3499999999999659</v>
      </c>
      <c r="N57" s="46">
        <f>MAX(tbl_HD[[#This Row],[Move]],0)</f>
        <v>0</v>
      </c>
      <c r="O57" s="46">
        <f>MAX(-tbl_HD[[#This Row],[Move]],0)</f>
        <v>3.3499999999999659</v>
      </c>
      <c r="P57" s="46">
        <f ca="1">IF(ROW($N57)-5&lt;RSI_Periods, "", AVERAGE(INDIRECT(ADDRESS(ROW($N57)-RSI_Periods +1, MATCH("Upmove", Price_Header,0))): INDIRECT(ADDRESS(ROW($N57),MATCH("Upmove", Price_Header,0)))))</f>
        <v>1.3092857142857213</v>
      </c>
      <c r="Q57" s="46">
        <f ca="1">IF(ROW($O57)-5&lt;RSI_Periods, "", AVERAGE(INDIRECT(ADDRESS(ROW($O57)-RSI_Periods +1, MATCH("Downmove", Price_Header,0))): INDIRECT(ADDRESS(ROW($O57),MATCH("Downmove", Price_Header,0)))))</f>
        <v>1.1771428571428626</v>
      </c>
      <c r="R57" s="46">
        <f ca="1">IF(tbl_HD[[#This Row],[Avg_Upmove]]="", "", tbl_HD[[#This Row],[Avg_Upmove]]/tbl_HD[[#This Row],[Avg_Downmove]])</f>
        <v>1.1122572815533989</v>
      </c>
      <c r="S57" s="10">
        <f ca="1">IF(ROW($N57)-4&lt;BB_Periods, "", _xlfn.STDEV.S(INDIRECT(ADDRESS(ROW($F57)-RSI_Periods +1, MATCH("Adj Close", Price_Header,0))): INDIRECT(ADDRESS(ROW($F57),MATCH("Adj Close", Price_Header,0)))))</f>
        <v>3.4328334658697868</v>
      </c>
    </row>
    <row r="58" spans="1:19" x14ac:dyDescent="0.35">
      <c r="A58" s="8">
        <v>44127</v>
      </c>
      <c r="B58" s="48">
        <v>282.38</v>
      </c>
      <c r="C58" s="48">
        <v>283.19</v>
      </c>
      <c r="D58" s="48">
        <v>279.55</v>
      </c>
      <c r="E58" s="48">
        <v>283</v>
      </c>
      <c r="F58" s="48">
        <v>283</v>
      </c>
      <c r="G58">
        <v>1750600</v>
      </c>
      <c r="H58" s="10">
        <f>IF(tbl_HD[[#This Row],[Date]]=$A$5, $F58, EMA_Beta*$H57 + (1-EMA_Beta)*$F58)</f>
        <v>282.89326148144835</v>
      </c>
      <c r="I58" s="46">
        <f ca="1">IF(tbl_HD[[#This Row],[RS]]= "", "", 100-(100/(1+tbl_HD[[#This Row],[RS]])))</f>
        <v>51.329001772002314</v>
      </c>
      <c r="J58" s="10">
        <f ca="1">IF(ROW($N58)-4&lt;BB_Periods, "", AVERAGE(INDIRECT(ADDRESS(ROW($F58)-RSI_Periods +1, MATCH("Adj Close", Price_Header,0))): INDIRECT(ADDRESS(ROW($F58),MATCH("Adj Close", Price_Header,0)))))</f>
        <v>284.92357142857145</v>
      </c>
      <c r="K58" s="127">
        <f ca="1">IF(tbl_HD[[#This Row],[BB_Mean]]="", "", tbl_HD[[#This Row],[BB_Mean]]+(BB_Width*tbl_HD[[#This Row],[BB_Stdev]]))</f>
        <v>291.69413944084272</v>
      </c>
      <c r="L58" s="127">
        <f ca="1">IF(tbl_HD[[#This Row],[BB_Mean]]="", "", tbl_HD[[#This Row],[BB_Mean]]-(BB_Width*tbl_HD[[#This Row],[BB_Stdev]]))</f>
        <v>278.15300341630018</v>
      </c>
      <c r="M58" s="46">
        <f>IF(ROW(tbl_HD[[#This Row],[Adj Close]])=5, 0, $F58-$F57)</f>
        <v>1.839999999999975</v>
      </c>
      <c r="N58" s="46">
        <f>MAX(tbl_HD[[#This Row],[Move]],0)</f>
        <v>1.839999999999975</v>
      </c>
      <c r="O58" s="46">
        <f>MAX(-tbl_HD[[#This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1.2414285714285751</v>
      </c>
      <c r="Q58" s="46">
        <f ca="1">IF(ROW($O58)-5&lt;RSI_Periods, "", AVERAGE(INDIRECT(ADDRESS(ROW($O58)-RSI_Periods +1, MATCH("Downmove", Price_Header,0))): INDIRECT(ADDRESS(ROW($O58),MATCH("Downmove", Price_Header,0)))))</f>
        <v>1.1771428571428626</v>
      </c>
      <c r="R58" s="46">
        <f ca="1">IF(tbl_HD[[#This Row],[Avg_Upmove]]="", "", tbl_HD[[#This Row],[Avg_Upmove]]/tbl_HD[[#This Row],[Avg_Downmove]])</f>
        <v>1.054611650485435</v>
      </c>
      <c r="S58" s="10">
        <f ca="1">IF(ROW($N58)-4&lt;BB_Periods, "", _xlfn.STDEV.S(INDIRECT(ADDRESS(ROW($F58)-RSI_Periods +1, MATCH("Adj Close", Price_Header,0))): INDIRECT(ADDRESS(ROW($F58),MATCH("Adj Close", Price_Header,0)))))</f>
        <v>3.3852840061356422</v>
      </c>
    </row>
    <row r="59" spans="1:19" x14ac:dyDescent="0.35">
      <c r="A59" s="8">
        <v>44130</v>
      </c>
      <c r="B59" s="48">
        <v>279.64</v>
      </c>
      <c r="C59" s="48">
        <v>281.52999999999997</v>
      </c>
      <c r="D59" s="48">
        <v>272</v>
      </c>
      <c r="E59" s="48">
        <v>276.04000000000002</v>
      </c>
      <c r="F59" s="48">
        <v>276.04000000000002</v>
      </c>
      <c r="G59">
        <v>2911900</v>
      </c>
      <c r="H59" s="10">
        <f>IF(tbl_HD[[#This Row],[Date]]=$A$5, $F59, EMA_Beta*$H58 + (1-EMA_Beta)*$F59)</f>
        <v>282.20793533330351</v>
      </c>
      <c r="I59" s="46">
        <f ca="1">IF(tbl_HD[[#This Row],[RS]]= "", "", 100-(100/(1+tbl_HD[[#This Row],[RS]])))</f>
        <v>49.38903097470871</v>
      </c>
      <c r="J59" s="10">
        <f ca="1">IF(ROW($N59)-4&lt;BB_Periods, "", AVERAGE(INDIRECT(ADDRESS(ROW($F59)-RSI_Periods +1, MATCH("Adj Close", Price_Header,0))): INDIRECT(ADDRESS(ROW($F59),MATCH("Adj Close", Price_Header,0)))))</f>
        <v>284.89285714285717</v>
      </c>
      <c r="K59" s="127">
        <f ca="1">IF(tbl_HD[[#This Row],[BB_Mean]]="", "", tbl_HD[[#This Row],[BB_Mean]]+(BB_Width*tbl_HD[[#This Row],[BB_Stdev]]))</f>
        <v>291.83046226531582</v>
      </c>
      <c r="L59" s="127">
        <f ca="1">IF(tbl_HD[[#This Row],[BB_Mean]]="", "", tbl_HD[[#This Row],[BB_Mean]]-(BB_Width*tbl_HD[[#This Row],[BB_Stdev]]))</f>
        <v>277.95525202039852</v>
      </c>
      <c r="M59" s="46">
        <f>IF(ROW(tbl_HD[[#This Row],[Adj Close]])=5, 0, $F59-$F58)</f>
        <v>-6.9599999999999795</v>
      </c>
      <c r="N59" s="46">
        <f>MAX(tbl_HD[[#This Row],[Move]],0)</f>
        <v>0</v>
      </c>
      <c r="O59" s="46">
        <f>MAX(-tbl_HD[[#This Row],[Move]],0)</f>
        <v>6.9599999999999795</v>
      </c>
      <c r="P59" s="46">
        <f ca="1">IF(ROW($N59)-5&lt;RSI_Periods, "", AVERAGE(INDIRECT(ADDRESS(ROW($N59)-RSI_Periods +1, MATCH("Upmove", Price_Header,0))): INDIRECT(ADDRESS(ROW($N59),MATCH("Upmove", Price_Header,0)))))</f>
        <v>1.2414285714285751</v>
      </c>
      <c r="Q59" s="46">
        <f ca="1">IF(ROW($O59)-5&lt;RSI_Periods, "", AVERAGE(INDIRECT(ADDRESS(ROW($O59)-RSI_Periods +1, MATCH("Downmove", Price_Header,0))): INDIRECT(ADDRESS(ROW($O59),MATCH("Downmove", Price_Header,0)))))</f>
        <v>1.2721428571428615</v>
      </c>
      <c r="R59" s="46">
        <f ca="1">IF(tbl_HD[[#This Row],[Avg_Upmove]]="", "", tbl_HD[[#This Row],[Avg_Upmove]]/tbl_HD[[#This Row],[Avg_Downmove]])</f>
        <v>0.97585626052779295</v>
      </c>
      <c r="S59" s="10">
        <f ca="1">IF(ROW($N59)-4&lt;BB_Periods, "", _xlfn.STDEV.S(INDIRECT(ADDRESS(ROW($F59)-RSI_Periods +1, MATCH("Adj Close", Price_Header,0))): INDIRECT(ADDRESS(ROW($F59),MATCH("Adj Close", Price_Header,0)))))</f>
        <v>3.4688025612293356</v>
      </c>
    </row>
    <row r="60" spans="1:19" x14ac:dyDescent="0.35">
      <c r="A60" t="s">
        <v>162</v>
      </c>
      <c r="H60" s="61"/>
      <c r="J60" s="61"/>
      <c r="K60" s="61"/>
      <c r="L60" s="61"/>
      <c r="S60" s="61">
        <f ca="1">SUBTOTAL(103,tbl_HD[BB_Stdev])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0"/>
  <sheetViews>
    <sheetView topLeftCell="A43" workbookViewId="0">
      <selection activeCell="A60" sqref="A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2" customWidth="1"/>
    <col min="11" max="11" width="11.1796875" customWidth="1"/>
    <col min="12" max="12" width="12.26953125" customWidth="1"/>
    <col min="14" max="14" width="10.7265625" customWidth="1"/>
    <col min="15" max="15" width="9.7265625" customWidth="1"/>
    <col min="16" max="16" width="11.1796875" customWidth="1"/>
    <col min="17" max="17" width="10.54296875" customWidth="1"/>
    <col min="19" max="19" width="10.453125" customWidth="1"/>
  </cols>
  <sheetData>
    <row r="1" spans="1:19" ht="21" x14ac:dyDescent="0.5">
      <c r="A1" s="41" t="s">
        <v>166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3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3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3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3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3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3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3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3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3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3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3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3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3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3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3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7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7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7">
        <f ca="1">IF(tbl_AAPL[[#This Row],[BB_Mean]]="", "", tbl_AAPL[[#This Row],[BB_Mean]]+(BB_Width*tbl_AAPL[[#This Row],[BB_Stdev]]))</f>
        <v>134.61259464741335</v>
      </c>
      <c r="L33" s="127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3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7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7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7">
        <f ca="1">IF(tbl_AAPL[[#This Row],[BB_Mean]]="", "", tbl_AAPL[[#This Row],[BB_Mean]]+(BB_Width*tbl_AAPL[[#This Row],[BB_Stdev]]))</f>
        <v>132.46000725928621</v>
      </c>
      <c r="L34" s="127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3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7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7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7">
        <f ca="1">IF(tbl_AAPL[[#This Row],[BB_Mean]]="", "", tbl_AAPL[[#This Row],[BB_Mean]]+(BB_Width*tbl_AAPL[[#This Row],[BB_Stdev]]))</f>
        <v>127.36994506453769</v>
      </c>
      <c r="L35" s="127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3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7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7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7">
        <f ca="1">IF(tbl_AAPL[[#This Row],[BB_Mean]]="", "", tbl_AAPL[[#This Row],[BB_Mean]]+(BB_Width*tbl_AAPL[[#This Row],[BB_Stdev]]))</f>
        <v>122.03753515786215</v>
      </c>
      <c r="L36" s="127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35">
      <c r="A37" s="8">
        <v>44098</v>
      </c>
      <c r="B37" s="10">
        <v>105.17</v>
      </c>
      <c r="C37" s="10">
        <v>110.25</v>
      </c>
      <c r="D37" s="10">
        <v>105</v>
      </c>
      <c r="E37" s="10">
        <v>108.22</v>
      </c>
      <c r="F37" s="10">
        <v>108.22</v>
      </c>
      <c r="G37">
        <v>167743300</v>
      </c>
      <c r="H37" s="127">
        <f>IF(tbl_AAPL[[#This Row],[Date]]=$A$5, $F37, EMA_Beta*$H36 + (1-EMA_Beta)*$F37)</f>
        <v>113.77375796571515</v>
      </c>
      <c r="I37" s="50">
        <f ca="1">IF(tbl_AAPL[[#This Row],[RS]]= "", "", 100-(100/(1+tbl_AAPL[[#This Row],[RS]])))</f>
        <v>34.576028174266938</v>
      </c>
      <c r="J37" s="127">
        <f ca="1">IF(ROW($N37)-4&lt;BB_Periods, "", AVERAGE(INDIRECT(ADDRESS(ROW($F37)-RSI_Periods +1, MATCH("Adj Close", Price_Header,0))): INDIRECT(ADDRESS(ROW($F37),MATCH("Adj Close", Price_Header,0)))))</f>
        <v>112.43071371428572</v>
      </c>
      <c r="K37" s="127">
        <f ca="1">IF(tbl_AAPL[[#This Row],[BB_Mean]]="", "", tbl_AAPL[[#This Row],[BB_Mean]]+(BB_Width*tbl_AAPL[[#This Row],[BB_Stdev]]))</f>
        <v>120.35193938029704</v>
      </c>
      <c r="L37" s="127">
        <f ca="1">IF(tbl_AAPL[[#This Row],[BB_Mean]]="", "", tbl_AAPL[[#This Row],[BB_Mean]]-(BB_Width*tbl_AAPL[[#This Row],[BB_Stdev]]))</f>
        <v>104.50948804827439</v>
      </c>
      <c r="M37" s="50">
        <f>IF(ROW(tbl_AAPL[[#This Row],[Adj Close]])=5, 0, $F37-$F36)</f>
        <v>1.0999999999999943</v>
      </c>
      <c r="N37" s="50">
        <f>MAX(tbl_AAPL[[#This Row],[Move]],0)</f>
        <v>1.0999999999999943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1.0135716428571422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0.52849173184357512</v>
      </c>
      <c r="S37" s="50">
        <f ca="1">IF(ROW($N37)-4&lt;BB_Periods, "", _xlfn.STDEV.S(INDIRECT(ADDRESS(ROW($F37)-RSI_Periods +1, MATCH("Adj Close", Price_Header,0))): INDIRECT(ADDRESS(ROW($F37),MATCH("Adj Close", Price_Header,0)))))</f>
        <v>3.9606128330056611</v>
      </c>
    </row>
    <row r="38" spans="1:19" x14ac:dyDescent="0.35">
      <c r="A38" s="8">
        <v>44099</v>
      </c>
      <c r="B38" s="10">
        <v>108.43</v>
      </c>
      <c r="C38" s="10">
        <v>112.44</v>
      </c>
      <c r="D38" s="10">
        <v>107.67</v>
      </c>
      <c r="E38" s="10">
        <v>112.28</v>
      </c>
      <c r="F38" s="10">
        <v>112.28</v>
      </c>
      <c r="G38">
        <v>149981400</v>
      </c>
      <c r="H38" s="127">
        <f>IF(tbl_AAPL[[#This Row],[Date]]=$A$5, $F38, EMA_Beta*$H37 + (1-EMA_Beta)*$F38)</f>
        <v>113.62438216914363</v>
      </c>
      <c r="I38" s="50">
        <f ca="1">IF(tbl_AAPL[[#This Row],[RS]]= "", "", 100-(100/(1+tbl_AAPL[[#This Row],[RS]])))</f>
        <v>40.359841395827608</v>
      </c>
      <c r="J38" s="127">
        <f ca="1">IF(ROW($N38)-4&lt;BB_Periods, "", AVERAGE(INDIRECT(ADDRESS(ROW($F38)-RSI_Periods +1, MATCH("Adj Close", Price_Header,0))): INDIRECT(ADDRESS(ROW($F38),MATCH("Adj Close", Price_Header,0)))))</f>
        <v>111.81071378571427</v>
      </c>
      <c r="K38" s="127">
        <f ca="1">IF(tbl_AAPL[[#This Row],[BB_Mean]]="", "", tbl_AAPL[[#This Row],[BB_Mean]]+(BB_Width*tbl_AAPL[[#This Row],[BB_Stdev]]))</f>
        <v>118.03266773424127</v>
      </c>
      <c r="L38" s="127">
        <f ca="1">IF(tbl_AAPL[[#This Row],[BB_Mean]]="", "", tbl_AAPL[[#This Row],[BB_Mean]]-(BB_Width*tbl_AAPL[[#This Row],[BB_Stdev]]))</f>
        <v>105.58875983718727</v>
      </c>
      <c r="M38" s="50">
        <f>IF(ROW(tbl_AAPL[[#This Row],[Adj Close]])=5, 0, $F38-$F37)</f>
        <v>4.0600000000000023</v>
      </c>
      <c r="N38" s="50">
        <f>MAX(tbl_AAPL[[#This Row],[Move]],0)</f>
        <v>4.0600000000000023</v>
      </c>
      <c r="O38" s="50">
        <f>MAX(-tbl_AAPL[[#This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1.2978572142857143</v>
      </c>
      <c r="Q38" s="50">
        <f ca="1">IF(ROW($O38)-5&lt;RSI_Periods, "", AVERAGE(INDIRECT(ADDRESS(ROW($O38)-RSI_Periods +1, MATCH("Downmove", Price_Header,0))): INDIRECT(ADDRESS(ROW($O38),MATCH("Downmove", Price_Header,0)))))</f>
        <v>1.9178571428571425</v>
      </c>
      <c r="R38" s="50">
        <f ca="1">IF(tbl_AAPL[[#This Row],[Avg_Upmove]]="", "", tbl_AAPL[[#This Row],[Avg_Upmove]]/tbl_AAPL[[#This Row],[Avg_Downmove]])</f>
        <v>0.67672256983240242</v>
      </c>
      <c r="S38" s="50">
        <f ca="1">IF(ROW($N38)-4&lt;BB_Periods, "", _xlfn.STDEV.S(INDIRECT(ADDRESS(ROW($F38)-RSI_Periods +1, MATCH("Adj Close", Price_Header,0))): INDIRECT(ADDRESS(ROW($F38),MATCH("Adj Close", Price_Header,0)))))</f>
        <v>3.1109769742635045</v>
      </c>
    </row>
    <row r="39" spans="1:19" x14ac:dyDescent="0.35">
      <c r="A39" s="8">
        <v>44102</v>
      </c>
      <c r="B39" s="10">
        <v>115.01</v>
      </c>
      <c r="C39" s="10">
        <v>115.32</v>
      </c>
      <c r="D39" s="10">
        <v>112.78</v>
      </c>
      <c r="E39" s="10">
        <v>114.96</v>
      </c>
      <c r="F39" s="10">
        <v>114.96</v>
      </c>
      <c r="G39">
        <v>137672400</v>
      </c>
      <c r="H39" s="127">
        <f>IF(tbl_AAPL[[#This Row],[Date]]=$A$5, $F39, EMA_Beta*$H38 + (1-EMA_Beta)*$F39)</f>
        <v>113.75794395222927</v>
      </c>
      <c r="I39" s="50">
        <f ca="1">IF(tbl_AAPL[[#This Row],[RS]]= "", "", 100-(100/(1+tbl_AAPL[[#This Row],[RS]])))</f>
        <v>52.704752138283517</v>
      </c>
      <c r="J39" s="127">
        <f ca="1">IF(ROW($N39)-4&lt;BB_Periods, "", AVERAGE(INDIRECT(ADDRESS(ROW($F39)-RSI_Periods +1, MATCH("Adj Close", Price_Header,0))): INDIRECT(ADDRESS(ROW($F39),MATCH("Adj Close", Price_Header,0)))))</f>
        <v>111.96357092857144</v>
      </c>
      <c r="K39" s="127">
        <f ca="1">IF(tbl_AAPL[[#This Row],[BB_Mean]]="", "", tbl_AAPL[[#This Row],[BB_Mean]]+(BB_Width*tbl_AAPL[[#This Row],[BB_Stdev]]))</f>
        <v>118.39399240676875</v>
      </c>
      <c r="L39" s="127">
        <f ca="1">IF(tbl_AAPL[[#This Row],[BB_Mean]]="", "", tbl_AAPL[[#This Row],[BB_Mean]]-(BB_Width*tbl_AAPL[[#This Row],[BB_Stdev]]))</f>
        <v>105.53314945037414</v>
      </c>
      <c r="M39" s="50">
        <f>IF(ROW(tbl_AAPL[[#This Row],[Adj Close]])=5, 0, $F39-$F38)</f>
        <v>2.6799999999999926</v>
      </c>
      <c r="N39" s="50">
        <f>MAX(tbl_AAPL[[#This Row],[Move]],0)</f>
        <v>2.6799999999999926</v>
      </c>
      <c r="O39" s="50">
        <f>MAX(-tbl_AAPL[[#This Row],[Move]],0)</f>
        <v>0</v>
      </c>
      <c r="P39" s="50">
        <f ca="1">IF(ROW($N39)-5&lt;RSI_Periods, "", AVERAGE(INDIRECT(ADDRESS(ROW($N39)-RSI_Periods +1, MATCH("Upmove", Price_Header,0))): INDIRECT(ADDRESS(ROW($N39),MATCH("Upmove", Price_Header,0)))))</f>
        <v>1.4892857857142852</v>
      </c>
      <c r="Q39" s="50">
        <f ca="1">IF(ROW($O39)-5&lt;RSI_Periods, "", AVERAGE(INDIRECT(ADDRESS(ROW($O39)-RSI_Periods +1, MATCH("Downmove", Price_Header,0))): INDIRECT(ADDRESS(ROW($O39),MATCH("Downmove", Price_Header,0)))))</f>
        <v>1.3364286428571421</v>
      </c>
      <c r="R39" s="50">
        <f ca="1">IF(tbl_AAPL[[#This Row],[Avg_Upmove]]="", "", tbl_AAPL[[#This Row],[Avg_Upmove]]/tbl_AAPL[[#This Row],[Avg_Downmove]])</f>
        <v>1.1143773322085875</v>
      </c>
      <c r="S39" s="50">
        <f ca="1">IF(ROW($N39)-4&lt;BB_Periods, "", _xlfn.STDEV.S(INDIRECT(ADDRESS(ROW($F39)-RSI_Periods +1, MATCH("Adj Close", Price_Header,0))): INDIRECT(ADDRESS(ROW($F39),MATCH("Adj Close", Price_Header,0)))))</f>
        <v>3.2152107390986506</v>
      </c>
    </row>
    <row r="40" spans="1:19" x14ac:dyDescent="0.35">
      <c r="A40" s="8">
        <v>44103</v>
      </c>
      <c r="B40" s="10">
        <v>114.55</v>
      </c>
      <c r="C40" s="10">
        <v>115.31</v>
      </c>
      <c r="D40" s="10">
        <v>113.57</v>
      </c>
      <c r="E40" s="10">
        <v>114.09</v>
      </c>
      <c r="F40" s="10">
        <v>114.09</v>
      </c>
      <c r="G40">
        <v>99382200</v>
      </c>
      <c r="H40" s="127">
        <f>IF(tbl_AAPL[[#This Row],[Date]]=$A$5, $F40, EMA_Beta*$H39 + (1-EMA_Beta)*$F40)</f>
        <v>113.79114955700634</v>
      </c>
      <c r="I40" s="50">
        <f ca="1">IF(tbl_AAPL[[#This Row],[RS]]= "", "", 100-(100/(1+tbl_AAPL[[#This Row],[RS]])))</f>
        <v>45.50514915084058</v>
      </c>
      <c r="J40" s="127">
        <f ca="1">IF(ROW($N40)-4&lt;BB_Periods, "", AVERAGE(INDIRECT(ADDRESS(ROW($F40)-RSI_Periods +1, MATCH("Adj Close", Price_Header,0))): INDIRECT(ADDRESS(ROW($F40),MATCH("Adj Close", Price_Header,0)))))</f>
        <v>111.73285664285717</v>
      </c>
      <c r="K40" s="127">
        <f ca="1">IF(tbl_AAPL[[#This Row],[BB_Mean]]="", "", tbl_AAPL[[#This Row],[BB_Mean]]+(BB_Width*tbl_AAPL[[#This Row],[BB_Stdev]]))</f>
        <v>117.53666712362855</v>
      </c>
      <c r="L40" s="127">
        <f ca="1">IF(tbl_AAPL[[#This Row],[BB_Mean]]="", "", tbl_AAPL[[#This Row],[BB_Mean]]-(BB_Width*tbl_AAPL[[#This Row],[BB_Stdev]]))</f>
        <v>105.9290461620858</v>
      </c>
      <c r="M40" s="50">
        <f>IF(ROW(tbl_AAPL[[#This Row],[Adj Close]])=5, 0, $F40-$F39)</f>
        <v>-0.86999999999999034</v>
      </c>
      <c r="N40" s="50">
        <f>MAX(tbl_AAPL[[#This Row],[Move]],0)</f>
        <v>0</v>
      </c>
      <c r="O40" s="50">
        <f>MAX(-tbl_AAPL[[#This Row],[Move]],0)</f>
        <v>0.86999999999999034</v>
      </c>
      <c r="P40" s="50">
        <f ca="1">IF(ROW($N40)-5&lt;RSI_Periods, "", AVERAGE(INDIRECT(ADDRESS(ROW($N40)-RSI_Periods +1, MATCH("Upmove", Price_Header,0))): INDIRECT(ADDRESS(ROW($N40),MATCH("Upmove", Price_Header,0)))))</f>
        <v>1.1678572142857138</v>
      </c>
      <c r="Q40" s="50">
        <f ca="1">IF(ROW($O40)-5&lt;RSI_Periods, "", AVERAGE(INDIRECT(ADDRESS(ROW($O40)-RSI_Periods +1, MATCH("Downmove", Price_Header,0))): INDIRECT(ADDRESS(ROW($O40),MATCH("Downmove", Price_Header,0)))))</f>
        <v>1.3985714999999987</v>
      </c>
      <c r="R40" s="50">
        <f ca="1">IF(tbl_AAPL[[#This Row],[Avg_Upmove]]="", "", tbl_AAPL[[#This Row],[Avg_Upmove]]/tbl_AAPL[[#This Row],[Avg_Downmove]])</f>
        <v>0.83503575919122819</v>
      </c>
      <c r="S40" s="50">
        <f ca="1">IF(ROW($N40)-4&lt;BB_Periods, "", _xlfn.STDEV.S(INDIRECT(ADDRESS(ROW($F40)-RSI_Periods +1, MATCH("Adj Close", Price_Header,0))): INDIRECT(ADDRESS(ROW($F40),MATCH("Adj Close", Price_Header,0)))))</f>
        <v>2.9019052403856906</v>
      </c>
    </row>
    <row r="41" spans="1:19" x14ac:dyDescent="0.35">
      <c r="A41" s="8">
        <v>44104</v>
      </c>
      <c r="B41" s="10">
        <v>113.79</v>
      </c>
      <c r="C41" s="10">
        <v>117.26</v>
      </c>
      <c r="D41" s="10">
        <v>113.62</v>
      </c>
      <c r="E41" s="10">
        <v>115.81</v>
      </c>
      <c r="F41" s="10">
        <v>115.81</v>
      </c>
      <c r="G41">
        <v>142675200</v>
      </c>
      <c r="H41" s="127">
        <f>IF(tbl_AAPL[[#This Row],[Date]]=$A$5, $F41, EMA_Beta*$H40 + (1-EMA_Beta)*$F41)</f>
        <v>113.99303460130571</v>
      </c>
      <c r="I41" s="50">
        <f ca="1">IF(tbl_AAPL[[#This Row],[RS]]= "", "", 100-(100/(1+tbl_AAPL[[#This Row],[RS]])))</f>
        <v>53.42992607924306</v>
      </c>
      <c r="J41" s="127">
        <f ca="1">IF(ROW($N41)-4&lt;BB_Periods, "", AVERAGE(INDIRECT(ADDRESS(ROW($F41)-RSI_Periods +1, MATCH("Adj Close", Price_Header,0))): INDIRECT(ADDRESS(ROW($F41),MATCH("Adj Close", Price_Header,0)))))</f>
        <v>111.89857107142856</v>
      </c>
      <c r="K41" s="127">
        <f ca="1">IF(tbl_AAPL[[#This Row],[BB_Mean]]="", "", tbl_AAPL[[#This Row],[BB_Mean]]+(BB_Width*tbl_AAPL[[#This Row],[BB_Stdev]]))</f>
        <v>118.04110366648464</v>
      </c>
      <c r="L41" s="127">
        <f ca="1">IF(tbl_AAPL[[#This Row],[BB_Mean]]="", "", tbl_AAPL[[#This Row],[BB_Mean]]-(BB_Width*tbl_AAPL[[#This Row],[BB_Stdev]]))</f>
        <v>105.75603847637248</v>
      </c>
      <c r="M41" s="50">
        <f>IF(ROW(tbl_AAPL[[#This Row],[Adj Close]])=5, 0, $F41-$F40)</f>
        <v>1.7199999999999989</v>
      </c>
      <c r="N41" s="50">
        <f>MAX(tbl_AAPL[[#This Row],[Move]],0)</f>
        <v>1.7199999999999989</v>
      </c>
      <c r="O41" s="50">
        <f>MAX(-tbl_AAPL[[#This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1.2907143571428565</v>
      </c>
      <c r="Q41" s="50">
        <f ca="1">IF(ROW($O41)-5&lt;RSI_Periods, "", AVERAGE(INDIRECT(ADDRESS(ROW($O41)-RSI_Periods +1, MATCH("Downmove", Price_Header,0))): INDIRECT(ADDRESS(ROW($O41),MATCH("Downmove", Price_Header,0)))))</f>
        <v>1.1249999285714278</v>
      </c>
      <c r="R41" s="50">
        <f ca="1">IF(tbl_AAPL[[#This Row],[Avg_Upmove]]="", "", tbl_AAPL[[#This Row],[Avg_Upmove]]/tbl_AAPL[[#This Row],[Avg_Downmove]])</f>
        <v>1.1473017236382048</v>
      </c>
      <c r="S41" s="50">
        <f ca="1">IF(ROW($N41)-4&lt;BB_Periods, "", _xlfn.STDEV.S(INDIRECT(ADDRESS(ROW($F41)-RSI_Periods +1, MATCH("Adj Close", Price_Header,0))): INDIRECT(ADDRESS(ROW($F41),MATCH("Adj Close", Price_Header,0)))))</f>
        <v>3.0712662975280414</v>
      </c>
    </row>
    <row r="42" spans="1:19" x14ac:dyDescent="0.35">
      <c r="A42" s="8">
        <v>44105</v>
      </c>
      <c r="B42" s="10">
        <v>117.64</v>
      </c>
      <c r="C42" s="10">
        <v>117.72</v>
      </c>
      <c r="D42" s="10">
        <v>115.83</v>
      </c>
      <c r="E42" s="10">
        <v>116.79</v>
      </c>
      <c r="F42" s="10">
        <v>116.79</v>
      </c>
      <c r="G42">
        <v>116120400</v>
      </c>
      <c r="H42" s="127">
        <f>IF(tbl_AAPL[[#This Row],[Date]]=$A$5, $F42, EMA_Beta*$H41 + (1-EMA_Beta)*$F42)</f>
        <v>114.27273114117514</v>
      </c>
      <c r="I42" s="50">
        <f ca="1">IF(tbl_AAPL[[#This Row],[RS]]= "", "", 100-(100/(1+tbl_AAPL[[#This Row],[RS]])))</f>
        <v>57.190032591412049</v>
      </c>
      <c r="J42" s="127">
        <f ca="1">IF(ROW($N42)-4&lt;BB_Periods, "", AVERAGE(INDIRECT(ADDRESS(ROW($F42)-RSI_Periods +1, MATCH("Adj Close", Price_Header,0))): INDIRECT(ADDRESS(ROW($F42),MATCH("Adj Close", Price_Header,0)))))</f>
        <v>112.24071392857142</v>
      </c>
      <c r="K42" s="127">
        <f ca="1">IF(tbl_AAPL[[#This Row],[BB_Mean]]="", "", tbl_AAPL[[#This Row],[BB_Mean]]+(BB_Width*tbl_AAPL[[#This Row],[BB_Stdev]]))</f>
        <v>118.91792480563012</v>
      </c>
      <c r="L42" s="127">
        <f ca="1">IF(tbl_AAPL[[#This Row],[BB_Mean]]="", "", tbl_AAPL[[#This Row],[BB_Mean]]-(BB_Width*tbl_AAPL[[#This Row],[BB_Stdev]]))</f>
        <v>105.56350305151273</v>
      </c>
      <c r="M42" s="50">
        <f>IF(ROW(tbl_AAPL[[#This Row],[Adj Close]])=5, 0, $F42-$F41)</f>
        <v>0.98000000000000398</v>
      </c>
      <c r="N42" s="50">
        <f>MAX(tbl_AAPL[[#This Row],[Move]],0)</f>
        <v>0.98000000000000398</v>
      </c>
      <c r="O42" s="50">
        <f>MAX(-tbl_AAPL[[#This Row],[Move]],0)</f>
        <v>0</v>
      </c>
      <c r="P42" s="50">
        <f ca="1">IF(ROW($N42)-5&lt;RSI_Periods, "", AVERAGE(INDIRECT(ADDRESS(ROW($N42)-RSI_Periods +1, MATCH("Upmove", Price_Header,0))): INDIRECT(ADDRESS(ROW($N42),MATCH("Upmove", Price_Header,0)))))</f>
        <v>1.3607143571428568</v>
      </c>
      <c r="Q42" s="50">
        <f ca="1">IF(ROW($O42)-5&lt;RSI_Periods, "", AVERAGE(INDIRECT(ADDRESS(ROW($O42)-RSI_Periods +1, MATCH("Downmove", Price_Header,0))): INDIRECT(ADDRESS(ROW($O42),MATCH("Downmove", Price_Header,0)))))</f>
        <v>1.0185714999999991</v>
      </c>
      <c r="R42" s="50">
        <f ca="1">IF(tbl_AAPL[[#This Row],[Avg_Upmove]]="", "", tbl_AAPL[[#This Row],[Avg_Upmove]]/tbl_AAPL[[#This Row],[Avg_Downmove]])</f>
        <v>1.3359046047752741</v>
      </c>
      <c r="S42" s="50">
        <f ca="1">IF(ROW($N42)-4&lt;BB_Periods, "", _xlfn.STDEV.S(INDIRECT(ADDRESS(ROW($F42)-RSI_Periods +1, MATCH("Adj Close", Price_Header,0))): INDIRECT(ADDRESS(ROW($F42),MATCH("Adj Close", Price_Header,0)))))</f>
        <v>3.3386054385293513</v>
      </c>
    </row>
    <row r="43" spans="1:19" x14ac:dyDescent="0.35">
      <c r="A43" s="8">
        <v>44106</v>
      </c>
      <c r="B43" s="10">
        <v>112.89</v>
      </c>
      <c r="C43" s="10">
        <v>115.37</v>
      </c>
      <c r="D43" s="10">
        <v>112.22</v>
      </c>
      <c r="E43" s="10">
        <v>113.02</v>
      </c>
      <c r="F43" s="10">
        <v>113.02</v>
      </c>
      <c r="G43">
        <v>144712000</v>
      </c>
      <c r="H43" s="127">
        <f>IF(tbl_AAPL[[#This Row],[Date]]=$A$5, $F43, EMA_Beta*$H42 + (1-EMA_Beta)*$F43)</f>
        <v>114.14745802705762</v>
      </c>
      <c r="I43" s="50">
        <f ca="1">IF(tbl_AAPL[[#This Row],[RS]]= "", "", 100-(100/(1+tbl_AAPL[[#This Row],[RS]])))</f>
        <v>46.530247730419696</v>
      </c>
      <c r="J43" s="127">
        <f ca="1">IF(ROW($N43)-4&lt;BB_Periods, "", AVERAGE(INDIRECT(ADDRESS(ROW($F43)-RSI_Periods +1, MATCH("Adj Close", Price_Header,0))): INDIRECT(ADDRESS(ROW($F43),MATCH("Adj Close", Price_Header,0)))))</f>
        <v>112.07357099999999</v>
      </c>
      <c r="K43" s="127">
        <f ca="1">IF(tbl_AAPL[[#This Row],[BB_Mean]]="", "", tbl_AAPL[[#This Row],[BB_Mean]]+(BB_Width*tbl_AAPL[[#This Row],[BB_Stdev]]))</f>
        <v>118.52785858844017</v>
      </c>
      <c r="L43" s="127">
        <f ca="1">IF(tbl_AAPL[[#This Row],[BB_Mean]]="", "", tbl_AAPL[[#This Row],[BB_Mean]]-(BB_Width*tbl_AAPL[[#This Row],[BB_Stdev]]))</f>
        <v>105.61928341155981</v>
      </c>
      <c r="M43" s="50">
        <f>IF(ROW(tbl_AAPL[[#This Row],[Adj Close]])=5, 0, $F43-$F42)</f>
        <v>-3.7700000000000102</v>
      </c>
      <c r="N43" s="50">
        <f>MAX(tbl_AAPL[[#This Row],[Move]],0)</f>
        <v>0</v>
      </c>
      <c r="O43" s="50">
        <f>MAX(-tbl_AAPL[[#This Row],[Move]],0)</f>
        <v>3.7700000000000102</v>
      </c>
      <c r="P43" s="50">
        <f ca="1">IF(ROW($N43)-5&lt;RSI_Periods, "", AVERAGE(INDIRECT(ADDRESS(ROW($N43)-RSI_Periods +1, MATCH("Upmove", Price_Header,0))): INDIRECT(ADDRESS(ROW($N43),MATCH("Upmove", Price_Header,0)))))</f>
        <v>1.1207142857142856</v>
      </c>
      <c r="Q43" s="50">
        <f ca="1">IF(ROW($O43)-5&lt;RSI_Periods, "", AVERAGE(INDIRECT(ADDRESS(ROW($O43)-RSI_Periods +1, MATCH("Downmove", Price_Header,0))): INDIRECT(ADDRESS(ROW($O43),MATCH("Downmove", Price_Header,0)))))</f>
        <v>1.2878572142857141</v>
      </c>
      <c r="R43" s="50">
        <f ca="1">IF(tbl_AAPL[[#This Row],[Avg_Upmove]]="", "", tbl_AAPL[[#This Row],[Avg_Upmove]]/tbl_AAPL[[#This Row],[Avg_Downmove]])</f>
        <v>0.87021625789149981</v>
      </c>
      <c r="S43" s="50">
        <f ca="1">IF(ROW($N43)-4&lt;BB_Periods, "", _xlfn.STDEV.S(INDIRECT(ADDRESS(ROW($F43)-RSI_Periods +1, MATCH("Adj Close", Price_Header,0))): INDIRECT(ADDRESS(ROW($F43),MATCH("Adj Close", Price_Header,0)))))</f>
        <v>3.2271437942200887</v>
      </c>
    </row>
    <row r="44" spans="1:19" x14ac:dyDescent="0.35">
      <c r="A44" s="8">
        <v>44109</v>
      </c>
      <c r="B44" s="10">
        <v>113.91</v>
      </c>
      <c r="C44" s="10">
        <v>116.65</v>
      </c>
      <c r="D44" s="10">
        <v>113.55</v>
      </c>
      <c r="E44" s="10">
        <v>116.5</v>
      </c>
      <c r="F44" s="10">
        <v>116.5</v>
      </c>
      <c r="G44">
        <v>105720800</v>
      </c>
      <c r="H44" s="127">
        <f>IF(tbl_AAPL[[#This Row],[Date]]=$A$5, $F44, EMA_Beta*$H43 + (1-EMA_Beta)*$F44)</f>
        <v>114.38271222435185</v>
      </c>
      <c r="I44" s="50">
        <f ca="1">IF(tbl_AAPL[[#This Row],[RS]]= "", "", 100-(100/(1+tbl_AAPL[[#This Row],[RS]])))</f>
        <v>51.296595048714345</v>
      </c>
      <c r="J44" s="127">
        <f ca="1">IF(ROW($N44)-4&lt;BB_Periods, "", AVERAGE(INDIRECT(ADDRESS(ROW($F44)-RSI_Periods +1, MATCH("Adj Close", Price_Header,0))): INDIRECT(ADDRESS(ROW($F44),MATCH("Adj Close", Price_Header,0)))))</f>
        <v>112.14214235714284</v>
      </c>
      <c r="K44" s="127">
        <f ca="1">IF(tbl_AAPL[[#This Row],[BB_Mean]]="", "", tbl_AAPL[[#This Row],[BB_Mean]]+(BB_Width*tbl_AAPL[[#This Row],[BB_Stdev]]))</f>
        <v>118.77305481794821</v>
      </c>
      <c r="L44" s="127">
        <f ca="1">IF(tbl_AAPL[[#This Row],[BB_Mean]]="", "", tbl_AAPL[[#This Row],[BB_Mean]]-(BB_Width*tbl_AAPL[[#This Row],[BB_Stdev]]))</f>
        <v>105.51122989633748</v>
      </c>
      <c r="M44" s="50">
        <f>IF(ROW(tbl_AAPL[[#This Row],[Adj Close]])=5, 0, $F44-$F43)</f>
        <v>3.480000000000004</v>
      </c>
      <c r="N44" s="50">
        <f>MAX(tbl_AAPL[[#This Row],[Move]],0)</f>
        <v>3.480000000000004</v>
      </c>
      <c r="O44" s="50">
        <f>MAX(-tbl_AAPL[[#This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1.3564285714285711</v>
      </c>
      <c r="Q44" s="50">
        <f ca="1">IF(ROW($O44)-5&lt;RSI_Periods, "", AVERAGE(INDIRECT(ADDRESS(ROW($O44)-RSI_Periods +1, MATCH("Downmove", Price_Header,0))): INDIRECT(ADDRESS(ROW($O44),MATCH("Downmove", Price_Header,0)))))</f>
        <v>1.2878572142857141</v>
      </c>
      <c r="R44" s="50">
        <f ca="1">IF(tbl_AAPL[[#This Row],[Avg_Upmove]]="", "", tbl_AAPL[[#This Row],[Avg_Upmove]]/tbl_AAPL[[#This Row],[Avg_Downmove]])</f>
        <v>1.0532445339298648</v>
      </c>
      <c r="S44" s="50">
        <f ca="1">IF(ROW($N44)-4&lt;BB_Periods, "", _xlfn.STDEV.S(INDIRECT(ADDRESS(ROW($F44)-RSI_Periods +1, MATCH("Adj Close", Price_Header,0))): INDIRECT(ADDRESS(ROW($F44),MATCH("Adj Close", Price_Header,0)))))</f>
        <v>3.3154562304026785</v>
      </c>
    </row>
    <row r="45" spans="1:19" x14ac:dyDescent="0.35">
      <c r="A45" s="8">
        <v>44110</v>
      </c>
      <c r="B45" s="10">
        <v>115.7</v>
      </c>
      <c r="C45" s="10">
        <v>116.12</v>
      </c>
      <c r="D45" s="10">
        <v>112.25</v>
      </c>
      <c r="E45" s="10">
        <v>113.16</v>
      </c>
      <c r="F45" s="10">
        <v>113.16</v>
      </c>
      <c r="G45">
        <v>161498200</v>
      </c>
      <c r="H45" s="127">
        <f>IF(tbl_AAPL[[#This Row],[Date]]=$A$5, $F45, EMA_Beta*$H44 + (1-EMA_Beta)*$F45)</f>
        <v>114.26044100191667</v>
      </c>
      <c r="I45" s="50">
        <f ca="1">IF(tbl_AAPL[[#This Row],[RS]]= "", "", 100-(100/(1+tbl_AAPL[[#This Row],[RS]])))</f>
        <v>51.393779544826472</v>
      </c>
      <c r="J45" s="127">
        <f ca="1">IF(ROW($N45)-4&lt;BB_Periods, "", AVERAGE(INDIRECT(ADDRESS(ROW($F45)-RSI_Periods +1, MATCH("Adj Close", Price_Header,0))): INDIRECT(ADDRESS(ROW($F45),MATCH("Adj Close", Price_Header,0)))))</f>
        <v>112.21571400000002</v>
      </c>
      <c r="K45" s="127">
        <f ca="1">IF(tbl_AAPL[[#This Row],[BB_Mean]]="", "", tbl_AAPL[[#This Row],[BB_Mean]]+(BB_Width*tbl_AAPL[[#This Row],[BB_Stdev]]))</f>
        <v>118.86886496807226</v>
      </c>
      <c r="L45" s="127">
        <f ca="1">IF(tbl_AAPL[[#This Row],[BB_Mean]]="", "", tbl_AAPL[[#This Row],[BB_Mean]]-(BB_Width*tbl_AAPL[[#This Row],[BB_Stdev]]))</f>
        <v>105.56256303192778</v>
      </c>
      <c r="M45" s="50">
        <f>IF(ROW(tbl_AAPL[[#This Row],[Adj Close]])=5, 0, $F45-$F44)</f>
        <v>-3.3400000000000034</v>
      </c>
      <c r="N45" s="50">
        <f>MAX(tbl_AAPL[[#This Row],[Move]],0)</f>
        <v>0</v>
      </c>
      <c r="O45" s="50">
        <f>MAX(-tbl_AAPL[[#This Row],[Move]],0)</f>
        <v>3.3400000000000034</v>
      </c>
      <c r="P45" s="50">
        <f ca="1">IF(ROW($N45)-5&lt;RSI_Periods, "", AVERAGE(INDIRECT(ADDRESS(ROW($N45)-RSI_Periods +1, MATCH("Upmove", Price_Header,0))): INDIRECT(ADDRESS(ROW($N45),MATCH("Upmove", Price_Header,0)))))</f>
        <v>1.3564285714285711</v>
      </c>
      <c r="Q45" s="50">
        <f ca="1">IF(ROW($O45)-5&lt;RSI_Periods, "", AVERAGE(INDIRECT(ADDRESS(ROW($O45)-RSI_Periods +1, MATCH("Downmove", Price_Header,0))): INDIRECT(ADDRESS(ROW($O45),MATCH("Downmove", Price_Header,0)))))</f>
        <v>1.2828569285714286</v>
      </c>
      <c r="R45" s="50">
        <f ca="1">IF(tbl_AAPL[[#This Row],[Avg_Upmove]]="", "", tbl_AAPL[[#This Row],[Avg_Upmove]]/tbl_AAPL[[#This Row],[Avg_Downmove]])</f>
        <v>1.0573498425417329</v>
      </c>
      <c r="S45" s="50">
        <f ca="1">IF(ROW($N45)-4&lt;BB_Periods, "", _xlfn.STDEV.S(INDIRECT(ADDRESS(ROW($F45)-RSI_Periods +1, MATCH("Adj Close", Price_Header,0))): INDIRECT(ADDRESS(ROW($F45),MATCH("Adj Close", Price_Header,0)))))</f>
        <v>3.3265754840361206</v>
      </c>
    </row>
    <row r="46" spans="1:19" x14ac:dyDescent="0.35">
      <c r="A46" s="8">
        <v>44111</v>
      </c>
      <c r="B46" s="10">
        <v>114.62</v>
      </c>
      <c r="C46" s="10">
        <v>115.55</v>
      </c>
      <c r="D46" s="10">
        <v>114.13</v>
      </c>
      <c r="E46" s="10">
        <v>115.08</v>
      </c>
      <c r="F46" s="10">
        <v>115.08</v>
      </c>
      <c r="G46">
        <v>96849000</v>
      </c>
      <c r="H46" s="127">
        <f>IF(tbl_AAPL[[#This Row],[Date]]=$A$5, $F46, EMA_Beta*$H45 + (1-EMA_Beta)*$F46)</f>
        <v>114.34239690172501</v>
      </c>
      <c r="I46" s="50">
        <f ca="1">IF(tbl_AAPL[[#This Row],[RS]]= "", "", 100-(100/(1+tbl_AAPL[[#This Row],[RS]])))</f>
        <v>56.391591843753169</v>
      </c>
      <c r="J46" s="127">
        <f ca="1">IF(ROW($N46)-4&lt;BB_Periods, "", AVERAGE(INDIRECT(ADDRESS(ROW($F46)-RSI_Periods +1, MATCH("Adj Close", Price_Header,0))): INDIRECT(ADDRESS(ROW($F46),MATCH("Adj Close", Price_Header,0)))))</f>
        <v>112.55428571428571</v>
      </c>
      <c r="K46" s="127">
        <f ca="1">IF(tbl_AAPL[[#This Row],[BB_Mean]]="", "", tbl_AAPL[[#This Row],[BB_Mean]]+(BB_Width*tbl_AAPL[[#This Row],[BB_Stdev]]))</f>
        <v>119.27830335159253</v>
      </c>
      <c r="L46" s="127">
        <f ca="1">IF(tbl_AAPL[[#This Row],[BB_Mean]]="", "", tbl_AAPL[[#This Row],[BB_Mean]]-(BB_Width*tbl_AAPL[[#This Row],[BB_Stdev]]))</f>
        <v>105.8302680769789</v>
      </c>
      <c r="M46" s="50">
        <f>IF(ROW(tbl_AAPL[[#This Row],[Adj Close]])=5, 0, $F46-$F45)</f>
        <v>1.9200000000000017</v>
      </c>
      <c r="N46" s="50">
        <f>MAX(tbl_AAPL[[#This Row],[Move]],0)</f>
        <v>1.9200000000000017</v>
      </c>
      <c r="O46" s="50">
        <f>MAX(-tbl_AAPL[[#This Row],[Move]],0)</f>
        <v>0</v>
      </c>
      <c r="P46" s="50">
        <f ca="1">IF(ROW($N46)-5&lt;RSI_Periods, "", AVERAGE(INDIRECT(ADDRESS(ROW($N46)-RSI_Periods +1, MATCH("Upmove", Price_Header,0))): INDIRECT(ADDRESS(ROW($N46),MATCH("Upmove", Price_Header,0)))))</f>
        <v>1.4935714285714283</v>
      </c>
      <c r="Q46" s="50">
        <f ca="1">IF(ROW($O46)-5&lt;RSI_Periods, "", AVERAGE(INDIRECT(ADDRESS(ROW($O46)-RSI_Periods +1, MATCH("Downmove", Price_Header,0))): INDIRECT(ADDRESS(ROW($O46),MATCH("Downmove", Price_Header,0)))))</f>
        <v>1.154999714285714</v>
      </c>
      <c r="R46" s="50">
        <f ca="1">IF(tbl_AAPL[[#This Row],[Avg_Upmove]]="", "", tbl_AAPL[[#This Row],[Avg_Upmove]]/tbl_AAPL[[#This Row],[Avg_Downmove]])</f>
        <v>1.2931357558777381</v>
      </c>
      <c r="S46" s="50">
        <f ca="1">IF(ROW($N46)-4&lt;BB_Periods, "", _xlfn.STDEV.S(INDIRECT(ADDRESS(ROW($F46)-RSI_Periods +1, MATCH("Adj Close", Price_Header,0))): INDIRECT(ADDRESS(ROW($F46),MATCH("Adj Close", Price_Header,0)))))</f>
        <v>3.3620088186534089</v>
      </c>
    </row>
    <row r="47" spans="1:19" x14ac:dyDescent="0.35">
      <c r="A47" s="8">
        <v>44112</v>
      </c>
      <c r="B47" s="10">
        <v>116.25</v>
      </c>
      <c r="C47" s="10">
        <v>116.4</v>
      </c>
      <c r="D47" s="10">
        <v>114.59</v>
      </c>
      <c r="E47" s="10">
        <v>114.97</v>
      </c>
      <c r="F47" s="10">
        <v>114.97</v>
      </c>
      <c r="G47">
        <v>83477200</v>
      </c>
      <c r="H47" s="127">
        <f>IF(tbl_AAPL[[#This Row],[Date]]=$A$5, $F47, EMA_Beta*$H46 + (1-EMA_Beta)*$F47)</f>
        <v>114.40515721155251</v>
      </c>
      <c r="I47" s="50">
        <f ca="1">IF(tbl_AAPL[[#This Row],[RS]]= "", "", 100-(100/(1+tbl_AAPL[[#This Row],[RS]])))</f>
        <v>62.06589492430988</v>
      </c>
      <c r="J47" s="127">
        <f ca="1">IF(ROW($N47)-4&lt;BB_Periods, "", AVERAGE(INDIRECT(ADDRESS(ROW($F47)-RSI_Periods +1, MATCH("Adj Close", Price_Header,0))): INDIRECT(ADDRESS(ROW($F47),MATCH("Adj Close", Price_Header,0)))))</f>
        <v>113.13500000000001</v>
      </c>
      <c r="K47" s="127">
        <f ca="1">IF(tbl_AAPL[[#This Row],[BB_Mean]]="", "", tbl_AAPL[[#This Row],[BB_Mean]]+(BB_Width*tbl_AAPL[[#This Row],[BB_Stdev]]))</f>
        <v>119.09387831468564</v>
      </c>
      <c r="L47" s="127">
        <f ca="1">IF(tbl_AAPL[[#This Row],[BB_Mean]]="", "", tbl_AAPL[[#This Row],[BB_Mean]]-(BB_Width*tbl_AAPL[[#This Row],[BB_Stdev]]))</f>
        <v>107.17612168531437</v>
      </c>
      <c r="M47" s="50">
        <f>IF(ROW(tbl_AAPL[[#This Row],[Adj Close]])=5, 0, $F47-$F46)</f>
        <v>-0.10999999999999943</v>
      </c>
      <c r="N47" s="50">
        <f>MAX(tbl_AAPL[[#This Row],[Move]],0)</f>
        <v>0</v>
      </c>
      <c r="O47" s="50">
        <f>MAX(-tbl_AAPL[[#This Row],[Move]],0)</f>
        <v>0.10999999999999943</v>
      </c>
      <c r="P47" s="50">
        <f ca="1">IF(ROW($N47)-5&lt;RSI_Periods, "", AVERAGE(INDIRECT(ADDRESS(ROW($N47)-RSI_Periods +1, MATCH("Upmove", Price_Header,0))): INDIRECT(ADDRESS(ROW($N47),MATCH("Upmove", Price_Header,0)))))</f>
        <v>1.4935714285714283</v>
      </c>
      <c r="Q47" s="50">
        <f ca="1">IF(ROW($O47)-5&lt;RSI_Periods, "", AVERAGE(INDIRECT(ADDRESS(ROW($O47)-RSI_Periods +1, MATCH("Downmove", Price_Header,0))): INDIRECT(ADDRESS(ROW($O47),MATCH("Downmove", Price_Header,0)))))</f>
        <v>0.91285714285714292</v>
      </c>
      <c r="R47" s="50">
        <f ca="1">IF(tbl_AAPL[[#This Row],[Avg_Upmove]]="", "", tbl_AAPL[[#This Row],[Avg_Upmove]]/tbl_AAPL[[#This Row],[Avg_Downmove]])</f>
        <v>1.6361502347417836</v>
      </c>
      <c r="S47" s="50">
        <f ca="1">IF(ROW($N47)-4&lt;BB_Periods, "", _xlfn.STDEV.S(INDIRECT(ADDRESS(ROW($F47)-RSI_Periods +1, MATCH("Adj Close", Price_Header,0))): INDIRECT(ADDRESS(ROW($F47),MATCH("Adj Close", Price_Header,0)))))</f>
        <v>2.9794391573428194</v>
      </c>
    </row>
    <row r="48" spans="1:19" x14ac:dyDescent="0.35">
      <c r="A48" s="8">
        <v>44113</v>
      </c>
      <c r="B48" s="10">
        <v>115.28</v>
      </c>
      <c r="C48" s="10">
        <v>117</v>
      </c>
      <c r="D48" s="10">
        <v>114.92</v>
      </c>
      <c r="E48" s="10">
        <v>116.97</v>
      </c>
      <c r="F48" s="10">
        <v>116.97</v>
      </c>
      <c r="G48">
        <v>99893400</v>
      </c>
      <c r="H48" s="127">
        <f>IF(tbl_AAPL[[#This Row],[Date]]=$A$5, $F48, EMA_Beta*$H47 + (1-EMA_Beta)*$F48)</f>
        <v>114.66164149039726</v>
      </c>
      <c r="I48" s="50">
        <f ca="1">IF(tbl_AAPL[[#This Row],[RS]]= "", "", 100-(100/(1+tbl_AAPL[[#This Row],[RS]])))</f>
        <v>60.616332819722651</v>
      </c>
      <c r="J48" s="127">
        <f ca="1">IF(ROW($N48)-4&lt;BB_Periods, "", AVERAGE(INDIRECT(ADDRESS(ROW($F48)-RSI_Periods +1, MATCH("Adj Close", Price_Header,0))): INDIRECT(ADDRESS(ROW($F48),MATCH("Adj Close", Price_Header,0)))))</f>
        <v>113.62714285714286</v>
      </c>
      <c r="K48" s="127">
        <f ca="1">IF(tbl_AAPL[[#This Row],[BB_Mean]]="", "", tbl_AAPL[[#This Row],[BB_Mean]]+(BB_Width*tbl_AAPL[[#This Row],[BB_Stdev]]))</f>
        <v>119.63700873851558</v>
      </c>
      <c r="L48" s="127">
        <f ca="1">IF(tbl_AAPL[[#This Row],[BB_Mean]]="", "", tbl_AAPL[[#This Row],[BB_Mean]]-(BB_Width*tbl_AAPL[[#This Row],[BB_Stdev]]))</f>
        <v>107.61727697577014</v>
      </c>
      <c r="M48" s="50">
        <f>IF(ROW(tbl_AAPL[[#This Row],[Adj Close]])=5, 0, $F48-$F47)</f>
        <v>2</v>
      </c>
      <c r="N48" s="50">
        <f>MAX(tbl_AAPL[[#This Row],[Move]],0)</f>
        <v>2</v>
      </c>
      <c r="O48" s="50">
        <f>MAX(-tbl_AAPL[[#This Row],[Move]],0)</f>
        <v>0</v>
      </c>
      <c r="P48" s="50">
        <f ca="1">IF(ROW($N48)-5&lt;RSI_Periods, "", AVERAGE(INDIRECT(ADDRESS(ROW($N48)-RSI_Periods +1, MATCH("Upmove", Price_Header,0))): INDIRECT(ADDRESS(ROW($N48),MATCH("Upmove", Price_Header,0)))))</f>
        <v>1.405</v>
      </c>
      <c r="Q48" s="50">
        <f ca="1">IF(ROW($O48)-5&lt;RSI_Periods, "", AVERAGE(INDIRECT(ADDRESS(ROW($O48)-RSI_Periods +1, MATCH("Downmove", Price_Header,0))): INDIRECT(ADDRESS(ROW($O48),MATCH("Downmove", Price_Header,0)))))</f>
        <v>0.91285714285714292</v>
      </c>
      <c r="R48" s="50">
        <f ca="1">IF(tbl_AAPL[[#This Row],[Avg_Upmove]]="", "", tbl_AAPL[[#This Row],[Avg_Upmove]]/tbl_AAPL[[#This Row],[Avg_Downmove]])</f>
        <v>1.5391236306729263</v>
      </c>
      <c r="S48" s="50">
        <f ca="1">IF(ROW($N48)-4&lt;BB_Periods, "", _xlfn.STDEV.S(INDIRECT(ADDRESS(ROW($F48)-RSI_Periods +1, MATCH("Adj Close", Price_Header,0))): INDIRECT(ADDRESS(ROW($F48),MATCH("Adj Close", Price_Header,0)))))</f>
        <v>3.0049329406863601</v>
      </c>
    </row>
    <row r="49" spans="1:19" x14ac:dyDescent="0.35">
      <c r="A49" s="8">
        <v>44116</v>
      </c>
      <c r="B49" s="10">
        <v>120.06</v>
      </c>
      <c r="C49" s="10">
        <v>125.18</v>
      </c>
      <c r="D49" s="10">
        <v>119.28</v>
      </c>
      <c r="E49" s="10">
        <v>124.4</v>
      </c>
      <c r="F49" s="10">
        <v>124.4</v>
      </c>
      <c r="G49">
        <v>240226800</v>
      </c>
      <c r="H49" s="127">
        <f>IF(tbl_AAPL[[#This Row],[Date]]=$A$5, $F49, EMA_Beta*$H48 + (1-EMA_Beta)*$F49)</f>
        <v>115.63547734135753</v>
      </c>
      <c r="I49" s="50">
        <f ca="1">IF(tbl_AAPL[[#This Row],[RS]]= "", "", 100-(100/(1+tbl_AAPL[[#This Row],[RS]])))</f>
        <v>66.500655307994762</v>
      </c>
      <c r="J49" s="127">
        <f ca="1">IF(ROW($N49)-4&lt;BB_Periods, "", AVERAGE(INDIRECT(ADDRESS(ROW($F49)-RSI_Periods +1, MATCH("Adj Close", Price_Header,0))): INDIRECT(ADDRESS(ROW($F49),MATCH("Adj Close", Price_Header,0)))))</f>
        <v>114.52642857142858</v>
      </c>
      <c r="K49" s="127">
        <f ca="1">IF(tbl_AAPL[[#This Row],[BB_Mean]]="", "", tbl_AAPL[[#This Row],[BB_Mean]]+(BB_Width*tbl_AAPL[[#This Row],[BB_Stdev]]))</f>
        <v>122.73178369764054</v>
      </c>
      <c r="L49" s="127">
        <f ca="1">IF(tbl_AAPL[[#This Row],[BB_Mean]]="", "", tbl_AAPL[[#This Row],[BB_Mean]]-(BB_Width*tbl_AAPL[[#This Row],[BB_Stdev]]))</f>
        <v>106.32107344521663</v>
      </c>
      <c r="M49" s="50">
        <f>IF(ROW(tbl_AAPL[[#This Row],[Adj Close]])=5, 0, $F49-$F48)</f>
        <v>7.4300000000000068</v>
      </c>
      <c r="N49" s="50">
        <f>MAX(tbl_AAPL[[#This Row],[Move]],0)</f>
        <v>7.4300000000000068</v>
      </c>
      <c r="O49" s="50">
        <f>MAX(-tbl_AAPL[[#This Row],[Move]],0)</f>
        <v>0</v>
      </c>
      <c r="P49" s="50">
        <f ca="1">IF(ROW($N49)-5&lt;RSI_Periods, "", AVERAGE(INDIRECT(ADDRESS(ROW($N49)-RSI_Periods +1, MATCH("Upmove", Price_Header,0))): INDIRECT(ADDRESS(ROW($N49),MATCH("Upmove", Price_Header,0)))))</f>
        <v>1.8121428571428575</v>
      </c>
      <c r="Q49" s="50">
        <f ca="1">IF(ROW($O49)-5&lt;RSI_Periods, "", AVERAGE(INDIRECT(ADDRESS(ROW($O49)-RSI_Periods +1, MATCH("Downmove", Price_Header,0))): INDIRECT(ADDRESS(ROW($O49),MATCH("Downmove", Price_Header,0)))))</f>
        <v>0.91285714285714292</v>
      </c>
      <c r="R49" s="50">
        <f ca="1">IF(tbl_AAPL[[#This Row],[Avg_Upmove]]="", "", tbl_AAPL[[#This Row],[Avg_Upmove]]/tbl_AAPL[[#This Row],[Avg_Downmove]])</f>
        <v>1.9851330203442883</v>
      </c>
      <c r="S49" s="50">
        <f ca="1">IF(ROW($N49)-4&lt;BB_Periods, "", _xlfn.STDEV.S(INDIRECT(ADDRESS(ROW($F49)-RSI_Periods +1, MATCH("Adj Close", Price_Header,0))): INDIRECT(ADDRESS(ROW($F49),MATCH("Adj Close", Price_Header,0)))))</f>
        <v>4.1026775631059769</v>
      </c>
    </row>
    <row r="50" spans="1:19" x14ac:dyDescent="0.35">
      <c r="A50" s="8">
        <v>44117</v>
      </c>
      <c r="B50" s="10">
        <v>125.27</v>
      </c>
      <c r="C50" s="10">
        <v>125.39</v>
      </c>
      <c r="D50" s="10">
        <v>119.65</v>
      </c>
      <c r="E50" s="10">
        <v>121.1</v>
      </c>
      <c r="F50" s="10">
        <v>121.1</v>
      </c>
      <c r="G50">
        <v>262330500</v>
      </c>
      <c r="H50" s="127">
        <f>IF(tbl_AAPL[[#This Row],[Date]]=$A$5, $F50, EMA_Beta*$H49 + (1-EMA_Beta)*$F50)</f>
        <v>116.18192960722178</v>
      </c>
      <c r="I50" s="50">
        <f ca="1">IF(tbl_AAPL[[#This Row],[RS]]= "", "", 100-(100/(1+tbl_AAPL[[#This Row],[RS]])))</f>
        <v>69.015233949945568</v>
      </c>
      <c r="J50" s="127">
        <f ca="1">IF(ROW($N50)-4&lt;BB_Periods, "", AVERAGE(INDIRECT(ADDRESS(ROW($F50)-RSI_Periods +1, MATCH("Adj Close", Price_Header,0))): INDIRECT(ADDRESS(ROW($F50),MATCH("Adj Close", Price_Header,0)))))</f>
        <v>115.52499999999999</v>
      </c>
      <c r="K50" s="127">
        <f ca="1">IF(tbl_AAPL[[#This Row],[BB_Mean]]="", "", tbl_AAPL[[#This Row],[BB_Mean]]+(BB_Width*tbl_AAPL[[#This Row],[BB_Stdev]]))</f>
        <v>123.23537562688693</v>
      </c>
      <c r="L50" s="127">
        <f ca="1">IF(tbl_AAPL[[#This Row],[BB_Mean]]="", "", tbl_AAPL[[#This Row],[BB_Mean]]-(BB_Width*tbl_AAPL[[#This Row],[BB_Stdev]]))</f>
        <v>107.81462437311305</v>
      </c>
      <c r="M50" s="50">
        <f>IF(ROW(tbl_AAPL[[#This Row],[Adj Close]])=5, 0, $F50-$F49)</f>
        <v>-3.3000000000000114</v>
      </c>
      <c r="N50" s="50">
        <f>MAX(tbl_AAPL[[#This Row],[Move]],0)</f>
        <v>0</v>
      </c>
      <c r="O50" s="50">
        <f>MAX(-tbl_AAPL[[#This Row],[Move]],0)</f>
        <v>3.3000000000000114</v>
      </c>
      <c r="P50" s="50">
        <f ca="1">IF(ROW($N50)-5&lt;RSI_Periods, "", AVERAGE(INDIRECT(ADDRESS(ROW($N50)-RSI_Periods +1, MATCH("Upmove", Price_Header,0))): INDIRECT(ADDRESS(ROW($N50),MATCH("Upmove", Price_Header,0)))))</f>
        <v>1.8121428571428575</v>
      </c>
      <c r="Q50" s="50">
        <f ca="1">IF(ROW($O50)-5&lt;RSI_Periods, "", AVERAGE(INDIRECT(ADDRESS(ROW($O50)-RSI_Periods +1, MATCH("Downmove", Price_Header,0))): INDIRECT(ADDRESS(ROW($O50),MATCH("Downmove", Price_Header,0)))))</f>
        <v>0.81357142857142961</v>
      </c>
      <c r="R50" s="50">
        <f ca="1">IF(tbl_AAPL[[#This Row],[Avg_Upmove]]="", "", tbl_AAPL[[#This Row],[Avg_Upmove]]/tbl_AAPL[[#This Row],[Avg_Downmove]])</f>
        <v>2.2273924495171178</v>
      </c>
      <c r="S50" s="50">
        <f ca="1">IF(ROW($N50)-4&lt;BB_Periods, "", _xlfn.STDEV.S(INDIRECT(ADDRESS(ROW($F50)-RSI_Periods +1, MATCH("Adj Close", Price_Header,0))): INDIRECT(ADDRESS(ROW($F50),MATCH("Adj Close", Price_Header,0)))))</f>
        <v>3.8551878134434752</v>
      </c>
    </row>
    <row r="51" spans="1:19" x14ac:dyDescent="0.35">
      <c r="A51" s="8">
        <v>44118</v>
      </c>
      <c r="B51" s="10">
        <v>121</v>
      </c>
      <c r="C51" s="10">
        <v>123.03</v>
      </c>
      <c r="D51" s="10">
        <v>119.62</v>
      </c>
      <c r="E51" s="10">
        <v>121.19</v>
      </c>
      <c r="F51" s="10">
        <v>121.19</v>
      </c>
      <c r="G51">
        <v>151062300</v>
      </c>
      <c r="H51" s="127">
        <f>IF(tbl_AAPL[[#This Row],[Date]]=$A$5, $F51, EMA_Beta*$H50 + (1-EMA_Beta)*$F51)</f>
        <v>116.68273664649961</v>
      </c>
      <c r="I51" s="50">
        <f ca="1">IF(tbl_AAPL[[#This Row],[RS]]= "", "", 100-(100/(1+tbl_AAPL[[#This Row],[RS]])))</f>
        <v>68.139860139860133</v>
      </c>
      <c r="J51" s="127">
        <f ca="1">IF(ROW($N51)-4&lt;BB_Periods, "", AVERAGE(INDIRECT(ADDRESS(ROW($F51)-RSI_Periods +1, MATCH("Adj Close", Price_Header,0))): INDIRECT(ADDRESS(ROW($F51),MATCH("Adj Close", Price_Header,0)))))</f>
        <v>116.45142857142858</v>
      </c>
      <c r="K51" s="127">
        <f ca="1">IF(tbl_AAPL[[#This Row],[BB_Mean]]="", "", tbl_AAPL[[#This Row],[BB_Mean]]+(BB_Width*tbl_AAPL[[#This Row],[BB_Stdev]]))</f>
        <v>123.46626058166719</v>
      </c>
      <c r="L51" s="127">
        <f ca="1">IF(tbl_AAPL[[#This Row],[BB_Mean]]="", "", tbl_AAPL[[#This Row],[BB_Mean]]-(BB_Width*tbl_AAPL[[#This Row],[BB_Stdev]]))</f>
        <v>109.43659656118997</v>
      </c>
      <c r="M51" s="50">
        <f>IF(ROW(tbl_AAPL[[#This Row],[Adj Close]])=5, 0, $F51-$F50)</f>
        <v>9.0000000000003411E-2</v>
      </c>
      <c r="N51" s="50">
        <f>MAX(tbl_AAPL[[#This Row],[Move]],0)</f>
        <v>9.0000000000003411E-2</v>
      </c>
      <c r="O51" s="50">
        <f>MAX(-tbl_AAPL[[#This Row],[Move]],0)</f>
        <v>0</v>
      </c>
      <c r="P51" s="50">
        <f ca="1">IF(ROW($N51)-5&lt;RSI_Periods, "", AVERAGE(INDIRECT(ADDRESS(ROW($N51)-RSI_Periods +1, MATCH("Upmove", Price_Header,0))): INDIRECT(ADDRESS(ROW($N51),MATCH("Upmove", Price_Header,0)))))</f>
        <v>1.7400000000000009</v>
      </c>
      <c r="Q51" s="50">
        <f ca="1">IF(ROW($O51)-5&lt;RSI_Periods, "", AVERAGE(INDIRECT(ADDRESS(ROW($O51)-RSI_Periods +1, MATCH("Downmove", Price_Header,0))): INDIRECT(ADDRESS(ROW($O51),MATCH("Downmove", Price_Header,0)))))</f>
        <v>0.81357142857142961</v>
      </c>
      <c r="R51" s="50">
        <f ca="1">IF(tbl_AAPL[[#This Row],[Avg_Upmove]]="", "", tbl_AAPL[[#This Row],[Avg_Upmove]]/tbl_AAPL[[#This Row],[Avg_Downmove]])</f>
        <v>2.1387181738366974</v>
      </c>
      <c r="S51" s="50">
        <f ca="1">IF(ROW($N51)-4&lt;BB_Periods, "", _xlfn.STDEV.S(INDIRECT(ADDRESS(ROW($F51)-RSI_Periods +1, MATCH("Adj Close", Price_Header,0))): INDIRECT(ADDRESS(ROW($F51),MATCH("Adj Close", Price_Header,0)))))</f>
        <v>3.5074160051193011</v>
      </c>
    </row>
    <row r="52" spans="1:19" x14ac:dyDescent="0.35">
      <c r="A52" s="8">
        <v>44119</v>
      </c>
      <c r="B52" s="10">
        <v>118.72</v>
      </c>
      <c r="C52" s="10">
        <v>121.2</v>
      </c>
      <c r="D52" s="10">
        <v>118.15</v>
      </c>
      <c r="E52" s="10">
        <v>120.71</v>
      </c>
      <c r="F52" s="10">
        <v>120.71</v>
      </c>
      <c r="G52">
        <v>112559200</v>
      </c>
      <c r="H52" s="127">
        <f>IF(tbl_AAPL[[#This Row],[Date]]=$A$5, $F52, EMA_Beta*$H51 + (1-EMA_Beta)*$F52)</f>
        <v>117.08546298184964</v>
      </c>
      <c r="I52" s="50">
        <f ca="1">IF(tbl_AAPL[[#This Row],[RS]]= "", "", 100-(100/(1+tbl_AAPL[[#This Row],[RS]])))</f>
        <v>63.102269194902057</v>
      </c>
      <c r="J52" s="127">
        <f ca="1">IF(ROW($N52)-4&lt;BB_Periods, "", AVERAGE(INDIRECT(ADDRESS(ROW($F52)-RSI_Periods +1, MATCH("Adj Close", Price_Header,0))): INDIRECT(ADDRESS(ROW($F52),MATCH("Adj Close", Price_Header,0)))))</f>
        <v>117.05357142857144</v>
      </c>
      <c r="K52" s="127">
        <f ca="1">IF(tbl_AAPL[[#This Row],[BB_Mean]]="", "", tbl_AAPL[[#This Row],[BB_Mean]]+(BB_Width*tbl_AAPL[[#This Row],[BB_Stdev]]))</f>
        <v>123.97253358793013</v>
      </c>
      <c r="L52" s="127">
        <f ca="1">IF(tbl_AAPL[[#This Row],[BB_Mean]]="", "", tbl_AAPL[[#This Row],[BB_Mean]]-(BB_Width*tbl_AAPL[[#This Row],[BB_Stdev]]))</f>
        <v>110.13460926921276</v>
      </c>
      <c r="M52" s="50">
        <f>IF(ROW(tbl_AAPL[[#This Row],[Adj Close]])=5, 0, $F52-$F51)</f>
        <v>-0.48000000000000398</v>
      </c>
      <c r="N52" s="50">
        <f>MAX(tbl_AAPL[[#This Row],[Move]],0)</f>
        <v>0</v>
      </c>
      <c r="O52" s="50">
        <f>MAX(-tbl_AAPL[[#This Row],[Move]],0)</f>
        <v>0.48000000000000398</v>
      </c>
      <c r="P52" s="50">
        <f ca="1">IF(ROW($N52)-5&lt;RSI_Periods, "", AVERAGE(INDIRECT(ADDRESS(ROW($N52)-RSI_Periods +1, MATCH("Upmove", Price_Header,0))): INDIRECT(ADDRESS(ROW($N52),MATCH("Upmove", Price_Header,0)))))</f>
        <v>1.4500000000000008</v>
      </c>
      <c r="Q52" s="50">
        <f ca="1">IF(ROW($O52)-5&lt;RSI_Periods, "", AVERAGE(INDIRECT(ADDRESS(ROW($O52)-RSI_Periods +1, MATCH("Downmove", Price_Header,0))): INDIRECT(ADDRESS(ROW($O52),MATCH("Downmove", Price_Header,0)))))</f>
        <v>0.8478571428571442</v>
      </c>
      <c r="R52" s="50">
        <f ca="1">IF(tbl_AAPL[[#This Row],[Avg_Upmove]]="", "", tbl_AAPL[[#This Row],[Avg_Upmove]]/tbl_AAPL[[#This Row],[Avg_Downmove]])</f>
        <v>1.710193765796123</v>
      </c>
      <c r="S52" s="50">
        <f ca="1">IF(ROW($N52)-4&lt;BB_Periods, "", _xlfn.STDEV.S(INDIRECT(ADDRESS(ROW($F52)-RSI_Periods +1, MATCH("Adj Close", Price_Header,0))): INDIRECT(ADDRESS(ROW($F52),MATCH("Adj Close", Price_Header,0)))))</f>
        <v>3.459481079679342</v>
      </c>
    </row>
    <row r="53" spans="1:19" x14ac:dyDescent="0.35">
      <c r="A53" s="8">
        <v>44120</v>
      </c>
      <c r="B53" s="10">
        <v>121.28</v>
      </c>
      <c r="C53" s="10">
        <v>121.55</v>
      </c>
      <c r="D53" s="10">
        <v>118.81</v>
      </c>
      <c r="E53" s="10">
        <v>119.02</v>
      </c>
      <c r="F53" s="10">
        <v>119.02</v>
      </c>
      <c r="G53">
        <v>115073800</v>
      </c>
      <c r="H53" s="127">
        <f>IF(tbl_AAPL[[#This Row],[Date]]=$A$5, $F53, EMA_Beta*$H52 + (1-EMA_Beta)*$F53)</f>
        <v>117.27891668366469</v>
      </c>
      <c r="I53" s="50">
        <f ca="1">IF(tbl_AAPL[[#This Row],[RS]]= "", "", 100-(100/(1+tbl_AAPL[[#This Row],[RS]])))</f>
        <v>56.510583707504807</v>
      </c>
      <c r="J53" s="127">
        <f ca="1">IF(ROW($N53)-4&lt;BB_Periods, "", AVERAGE(INDIRECT(ADDRESS(ROW($F53)-RSI_Periods +1, MATCH("Adj Close", Price_Header,0))): INDIRECT(ADDRESS(ROW($F53),MATCH("Adj Close", Price_Header,0)))))</f>
        <v>117.34357142857144</v>
      </c>
      <c r="K53" s="127">
        <f ca="1">IF(tbl_AAPL[[#This Row],[BB_Mean]]="", "", tbl_AAPL[[#This Row],[BB_Mean]]+(BB_Width*tbl_AAPL[[#This Row],[BB_Stdev]]))</f>
        <v>124.22477260789542</v>
      </c>
      <c r="L53" s="127">
        <f ca="1">IF(tbl_AAPL[[#This Row],[BB_Mean]]="", "", tbl_AAPL[[#This Row],[BB_Mean]]-(BB_Width*tbl_AAPL[[#This Row],[BB_Stdev]]))</f>
        <v>110.46237024924746</v>
      </c>
      <c r="M53" s="50">
        <f>IF(ROW(tbl_AAPL[[#This Row],[Adj Close]])=5, 0, $F53-$F52)</f>
        <v>-1.6899999999999977</v>
      </c>
      <c r="N53" s="50">
        <f>MAX(tbl_AAPL[[#This Row],[Move]],0)</f>
        <v>0</v>
      </c>
      <c r="O53" s="50">
        <f>MAX(-tbl_AAPL[[#This Row],[Move]],0)</f>
        <v>1.6899999999999977</v>
      </c>
      <c r="P53" s="50">
        <f ca="1">IF(ROW($N53)-5&lt;RSI_Periods, "", AVERAGE(INDIRECT(ADDRESS(ROW($N53)-RSI_Periods +1, MATCH("Upmove", Price_Header,0))): INDIRECT(ADDRESS(ROW($N53),MATCH("Upmove", Price_Header,0)))))</f>
        <v>1.25857142857143</v>
      </c>
      <c r="Q53" s="50">
        <f ca="1">IF(ROW($O53)-5&lt;RSI_Periods, "", AVERAGE(INDIRECT(ADDRESS(ROW($O53)-RSI_Periods +1, MATCH("Downmove", Price_Header,0))): INDIRECT(ADDRESS(ROW($O53),MATCH("Downmove", Price_Header,0)))))</f>
        <v>0.96857142857142975</v>
      </c>
      <c r="R53" s="50">
        <f ca="1">IF(tbl_AAPL[[#This Row],[Avg_Upmove]]="", "", tbl_AAPL[[#This Row],[Avg_Upmove]]/tbl_AAPL[[#This Row],[Avg_Downmove]])</f>
        <v>1.2994100294985249</v>
      </c>
      <c r="S53" s="50">
        <f ca="1">IF(ROW($N53)-4&lt;BB_Periods, "", _xlfn.STDEV.S(INDIRECT(ADDRESS(ROW($F53)-RSI_Periods +1, MATCH("Adj Close", Price_Header,0))): INDIRECT(ADDRESS(ROW($F53),MATCH("Adj Close", Price_Header,0)))))</f>
        <v>3.4406005896619876</v>
      </c>
    </row>
    <row r="54" spans="1:19" x14ac:dyDescent="0.35">
      <c r="A54" s="8">
        <v>44123</v>
      </c>
      <c r="B54" s="10">
        <v>119.94</v>
      </c>
      <c r="C54" s="10">
        <v>120.42</v>
      </c>
      <c r="D54" s="10">
        <v>116.16</v>
      </c>
      <c r="E54" s="10">
        <v>116.81</v>
      </c>
      <c r="F54" s="10">
        <v>116.81</v>
      </c>
      <c r="G54">
        <v>100253000</v>
      </c>
      <c r="H54" s="127">
        <f>IF(tbl_AAPL[[#This Row],[Date]]=$A$5, $F54, EMA_Beta*$H53 + (1-EMA_Beta)*$F54)</f>
        <v>117.23202501529822</v>
      </c>
      <c r="I54" s="50">
        <f ca="1">IF(tbl_AAPL[[#This Row],[RS]]= "", "", 100-(100/(1+tbl_AAPL[[#This Row],[RS]])))</f>
        <v>54.182041820418199</v>
      </c>
      <c r="J54" s="127">
        <f ca="1">IF(ROW($N54)-4&lt;BB_Periods, "", AVERAGE(INDIRECT(ADDRESS(ROW($F54)-RSI_Periods +1, MATCH("Adj Close", Price_Header,0))): INDIRECT(ADDRESS(ROW($F54),MATCH("Adj Close", Price_Header,0)))))</f>
        <v>117.53785714285713</v>
      </c>
      <c r="K54" s="127">
        <f ca="1">IF(tbl_AAPL[[#This Row],[BB_Mean]]="", "", tbl_AAPL[[#This Row],[BB_Mean]]+(BB_Width*tbl_AAPL[[#This Row],[BB_Stdev]]))</f>
        <v>124.17252218487548</v>
      </c>
      <c r="L54" s="127">
        <f ca="1">IF(tbl_AAPL[[#This Row],[BB_Mean]]="", "", tbl_AAPL[[#This Row],[BB_Mean]]-(BB_Width*tbl_AAPL[[#This Row],[BB_Stdev]]))</f>
        <v>110.90319210083879</v>
      </c>
      <c r="M54" s="50">
        <f>IF(ROW(tbl_AAPL[[#This Row],[Adj Close]])=5, 0, $F54-$F53)</f>
        <v>-2.2099999999999937</v>
      </c>
      <c r="N54" s="50">
        <f>MAX(tbl_AAPL[[#This Row],[Move]],0)</f>
        <v>0</v>
      </c>
      <c r="O54" s="50">
        <f>MAX(-tbl_AAPL[[#This Row],[Move]],0)</f>
        <v>2.2099999999999937</v>
      </c>
      <c r="P54" s="50">
        <f ca="1">IF(ROW($N54)-5&lt;RSI_Periods, "", AVERAGE(INDIRECT(ADDRESS(ROW($N54)-RSI_Periods +1, MATCH("Upmove", Price_Header,0))): INDIRECT(ADDRESS(ROW($N54),MATCH("Upmove", Price_Header,0)))))</f>
        <v>1.25857142857143</v>
      </c>
      <c r="Q54" s="50">
        <f ca="1">IF(ROW($O54)-5&lt;RSI_Periods, "", AVERAGE(INDIRECT(ADDRESS(ROW($O54)-RSI_Periods +1, MATCH("Downmove", Price_Header,0))): INDIRECT(ADDRESS(ROW($O54),MATCH("Downmove", Price_Header,0)))))</f>
        <v>1.0642857142857156</v>
      </c>
      <c r="R54" s="50">
        <f ca="1">IF(tbl_AAPL[[#This Row],[Avg_Upmove]]="", "", tbl_AAPL[[#This Row],[Avg_Upmove]]/tbl_AAPL[[#This Row],[Avg_Downmove]])</f>
        <v>1.1825503355704696</v>
      </c>
      <c r="S54" s="50">
        <f ca="1">IF(ROW($N54)-4&lt;BB_Periods, "", _xlfn.STDEV.S(INDIRECT(ADDRESS(ROW($F54)-RSI_Periods +1, MATCH("Adj Close", Price_Header,0))): INDIRECT(ADDRESS(ROW($F54),MATCH("Adj Close", Price_Header,0)))))</f>
        <v>3.3173325210091704</v>
      </c>
    </row>
    <row r="55" spans="1:19" x14ac:dyDescent="0.35">
      <c r="A55" s="8">
        <v>44124</v>
      </c>
      <c r="B55" s="10">
        <v>116.2</v>
      </c>
      <c r="C55" s="10">
        <v>118.98</v>
      </c>
      <c r="D55" s="10">
        <v>115.63</v>
      </c>
      <c r="E55" s="10">
        <v>117.51</v>
      </c>
      <c r="F55" s="10">
        <v>117.51</v>
      </c>
      <c r="G55">
        <v>124423700</v>
      </c>
      <c r="H55" s="127">
        <f>IF(tbl_AAPL[[#This Row],[Date]]=$A$5, $F55, EMA_Beta*$H54 + (1-EMA_Beta)*$F55)</f>
        <v>117.2598225137684</v>
      </c>
      <c r="I55" s="50">
        <f ca="1">IF(tbl_AAPL[[#This Row],[RS]]= "", "", 100-(100/(1+tbl_AAPL[[#This Row],[RS]])))</f>
        <v>52.698412698412696</v>
      </c>
      <c r="J55" s="127">
        <f ca="1">IF(ROW($N55)-4&lt;BB_Periods, "", AVERAGE(INDIRECT(ADDRESS(ROW($F55)-RSI_Periods +1, MATCH("Adj Close", Price_Header,0))): INDIRECT(ADDRESS(ROW($F55),MATCH("Adj Close", Price_Header,0)))))</f>
        <v>117.65928571428572</v>
      </c>
      <c r="K55" s="127">
        <f ca="1">IF(tbl_AAPL[[#This Row],[BB_Mean]]="", "", tbl_AAPL[[#This Row],[BB_Mean]]+(BB_Width*tbl_AAPL[[#This Row],[BB_Stdev]]))</f>
        <v>124.21953648006367</v>
      </c>
      <c r="L55" s="127">
        <f ca="1">IF(tbl_AAPL[[#This Row],[BB_Mean]]="", "", tbl_AAPL[[#This Row],[BB_Mean]]-(BB_Width*tbl_AAPL[[#This Row],[BB_Stdev]]))</f>
        <v>111.09903494850776</v>
      </c>
      <c r="M55" s="50">
        <f>IF(ROW(tbl_AAPL[[#This Row],[Adj Close]])=5, 0, $F55-$F54)</f>
        <v>0.70000000000000284</v>
      </c>
      <c r="N55" s="50">
        <f>MAX(tbl_AAPL[[#This Row],[Move]],0)</f>
        <v>0.70000000000000284</v>
      </c>
      <c r="O55" s="50">
        <f>MAX(-tbl_AAPL[[#This Row],[Move]],0)</f>
        <v>0</v>
      </c>
      <c r="P55" s="50">
        <f ca="1">IF(ROW($N55)-5&lt;RSI_Periods, "", AVERAGE(INDIRECT(ADDRESS(ROW($N55)-RSI_Periods +1, MATCH("Upmove", Price_Header,0))): INDIRECT(ADDRESS(ROW($N55),MATCH("Upmove", Price_Header,0)))))</f>
        <v>1.1857142857142873</v>
      </c>
      <c r="Q55" s="50">
        <f ca="1">IF(ROW($O55)-5&lt;RSI_Periods, "", AVERAGE(INDIRECT(ADDRESS(ROW($O55)-RSI_Periods +1, MATCH("Downmove", Price_Header,0))): INDIRECT(ADDRESS(ROW($O55),MATCH("Downmove", Price_Header,0)))))</f>
        <v>1.0642857142857156</v>
      </c>
      <c r="R55" s="50">
        <f ca="1">IF(tbl_AAPL[[#This Row],[Avg_Upmove]]="", "", tbl_AAPL[[#This Row],[Avg_Upmove]]/tbl_AAPL[[#This Row],[Avg_Downmove]])</f>
        <v>1.1140939597315438</v>
      </c>
      <c r="S55" s="50">
        <f ca="1">IF(ROW($N55)-4&lt;BB_Periods, "", _xlfn.STDEV.S(INDIRECT(ADDRESS(ROW($F55)-RSI_Periods +1, MATCH("Adj Close", Price_Header,0))): INDIRECT(ADDRESS(ROW($F55),MATCH("Adj Close", Price_Header,0)))))</f>
        <v>3.2801253828889729</v>
      </c>
    </row>
    <row r="56" spans="1:19" x14ac:dyDescent="0.35">
      <c r="A56" s="8">
        <v>44125</v>
      </c>
      <c r="B56" s="10">
        <v>116.67</v>
      </c>
      <c r="C56" s="10">
        <v>118.71</v>
      </c>
      <c r="D56" s="10">
        <v>116.45</v>
      </c>
      <c r="E56" s="10">
        <v>116.87</v>
      </c>
      <c r="F56" s="10">
        <v>116.87</v>
      </c>
      <c r="G56">
        <v>89946000</v>
      </c>
      <c r="H56" s="127">
        <f>IF(tbl_AAPL[[#This Row],[Date]]=$A$5, $F56, EMA_Beta*$H55 + (1-EMA_Beta)*$F56)</f>
        <v>117.22084026239156</v>
      </c>
      <c r="I56" s="50">
        <f ca="1">IF(tbl_AAPL[[#This Row],[RS]]= "", "", 100-(100/(1+tbl_AAPL[[#This Row],[RS]])))</f>
        <v>50.128369704749673</v>
      </c>
      <c r="J56" s="127">
        <f ca="1">IF(ROW($N56)-4&lt;BB_Periods, "", AVERAGE(INDIRECT(ADDRESS(ROW($F56)-RSI_Periods +1, MATCH("Adj Close", Price_Header,0))): INDIRECT(ADDRESS(ROW($F56),MATCH("Adj Close", Price_Header,0)))))</f>
        <v>117.66499999999999</v>
      </c>
      <c r="K56" s="127">
        <f ca="1">IF(tbl_AAPL[[#This Row],[BB_Mean]]="", "", tbl_AAPL[[#This Row],[BB_Mean]]+(BB_Width*tbl_AAPL[[#This Row],[BB_Stdev]]))</f>
        <v>124.22212765446297</v>
      </c>
      <c r="L56" s="127">
        <f ca="1">IF(tbl_AAPL[[#This Row],[BB_Mean]]="", "", tbl_AAPL[[#This Row],[BB_Mean]]-(BB_Width*tbl_AAPL[[#This Row],[BB_Stdev]]))</f>
        <v>111.10787234553702</v>
      </c>
      <c r="M56" s="50">
        <f>IF(ROW(tbl_AAPL[[#This Row],[Adj Close]])=5, 0, $F56-$F55)</f>
        <v>-0.64000000000000057</v>
      </c>
      <c r="N56" s="50">
        <f>MAX(tbl_AAPL[[#This Row],[Move]],0)</f>
        <v>0</v>
      </c>
      <c r="O56" s="50">
        <f>MAX(-tbl_AAPL[[#This Row],[Move]],0)</f>
        <v>0.64000000000000057</v>
      </c>
      <c r="P56" s="50">
        <f ca="1">IF(ROW($N56)-5&lt;RSI_Periods, "", AVERAGE(INDIRECT(ADDRESS(ROW($N56)-RSI_Periods +1, MATCH("Upmove", Price_Header,0))): INDIRECT(ADDRESS(ROW($N56),MATCH("Upmove", Price_Header,0)))))</f>
        <v>1.115714285714287</v>
      </c>
      <c r="Q56" s="50">
        <f ca="1">IF(ROW($O56)-5&lt;RSI_Periods, "", AVERAGE(INDIRECT(ADDRESS(ROW($O56)-RSI_Periods +1, MATCH("Downmove", Price_Header,0))): INDIRECT(ADDRESS(ROW($O56),MATCH("Downmove", Price_Header,0)))))</f>
        <v>1.1100000000000014</v>
      </c>
      <c r="R56" s="50">
        <f ca="1">IF(tbl_AAPL[[#This Row],[Avg_Upmove]]="", "", tbl_AAPL[[#This Row],[Avg_Upmove]]/tbl_AAPL[[#This Row],[Avg_Downmove]])</f>
        <v>1.0051480051480051</v>
      </c>
      <c r="S56" s="50">
        <f ca="1">IF(ROW($N56)-4&lt;BB_Periods, "", _xlfn.STDEV.S(INDIRECT(ADDRESS(ROW($F56)-RSI_Periods +1, MATCH("Adj Close", Price_Header,0))): INDIRECT(ADDRESS(ROW($F56),MATCH("Adj Close", Price_Header,0)))))</f>
        <v>3.2785638272314861</v>
      </c>
    </row>
    <row r="57" spans="1:19" x14ac:dyDescent="0.35">
      <c r="A57" s="8">
        <v>44126</v>
      </c>
      <c r="B57" s="10">
        <v>117.45</v>
      </c>
      <c r="C57" s="10">
        <v>118.04</v>
      </c>
      <c r="D57" s="10">
        <v>114.59</v>
      </c>
      <c r="E57" s="10">
        <v>115.75</v>
      </c>
      <c r="F57" s="10">
        <v>115.75</v>
      </c>
      <c r="G57">
        <v>101988000</v>
      </c>
      <c r="H57" s="127">
        <f>IF(tbl_AAPL[[#This Row],[Date]]=$A$5, $F57, EMA_Beta*$H56 + (1-EMA_Beta)*$F57)</f>
        <v>117.07375623615241</v>
      </c>
      <c r="I57" s="50">
        <f ca="1">IF(tbl_AAPL[[#This Row],[RS]]= "", "", 100-(100/(1+tbl_AAPL[[#This Row],[RS]])))</f>
        <v>54.78779375657664</v>
      </c>
      <c r="J57" s="127">
        <f ca="1">IF(ROW($N57)-4&lt;BB_Periods, "", AVERAGE(INDIRECT(ADDRESS(ROW($F57)-RSI_Periods +1, MATCH("Adj Close", Price_Header,0))): INDIRECT(ADDRESS(ROW($F57),MATCH("Adj Close", Price_Header,0)))))</f>
        <v>117.86</v>
      </c>
      <c r="K57" s="127">
        <f ca="1">IF(tbl_AAPL[[#This Row],[BB_Mean]]="", "", tbl_AAPL[[#This Row],[BB_Mean]]+(BB_Width*tbl_AAPL[[#This Row],[BB_Stdev]]))</f>
        <v>123.96915076560754</v>
      </c>
      <c r="L57" s="127">
        <f ca="1">IF(tbl_AAPL[[#This Row],[BB_Mean]]="", "", tbl_AAPL[[#This Row],[BB_Mean]]-(BB_Width*tbl_AAPL[[#This Row],[BB_Stdev]]))</f>
        <v>111.75084923439246</v>
      </c>
      <c r="M57" s="50">
        <f>IF(ROW(tbl_AAPL[[#This Row],[Adj Close]])=5, 0, $F57-$F56)</f>
        <v>-1.1200000000000045</v>
      </c>
      <c r="N57" s="50">
        <f>MAX(tbl_AAPL[[#This Row],[Move]],0)</f>
        <v>0</v>
      </c>
      <c r="O57" s="50">
        <f>MAX(-tbl_AAPL[[#This Row],[Move]],0)</f>
        <v>1.1200000000000045</v>
      </c>
      <c r="P57" s="50">
        <f ca="1">IF(ROW($N57)-5&lt;RSI_Periods, "", AVERAGE(INDIRECT(ADDRESS(ROW($N57)-RSI_Periods +1, MATCH("Upmove", Price_Header,0))): INDIRECT(ADDRESS(ROW($N57),MATCH("Upmove", Price_Header,0)))))</f>
        <v>1.115714285714287</v>
      </c>
      <c r="Q57" s="50">
        <f ca="1">IF(ROW($O57)-5&lt;RSI_Periods, "", AVERAGE(INDIRECT(ADDRESS(ROW($O57)-RSI_Periods +1, MATCH("Downmove", Price_Header,0))): INDIRECT(ADDRESS(ROW($O57),MATCH("Downmove", Price_Header,0)))))</f>
        <v>0.92071428571428682</v>
      </c>
      <c r="R57" s="50">
        <f ca="1">IF(tbl_AAPL[[#This Row],[Avg_Upmove]]="", "", tbl_AAPL[[#This Row],[Avg_Upmove]]/tbl_AAPL[[#This Row],[Avg_Downmove]])</f>
        <v>1.2117920868890613</v>
      </c>
      <c r="S57" s="50">
        <f ca="1">IF(ROW($N57)-4&lt;BB_Periods, "", _xlfn.STDEV.S(INDIRECT(ADDRESS(ROW($F57)-RSI_Periods +1, MATCH("Adj Close", Price_Header,0))): INDIRECT(ADDRESS(ROW($F57),MATCH("Adj Close", Price_Header,0)))))</f>
        <v>3.0545753828037658</v>
      </c>
    </row>
    <row r="58" spans="1:19" x14ac:dyDescent="0.35">
      <c r="A58" s="8">
        <v>44127</v>
      </c>
      <c r="B58" s="10">
        <v>116.39</v>
      </c>
      <c r="C58" s="10">
        <v>116.55</v>
      </c>
      <c r="D58" s="10">
        <v>114.28</v>
      </c>
      <c r="E58" s="10">
        <v>115.04</v>
      </c>
      <c r="F58" s="10">
        <v>115.04</v>
      </c>
      <c r="G58">
        <v>82572600</v>
      </c>
      <c r="H58" s="127">
        <f>IF(tbl_AAPL[[#This Row],[Date]]=$A$5, $F58, EMA_Beta*$H57 + (1-EMA_Beta)*$F58)</f>
        <v>116.87038061253716</v>
      </c>
      <c r="I58" s="50">
        <f ca="1">IF(tbl_AAPL[[#This Row],[RS]]= "", "", 100-(100/(1+tbl_AAPL[[#This Row],[RS]])))</f>
        <v>47.163947163947178</v>
      </c>
      <c r="J58" s="127">
        <f ca="1">IF(ROW($N58)-4&lt;BB_Periods, "", AVERAGE(INDIRECT(ADDRESS(ROW($F58)-RSI_Periods +1, MATCH("Adj Close", Price_Header,0))): INDIRECT(ADDRESS(ROW($F58),MATCH("Adj Close", Price_Header,0)))))</f>
        <v>117.75571428571428</v>
      </c>
      <c r="K58" s="127">
        <f ca="1">IF(tbl_AAPL[[#This Row],[BB_Mean]]="", "", tbl_AAPL[[#This Row],[BB_Mean]]+(BB_Width*tbl_AAPL[[#This Row],[BB_Stdev]]))</f>
        <v>124.01292287586527</v>
      </c>
      <c r="L58" s="127">
        <f ca="1">IF(tbl_AAPL[[#This Row],[BB_Mean]]="", "", tbl_AAPL[[#This Row],[BB_Mean]]-(BB_Width*tbl_AAPL[[#This Row],[BB_Stdev]]))</f>
        <v>111.49850569556328</v>
      </c>
      <c r="M58" s="50">
        <f>IF(ROW(tbl_AAPL[[#This Row],[Adj Close]])=5, 0, $F58-$F57)</f>
        <v>-0.70999999999999375</v>
      </c>
      <c r="N58" s="50">
        <f>MAX(tbl_AAPL[[#This Row],[Move]],0)</f>
        <v>0</v>
      </c>
      <c r="O58" s="50">
        <f>MAX(-tbl_AAPL[[#This Row],[Move]],0)</f>
        <v>0.70999999999999375</v>
      </c>
      <c r="P58" s="50">
        <f ca="1">IF(ROW($N58)-5&lt;RSI_Periods, "", AVERAGE(INDIRECT(ADDRESS(ROW($N58)-RSI_Periods +1, MATCH("Upmove", Price_Header,0))): INDIRECT(ADDRESS(ROW($N58),MATCH("Upmove", Price_Header,0)))))</f>
        <v>0.86714285714285821</v>
      </c>
      <c r="Q58" s="50">
        <f ca="1">IF(ROW($O58)-5&lt;RSI_Periods, "", AVERAGE(INDIRECT(ADDRESS(ROW($O58)-RSI_Periods +1, MATCH("Downmove", Price_Header,0))): INDIRECT(ADDRESS(ROW($O58),MATCH("Downmove", Price_Header,0)))))</f>
        <v>0.97142857142857209</v>
      </c>
      <c r="R58" s="50">
        <f ca="1">IF(tbl_AAPL[[#This Row],[Avg_Upmove]]="", "", tbl_AAPL[[#This Row],[Avg_Upmove]]/tbl_AAPL[[#This Row],[Avg_Downmove]])</f>
        <v>0.8926470588235299</v>
      </c>
      <c r="S58" s="50">
        <f ca="1">IF(ROW($N58)-4&lt;BB_Periods, "", _xlfn.STDEV.S(INDIRECT(ADDRESS(ROW($F58)-RSI_Periods +1, MATCH("Adj Close", Price_Header,0))): INDIRECT(ADDRESS(ROW($F58),MATCH("Adj Close", Price_Header,0)))))</f>
        <v>3.1286042950754944</v>
      </c>
    </row>
    <row r="59" spans="1:19" x14ac:dyDescent="0.35">
      <c r="A59" s="8">
        <v>44130</v>
      </c>
      <c r="B59" s="10">
        <v>114.01</v>
      </c>
      <c r="C59" s="10">
        <v>116.55</v>
      </c>
      <c r="D59" s="10">
        <v>112.88</v>
      </c>
      <c r="E59" s="10">
        <v>115.05</v>
      </c>
      <c r="F59" s="10">
        <v>115.05</v>
      </c>
      <c r="G59">
        <v>111850700</v>
      </c>
      <c r="H59" s="127">
        <f>IF(tbl_AAPL[[#This Row],[Date]]=$A$5, $F59, EMA_Beta*$H58 + (1-EMA_Beta)*$F59)</f>
        <v>116.68834255128344</v>
      </c>
      <c r="I59" s="50">
        <f ca="1">IF(tbl_AAPL[[#This Row],[RS]]= "", "", 100-(100/(1+tbl_AAPL[[#This Row],[RS]])))</f>
        <v>54.216867469879517</v>
      </c>
      <c r="J59" s="127">
        <f ca="1">IF(ROW($N59)-4&lt;BB_Periods, "", AVERAGE(INDIRECT(ADDRESS(ROW($F59)-RSI_Periods +1, MATCH("Adj Close", Price_Header,0))): INDIRECT(ADDRESS(ROW($F59),MATCH("Adj Close", Price_Header,0)))))</f>
        <v>117.89071428571428</v>
      </c>
      <c r="K59" s="127">
        <f ca="1">IF(tbl_AAPL[[#This Row],[BB_Mean]]="", "", tbl_AAPL[[#This Row],[BB_Mean]]+(BB_Width*tbl_AAPL[[#This Row],[BB_Stdev]]))</f>
        <v>123.79224714675048</v>
      </c>
      <c r="L59" s="127">
        <f ca="1">IF(tbl_AAPL[[#This Row],[BB_Mean]]="", "", tbl_AAPL[[#This Row],[BB_Mean]]-(BB_Width*tbl_AAPL[[#This Row],[BB_Stdev]]))</f>
        <v>111.98918142467808</v>
      </c>
      <c r="M59" s="50">
        <f>IF(ROW(tbl_AAPL[[#This Row],[Adj Close]])=5, 0, $F59-$F58)</f>
        <v>9.9999999999909051E-3</v>
      </c>
      <c r="N59" s="50">
        <f>MAX(tbl_AAPL[[#This Row],[Move]],0)</f>
        <v>9.9999999999909051E-3</v>
      </c>
      <c r="O59" s="50">
        <f>MAX(-tbl_AAPL[[#This Row],[Move]],0)</f>
        <v>0</v>
      </c>
      <c r="P59" s="50">
        <f ca="1">IF(ROW($N59)-5&lt;RSI_Periods, "", AVERAGE(INDIRECT(ADDRESS(ROW($N59)-RSI_Periods +1, MATCH("Upmove", Price_Header,0))): INDIRECT(ADDRESS(ROW($N59),MATCH("Upmove", Price_Header,0)))))</f>
        <v>0.86785714285714322</v>
      </c>
      <c r="Q59" s="50">
        <f ca="1">IF(ROW($O59)-5&lt;RSI_Periods, "", AVERAGE(INDIRECT(ADDRESS(ROW($O59)-RSI_Periods +1, MATCH("Downmove", Price_Header,0))): INDIRECT(ADDRESS(ROW($O59),MATCH("Downmove", Price_Header,0)))))</f>
        <v>0.73285714285714321</v>
      </c>
      <c r="R59" s="50">
        <f ca="1">IF(tbl_AAPL[[#This Row],[Avg_Upmove]]="", "", tbl_AAPL[[#This Row],[Avg_Upmove]]/tbl_AAPL[[#This Row],[Avg_Downmove]])</f>
        <v>1.1842105263157894</v>
      </c>
      <c r="S59" s="50">
        <f ca="1">IF(ROW($N59)-4&lt;BB_Periods, "", _xlfn.STDEV.S(INDIRECT(ADDRESS(ROW($F59)-RSI_Periods +1, MATCH("Adj Close", Price_Header,0))): INDIRECT(ADDRESS(ROW($F59),MATCH("Adj Close", Price_Header,0)))))</f>
        <v>2.9507664305180987</v>
      </c>
    </row>
    <row r="60" spans="1:19" x14ac:dyDescent="0.35">
      <c r="A60" t="s">
        <v>162</v>
      </c>
      <c r="B60" s="61"/>
      <c r="C60" s="61"/>
      <c r="D60" s="61"/>
      <c r="E60" s="61"/>
      <c r="F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>
        <f ca="1">SUBTOTAL(103,tbl_AAPL[BB_Stdev])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60"/>
  <sheetViews>
    <sheetView topLeftCell="A54" zoomScale="111" workbookViewId="0">
      <selection activeCell="B60" sqref="B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168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3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3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3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3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3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3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3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3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3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3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3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3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3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3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3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3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3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3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35">
      <c r="A37" s="8">
        <v>44098</v>
      </c>
      <c r="B37" s="48">
        <v>135.72999999999999</v>
      </c>
      <c r="C37" s="48">
        <v>137.79</v>
      </c>
      <c r="D37" s="48">
        <v>135.07</v>
      </c>
      <c r="E37" s="48">
        <v>136.69999999999999</v>
      </c>
      <c r="F37" s="48">
        <v>136.69999999999999</v>
      </c>
      <c r="G37">
        <v>9817700</v>
      </c>
      <c r="H37" s="48">
        <f>IF(tbl_WMT[[#This Row],[Date]]=$A$5, $F37, EMA_Beta*$H36 + (1-EMA_Beta)*$F37)</f>
        <v>195.84648661276097</v>
      </c>
      <c r="I37" s="50">
        <f ca="1">IF(tbl_WMT[[#This Row],[RS]]= "", "", 100-(100/(1+tbl_WMT[[#This Row],[RS]])))</f>
        <v>9.7007920330269997</v>
      </c>
      <c r="J37" s="11">
        <f ca="1">IF(ROW($N37)-4&lt;BB_Periods, "", AVERAGE(INDIRECT(ADDRESS(ROW($F37)-RSI_Periods +1, MATCH("Adj Close", Price_Header,0))): INDIRECT(ADDRESS(ROW($F37),MATCH("Adj Close", Price_Header,0)))))</f>
        <v>179.94357078571426</v>
      </c>
      <c r="K37" s="11">
        <f ca="1">IF(tbl_WMT[[#This Row],[BB_Mean]]="", "", tbl_WMT[[#This Row],[BB_Mean]]+(BB_Width*tbl_WMT[[#This Row],[BB_Stdev]]))</f>
        <v>300.30579347878512</v>
      </c>
      <c r="L37" s="11">
        <f ca="1">IF(tbl_WMT[[#This Row],[BB_Mean]]="", "", tbl_WMT[[#This Row],[BB_Mean]]-(BB_Width*tbl_WMT[[#This Row],[BB_Stdev]]))</f>
        <v>59.581348092643395</v>
      </c>
      <c r="M37" s="46">
        <f>IF(ROW(tbl_WMT[[#This Row],[Adj Close]])=5, 0, $F37-$F36)</f>
        <v>0.70999999999997954</v>
      </c>
      <c r="N37" s="46">
        <f>MAX(tbl_WMT[[#This Row],[Move]],0)</f>
        <v>0.70999999999997954</v>
      </c>
      <c r="O37" s="46">
        <f>MAX(-tbl_WMT[[#This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1.1949988571428551</v>
      </c>
      <c r="Q37" s="46">
        <f ca="1">IF(ROW($O37)-5&lt;RSI_Periods, "", AVERAGE(INDIRECT(ADDRESS(ROW($O37)-RSI_Periods +1, MATCH("Downmove", Price_Header,0))): INDIRECT(ADDRESS(ROW($O37),MATCH("Downmove", Price_Header,0)))))</f>
        <v>11.123571142857143</v>
      </c>
      <c r="R37" s="46">
        <f ca="1">IF(tbl_WMT[[#This Row],[Avg_Upmove]]="", "", tbl_WMT[[#This Row],[Avg_Upmove]]/tbl_WMT[[#This Row],[Avg_Downmove]])</f>
        <v>0.10742942547818451</v>
      </c>
      <c r="S37" s="11">
        <f ca="1">IF(ROW($N37)-4&lt;BB_Periods, "", _xlfn.STDEV.S(INDIRECT(ADDRESS(ROW($F37)-RSI_Periods +1, MATCH("Adj Close", Price_Header,0))): INDIRECT(ADDRESS(ROW($F37),MATCH("Adj Close", Price_Header,0)))))</f>
        <v>60.181111346535431</v>
      </c>
    </row>
    <row r="38" spans="1:19" x14ac:dyDescent="0.35">
      <c r="A38" s="8">
        <v>44099</v>
      </c>
      <c r="B38" s="48">
        <v>136.52000000000001</v>
      </c>
      <c r="C38" s="48">
        <v>137.54</v>
      </c>
      <c r="D38" s="48">
        <v>135.96</v>
      </c>
      <c r="E38" s="48">
        <v>137.27000000000001</v>
      </c>
      <c r="F38" s="48">
        <v>137.27000000000001</v>
      </c>
      <c r="G38">
        <v>7539600</v>
      </c>
      <c r="H38" s="48">
        <f>IF(tbl_WMT[[#This Row],[Date]]=$A$5, $F38, EMA_Beta*$H37 + (1-EMA_Beta)*$F38)</f>
        <v>189.98883795148487</v>
      </c>
      <c r="I38" s="50">
        <f ca="1">IF(tbl_WMT[[#This Row],[RS]]= "", "", 100-(100/(1+tbl_WMT[[#This Row],[RS]])))</f>
        <v>10.930680027297655</v>
      </c>
      <c r="J38" s="11">
        <f ca="1">IF(ROW($N38)-4&lt;BB_Periods, "", AVERAGE(INDIRECT(ADDRESS(ROW($F38)-RSI_Periods +1, MATCH("Adj Close", Price_Header,0))): INDIRECT(ADDRESS(ROW($F38),MATCH("Adj Close", Price_Header,0)))))</f>
        <v>171.10999921428566</v>
      </c>
      <c r="K38" s="11">
        <f ca="1">IF(tbl_WMT[[#This Row],[BB_Mean]]="", "", tbl_WMT[[#This Row],[BB_Mean]]+(BB_Width*tbl_WMT[[#This Row],[BB_Stdev]]))</f>
        <v>283.7716766492577</v>
      </c>
      <c r="L38" s="11">
        <f ca="1">IF(tbl_WMT[[#This Row],[BB_Mean]]="", "", tbl_WMT[[#This Row],[BB_Mean]]-(BB_Width*tbl_WMT[[#This Row],[BB_Stdev]]))</f>
        <v>58.44832177931363</v>
      </c>
      <c r="M38" s="46">
        <f>IF(ROW(tbl_WMT[[#This Row],[Adj Close]])=5, 0, $F38-$F37)</f>
        <v>0.5700000000000216</v>
      </c>
      <c r="N38" s="46">
        <f>MAX(tbl_WMT[[#This Row],[Move]],0)</f>
        <v>0.5700000000000216</v>
      </c>
      <c r="O38" s="46">
        <f>MAX(-tbl_WMT[[#This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1.2357131428571424</v>
      </c>
      <c r="Q38" s="46">
        <f ca="1">IF(ROW($O38)-5&lt;RSI_Periods, "", AVERAGE(INDIRECT(ADDRESS(ROW($O38)-RSI_Periods +1, MATCH("Downmove", Price_Header,0))): INDIRECT(ADDRESS(ROW($O38),MATCH("Downmove", Price_Header,0)))))</f>
        <v>10.069284714285713</v>
      </c>
      <c r="R38" s="46">
        <f ca="1">IF(tbl_WMT[[#This Row],[Avg_Upmove]]="", "", tbl_WMT[[#This Row],[Avg_Upmove]]/tbl_WMT[[#This Row],[Avg_Downmove]])</f>
        <v>0.12272104503152888</v>
      </c>
      <c r="S38" s="11">
        <f ca="1">IF(ROW($N38)-4&lt;BB_Periods, "", _xlfn.STDEV.S(INDIRECT(ADDRESS(ROW($F38)-RSI_Periods +1, MATCH("Adj Close", Price_Header,0))): INDIRECT(ADDRESS(ROW($F38),MATCH("Adj Close", Price_Header,0)))))</f>
        <v>56.330838717486017</v>
      </c>
    </row>
    <row r="39" spans="1:19" x14ac:dyDescent="0.35">
      <c r="A39" s="8">
        <v>44102</v>
      </c>
      <c r="B39" s="48">
        <v>137.16</v>
      </c>
      <c r="C39" s="48">
        <v>138.05000000000001</v>
      </c>
      <c r="D39" s="48">
        <v>136.72</v>
      </c>
      <c r="E39" s="48">
        <v>137.25</v>
      </c>
      <c r="F39" s="48">
        <v>137.25</v>
      </c>
      <c r="G39">
        <v>7065700</v>
      </c>
      <c r="H39" s="48">
        <f>IF(tbl_WMT[[#This Row],[Date]]=$A$5, $F39, EMA_Beta*$H38 + (1-EMA_Beta)*$F39)</f>
        <v>184.71495415633638</v>
      </c>
      <c r="I39" s="50">
        <f ca="1">IF(tbl_WMT[[#This Row],[RS]]= "", "", 100-(100/(1+tbl_WMT[[#This Row],[RS]])))</f>
        <v>11.577318793545885</v>
      </c>
      <c r="J39" s="11">
        <f ca="1">IF(ROW($N39)-4&lt;BB_Periods, "", AVERAGE(INDIRECT(ADDRESS(ROW($F39)-RSI_Periods +1, MATCH("Adj Close", Price_Header,0))): INDIRECT(ADDRESS(ROW($F39),MATCH("Adj Close", Price_Header,0)))))</f>
        <v>162.90785621428569</v>
      </c>
      <c r="K39" s="11">
        <f ca="1">IF(tbl_WMT[[#This Row],[BB_Mean]]="", "", tbl_WMT[[#This Row],[BB_Mean]]+(BB_Width*tbl_WMT[[#This Row],[BB_Stdev]]))</f>
        <v>266.53385559011662</v>
      </c>
      <c r="L39" s="11">
        <f ca="1">IF(tbl_WMT[[#This Row],[BB_Mean]]="", "", tbl_WMT[[#This Row],[BB_Mean]]-(BB_Width*tbl_WMT[[#This Row],[BB_Stdev]]))</f>
        <v>59.281856838454772</v>
      </c>
      <c r="M39" s="46">
        <f>IF(ROW(tbl_WMT[[#This Row],[Adj Close]])=5, 0, $F39-$F38)</f>
        <v>-2.0000000000010232E-2</v>
      </c>
      <c r="N39" s="46">
        <f>MAX(tbl_WMT[[#This Row],[Move]],0)</f>
        <v>0</v>
      </c>
      <c r="O39" s="46">
        <f>MAX(-tbl_WMT[[#This Row],[Move]],0)</f>
        <v>2.0000000000010232E-2</v>
      </c>
      <c r="P39" s="46">
        <f ca="1">IF(ROW($N39)-5&lt;RSI_Periods, "", AVERAGE(INDIRECT(ADDRESS(ROW($N39)-RSI_Periods +1, MATCH("Upmove", Price_Header,0))): INDIRECT(ADDRESS(ROW($N39),MATCH("Upmove", Price_Header,0)))))</f>
        <v>1.2357131428571424</v>
      </c>
      <c r="Q39" s="46">
        <f ca="1">IF(ROW($O39)-5&lt;RSI_Periods, "", AVERAGE(INDIRECT(ADDRESS(ROW($O39)-RSI_Periods +1, MATCH("Downmove", Price_Header,0))): INDIRECT(ADDRESS(ROW($O39),MATCH("Downmove", Price_Header,0)))))</f>
        <v>9.437856142857143</v>
      </c>
      <c r="R39" s="46">
        <f ca="1">IF(tbl_WMT[[#This Row],[Avg_Upmove]]="", "", tbl_WMT[[#This Row],[Avg_Upmove]]/tbl_WMT[[#This Row],[Avg_Downmove]])</f>
        <v>0.13093155099554762</v>
      </c>
      <c r="S39" s="11">
        <f ca="1">IF(ROW($N39)-4&lt;BB_Periods, "", _xlfn.STDEV.S(INDIRECT(ADDRESS(ROW($F39)-RSI_Periods +1, MATCH("Adj Close", Price_Header,0))): INDIRECT(ADDRESS(ROW($F39),MATCH("Adj Close", Price_Header,0)))))</f>
        <v>51.812999687915458</v>
      </c>
    </row>
    <row r="40" spans="1:19" x14ac:dyDescent="0.35">
      <c r="A40" s="8">
        <v>44103</v>
      </c>
      <c r="B40" s="48">
        <v>137.25</v>
      </c>
      <c r="C40" s="48">
        <v>138.13999999999999</v>
      </c>
      <c r="D40" s="48">
        <v>136.38999999999999</v>
      </c>
      <c r="E40" s="48">
        <v>137.13999999999999</v>
      </c>
      <c r="F40" s="48">
        <v>137.13999999999999</v>
      </c>
      <c r="G40">
        <v>9234300</v>
      </c>
      <c r="H40" s="48">
        <f>IF(tbl_WMT[[#This Row],[Date]]=$A$5, $F40, EMA_Beta*$H39 + (1-EMA_Beta)*$F40)</f>
        <v>179.95745874070275</v>
      </c>
      <c r="I40" s="50">
        <f ca="1">IF(tbl_WMT[[#This Row],[RS]]= "", "", 100-(100/(1+tbl_WMT[[#This Row],[RS]])))</f>
        <v>7.7245063208231386</v>
      </c>
      <c r="J40" s="11">
        <f ca="1">IF(ROW($N40)-4&lt;BB_Periods, "", AVERAGE(INDIRECT(ADDRESS(ROW($F40)-RSI_Periods +1, MATCH("Adj Close", Price_Header,0))): INDIRECT(ADDRESS(ROW($F40),MATCH("Adj Close", Price_Header,0)))))</f>
        <v>154.25285635714286</v>
      </c>
      <c r="K40" s="11">
        <f ca="1">IF(tbl_WMT[[#This Row],[BB_Mean]]="", "", tbl_WMT[[#This Row],[BB_Mean]]+(BB_Width*tbl_WMT[[#This Row],[BB_Stdev]]))</f>
        <v>242.68069328608476</v>
      </c>
      <c r="L40" s="11">
        <f ca="1">IF(tbl_WMT[[#This Row],[BB_Mean]]="", "", tbl_WMT[[#This Row],[BB_Mean]]-(BB_Width*tbl_WMT[[#This Row],[BB_Stdev]]))</f>
        <v>65.825019428200974</v>
      </c>
      <c r="M40" s="46">
        <f>IF(ROW(tbl_WMT[[#This Row],[Adj Close]])=5, 0, $F40-$F39)</f>
        <v>-0.11000000000001364</v>
      </c>
      <c r="N40" s="46">
        <f>MAX(tbl_WMT[[#This Row],[Move]],0)</f>
        <v>0</v>
      </c>
      <c r="O40" s="46">
        <f>MAX(-tbl_WMT[[#This Row],[Move]],0)</f>
        <v>0.11000000000001364</v>
      </c>
      <c r="P40" s="46">
        <f ca="1">IF(ROW($N40)-5&lt;RSI_Periods, "", AVERAGE(INDIRECT(ADDRESS(ROW($N40)-RSI_Periods +1, MATCH("Upmove", Price_Header,0))): INDIRECT(ADDRESS(ROW($N40),MATCH("Upmove", Price_Header,0)))))</f>
        <v>0.79071342857142823</v>
      </c>
      <c r="Q40" s="46">
        <f ca="1">IF(ROW($O40)-5&lt;RSI_Periods, "", AVERAGE(INDIRECT(ADDRESS(ROW($O40)-RSI_Periods +1, MATCH("Downmove", Price_Header,0))): INDIRECT(ADDRESS(ROW($O40),MATCH("Downmove", Price_Header,0)))))</f>
        <v>9.4457132857142874</v>
      </c>
      <c r="R40" s="46">
        <f ca="1">IF(tbl_WMT[[#This Row],[Avg_Upmove]]="", "", tbl_WMT[[#This Row],[Avg_Upmove]]/tbl_WMT[[#This Row],[Avg_Downmove]])</f>
        <v>8.3711351875067452E-2</v>
      </c>
      <c r="S40" s="11">
        <f ca="1">IF(ROW($N40)-4&lt;BB_Periods, "", _xlfn.STDEV.S(INDIRECT(ADDRESS(ROW($F40)-RSI_Periods +1, MATCH("Adj Close", Price_Header,0))): INDIRECT(ADDRESS(ROW($F40),MATCH("Adj Close", Price_Header,0)))))</f>
        <v>44.213918464470943</v>
      </c>
    </row>
    <row r="41" spans="1:19" x14ac:dyDescent="0.35">
      <c r="A41" s="8">
        <v>44104</v>
      </c>
      <c r="B41" s="48">
        <v>137.38999999999999</v>
      </c>
      <c r="C41" s="48">
        <v>141.74</v>
      </c>
      <c r="D41" s="48">
        <v>137.19999999999999</v>
      </c>
      <c r="E41" s="48">
        <v>139.91</v>
      </c>
      <c r="F41" s="48">
        <v>139.91</v>
      </c>
      <c r="G41">
        <v>11605300</v>
      </c>
      <c r="H41" s="48">
        <f>IF(tbl_WMT[[#This Row],[Date]]=$A$5, $F41, EMA_Beta*$H40 + (1-EMA_Beta)*$F41)</f>
        <v>175.95271286663245</v>
      </c>
      <c r="I41" s="50">
        <f ca="1">IF(tbl_WMT[[#This Row],[RS]]= "", "", 100-(100/(1+tbl_WMT[[#This Row],[RS]])))</f>
        <v>5.3941920884568475</v>
      </c>
      <c r="J41" s="11">
        <f ca="1">IF(ROW($N41)-4&lt;BB_Periods, "", AVERAGE(INDIRECT(ADDRESS(ROW($F41)-RSI_Periods +1, MATCH("Adj Close", Price_Header,0))): INDIRECT(ADDRESS(ROW($F41),MATCH("Adj Close", Price_Header,0)))))</f>
        <v>145.34571457142857</v>
      </c>
      <c r="K41" s="11">
        <f ca="1">IF(tbl_WMT[[#This Row],[BB_Mean]]="", "", tbl_WMT[[#This Row],[BB_Mean]]+(BB_Width*tbl_WMT[[#This Row],[BB_Stdev]]))</f>
        <v>206.93896809032904</v>
      </c>
      <c r="L41" s="11">
        <f ca="1">IF(tbl_WMT[[#This Row],[BB_Mean]]="", "", tbl_WMT[[#This Row],[BB_Mean]]-(BB_Width*tbl_WMT[[#This Row],[BB_Stdev]]))</f>
        <v>83.752461052528105</v>
      </c>
      <c r="M41" s="46">
        <f>IF(ROW(tbl_WMT[[#This Row],[Adj Close]])=5, 0, $F41-$F40)</f>
        <v>2.7700000000000102</v>
      </c>
      <c r="N41" s="46">
        <f>MAX(tbl_WMT[[#This Row],[Move]],0)</f>
        <v>2.7700000000000102</v>
      </c>
      <c r="O41" s="46">
        <f>MAX(-tbl_WMT[[#This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0.53857150000000131</v>
      </c>
      <c r="Q41" s="46">
        <f ca="1">IF(ROW($O41)-5&lt;RSI_Periods, "", AVERAGE(INDIRECT(ADDRESS(ROW($O41)-RSI_Periods +1, MATCH("Downmove", Price_Header,0))): INDIRECT(ADDRESS(ROW($O41),MATCH("Downmove", Price_Header,0)))))</f>
        <v>9.4457132857142874</v>
      </c>
      <c r="R41" s="46">
        <f ca="1">IF(tbl_WMT[[#This Row],[Avg_Upmove]]="", "", tbl_WMT[[#This Row],[Avg_Upmove]]/tbl_WMT[[#This Row],[Avg_Downmove]])</f>
        <v>5.7017557457999253E-2</v>
      </c>
      <c r="S41" s="11">
        <f ca="1">IF(ROW($N41)-4&lt;BB_Periods, "", _xlfn.STDEV.S(INDIRECT(ADDRESS(ROW($F41)-RSI_Periods +1, MATCH("Adj Close", Price_Header,0))): INDIRECT(ADDRESS(ROW($F41),MATCH("Adj Close", Price_Header,0)))))</f>
        <v>30.796626759450238</v>
      </c>
    </row>
    <row r="42" spans="1:19" x14ac:dyDescent="0.35">
      <c r="A42" s="8">
        <v>44105</v>
      </c>
      <c r="B42" s="48">
        <v>140.80000000000001</v>
      </c>
      <c r="C42" s="48">
        <v>144.38</v>
      </c>
      <c r="D42" s="48">
        <v>140.26</v>
      </c>
      <c r="E42" s="48">
        <v>143.08000000000001</v>
      </c>
      <c r="F42" s="48">
        <v>143.08000000000001</v>
      </c>
      <c r="G42">
        <v>14430300</v>
      </c>
      <c r="H42" s="48">
        <f>IF(tbl_WMT[[#This Row],[Date]]=$A$5, $F42, EMA_Beta*$H41 + (1-EMA_Beta)*$F42)</f>
        <v>172.66544157996921</v>
      </c>
      <c r="I42" s="50">
        <f ca="1">IF(tbl_WMT[[#This Row],[RS]]= "", "", 100-(100/(1+tbl_WMT[[#This Row],[RS]])))</f>
        <v>8.1993576159902375</v>
      </c>
      <c r="J42" s="11">
        <f ca="1">IF(ROW($N42)-4&lt;BB_Periods, "", AVERAGE(INDIRECT(ADDRESS(ROW($F42)-RSI_Periods +1, MATCH("Adj Close", Price_Header,0))): INDIRECT(ADDRESS(ROW($F42),MATCH("Adj Close", Price_Header,0)))))</f>
        <v>137.54571464285715</v>
      </c>
      <c r="K42" s="11">
        <f ca="1">IF(tbl_WMT[[#This Row],[BB_Mean]]="", "", tbl_WMT[[#This Row],[BB_Mean]]+(BB_Width*tbl_WMT[[#This Row],[BB_Stdev]]))</f>
        <v>141.39083737812251</v>
      </c>
      <c r="L42" s="11">
        <f ca="1">IF(tbl_WMT[[#This Row],[BB_Mean]]="", "", tbl_WMT[[#This Row],[BB_Mean]]-(BB_Width*tbl_WMT[[#This Row],[BB_Stdev]]))</f>
        <v>133.70059190759179</v>
      </c>
      <c r="M42" s="46">
        <f>IF(ROW(tbl_WMT[[#This Row],[Adj Close]])=5, 0, $F42-$F41)</f>
        <v>3.1700000000000159</v>
      </c>
      <c r="N42" s="46">
        <f>MAX(tbl_WMT[[#This Row],[Move]],0)</f>
        <v>3.1700000000000159</v>
      </c>
      <c r="O42" s="46">
        <f>MAX(-tbl_WMT[[#This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0.76500007142857385</v>
      </c>
      <c r="Q42" s="46">
        <f ca="1">IF(ROW($O42)-5&lt;RSI_Periods, "", AVERAGE(INDIRECT(ADDRESS(ROW($O42)-RSI_Periods +1, MATCH("Downmove", Price_Header,0))): INDIRECT(ADDRESS(ROW($O42),MATCH("Downmove", Price_Header,0)))))</f>
        <v>8.5650000000000013</v>
      </c>
      <c r="R42" s="46">
        <f ca="1">IF(tbl_WMT[[#This Row],[Avg_Upmove]]="", "", tbl_WMT[[#This Row],[Avg_Upmove]]/tbl_WMT[[#This Row],[Avg_Downmove]])</f>
        <v>8.9316996080393896E-2</v>
      </c>
      <c r="S42" s="11">
        <f ca="1">IF(ROW($N42)-4&lt;BB_Periods, "", _xlfn.STDEV.S(INDIRECT(ADDRESS(ROW($F42)-RSI_Periods +1, MATCH("Adj Close", Price_Header,0))): INDIRECT(ADDRESS(ROW($F42),MATCH("Adj Close", Price_Header,0)))))</f>
        <v>1.9225613676326809</v>
      </c>
    </row>
    <row r="43" spans="1:19" x14ac:dyDescent="0.35">
      <c r="A43" s="8">
        <v>44106</v>
      </c>
      <c r="B43" s="48">
        <v>142.34</v>
      </c>
      <c r="C43" s="48">
        <v>143.1</v>
      </c>
      <c r="D43" s="48">
        <v>140.13</v>
      </c>
      <c r="E43" s="48">
        <v>140.5</v>
      </c>
      <c r="F43" s="48">
        <v>140.5</v>
      </c>
      <c r="G43">
        <v>8195000</v>
      </c>
      <c r="H43" s="48">
        <f>IF(tbl_WMT[[#This Row],[Date]]=$A$5, $F43, EMA_Beta*$H42 + (1-EMA_Beta)*$F43)</f>
        <v>169.44889742197228</v>
      </c>
      <c r="I43" s="50">
        <f ca="1">IF(tbl_WMT[[#This Row],[RS]]= "", "", 100-(100/(1+tbl_WMT[[#This Row],[RS]])))</f>
        <v>58.717081773369692</v>
      </c>
      <c r="J43" s="11">
        <f ca="1">IF(ROW($N43)-4&lt;BB_Periods, "", AVERAGE(INDIRECT(ADDRESS(ROW($F43)-RSI_Periods +1, MATCH("Adj Close", Price_Header,0))): INDIRECT(ADDRESS(ROW($F43),MATCH("Adj Close", Price_Header,0)))))</f>
        <v>137.77285700000002</v>
      </c>
      <c r="K43" s="11">
        <f ca="1">IF(tbl_WMT[[#This Row],[BB_Mean]]="", "", tbl_WMT[[#This Row],[BB_Mean]]+(BB_Width*tbl_WMT[[#This Row],[BB_Stdev]]))</f>
        <v>141.92406426409318</v>
      </c>
      <c r="L43" s="11">
        <f ca="1">IF(tbl_WMT[[#This Row],[BB_Mean]]="", "", tbl_WMT[[#This Row],[BB_Mean]]-(BB_Width*tbl_WMT[[#This Row],[BB_Stdev]]))</f>
        <v>133.62164973590686</v>
      </c>
      <c r="M43" s="46">
        <f>IF(ROW(tbl_WMT[[#This Row],[Adj Close]])=5, 0, $F43-$F42)</f>
        <v>-2.5800000000000125</v>
      </c>
      <c r="N43" s="46">
        <f>MAX(tbl_WMT[[#This Row],[Move]],0)</f>
        <v>0</v>
      </c>
      <c r="O43" s="46">
        <f>MAX(-tbl_WMT[[#This Row],[Move]],0)</f>
        <v>2.5800000000000125</v>
      </c>
      <c r="P43" s="46">
        <f ca="1">IF(ROW($N43)-5&lt;RSI_Periods, "", AVERAGE(INDIRECT(ADDRESS(ROW($N43)-RSI_Periods +1, MATCH("Upmove", Price_Header,0))): INDIRECT(ADDRESS(ROW($N43),MATCH("Upmove", Price_Header,0)))))</f>
        <v>0.76500007142857385</v>
      </c>
      <c r="Q43" s="46">
        <f ca="1">IF(ROW($O43)-5&lt;RSI_Periods, "", AVERAGE(INDIRECT(ADDRESS(ROW($O43)-RSI_Periods +1, MATCH("Downmove", Price_Header,0))): INDIRECT(ADDRESS(ROW($O43),MATCH("Downmove", Price_Header,0)))))</f>
        <v>0.53785771428571694</v>
      </c>
      <c r="R43" s="46">
        <f ca="1">IF(tbl_WMT[[#This Row],[Avg_Upmove]]="", "", tbl_WMT[[#This Row],[Avg_Upmove]]/tbl_WMT[[#This Row],[Avg_Downmove]])</f>
        <v>1.4223093786885725</v>
      </c>
      <c r="S43" s="11">
        <f ca="1">IF(ROW($N43)-4&lt;BB_Periods, "", _xlfn.STDEV.S(INDIRECT(ADDRESS(ROW($F43)-RSI_Periods +1, MATCH("Adj Close", Price_Header,0))): INDIRECT(ADDRESS(ROW($F43),MATCH("Adj Close", Price_Header,0)))))</f>
        <v>2.0756036320465756</v>
      </c>
    </row>
    <row r="44" spans="1:19" x14ac:dyDescent="0.35">
      <c r="A44" s="8">
        <v>44109</v>
      </c>
      <c r="B44" s="48">
        <v>141.29</v>
      </c>
      <c r="C44" s="48">
        <v>142.19</v>
      </c>
      <c r="D44" s="48">
        <v>141.07</v>
      </c>
      <c r="E44" s="48">
        <v>141.80000000000001</v>
      </c>
      <c r="F44" s="48">
        <v>141.80000000000001</v>
      </c>
      <c r="G44">
        <v>4748800</v>
      </c>
      <c r="H44" s="48">
        <f>IF(tbl_WMT[[#This Row],[Date]]=$A$5, $F44, EMA_Beta*$H43 + (1-EMA_Beta)*$F44)</f>
        <v>166.68400767977505</v>
      </c>
      <c r="I44" s="50">
        <f ca="1">IF(tbl_WMT[[#This Row],[RS]]= "", "", 100-(100/(1+tbl_WMT[[#This Row],[RS]])))</f>
        <v>61.384604063125039</v>
      </c>
      <c r="J44" s="11">
        <f ca="1">IF(ROW($N44)-4&lt;BB_Periods, "", AVERAGE(INDIRECT(ADDRESS(ROW($F44)-RSI_Periods +1, MATCH("Adj Close", Price_Header,0))): INDIRECT(ADDRESS(ROW($F44),MATCH("Adj Close", Price_Header,0)))))</f>
        <v>138.0899997857143</v>
      </c>
      <c r="K44" s="11">
        <f ca="1">IF(tbl_WMT[[#This Row],[BB_Mean]]="", "", tbl_WMT[[#This Row],[BB_Mean]]+(BB_Width*tbl_WMT[[#This Row],[BB_Stdev]]))</f>
        <v>142.75228752722319</v>
      </c>
      <c r="L44" s="11">
        <f ca="1">IF(tbl_WMT[[#This Row],[BB_Mean]]="", "", tbl_WMT[[#This Row],[BB_Mean]]-(BB_Width*tbl_WMT[[#This Row],[BB_Stdev]]))</f>
        <v>133.42771204420541</v>
      </c>
      <c r="M44" s="46">
        <f>IF(ROW(tbl_WMT[[#This Row],[Adj Close]])=5, 0, $F44-$F43)</f>
        <v>1.3000000000000114</v>
      </c>
      <c r="N44" s="46">
        <f>MAX(tbl_WMT[[#This Row],[Move]],0)</f>
        <v>1.3000000000000114</v>
      </c>
      <c r="O44" s="46">
        <f>MAX(-tbl_WMT[[#This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0.85500050000000272</v>
      </c>
      <c r="Q44" s="46">
        <f ca="1">IF(ROW($O44)-5&lt;RSI_Periods, "", AVERAGE(INDIRECT(ADDRESS(ROW($O44)-RSI_Periods +1, MATCH("Downmove", Price_Header,0))): INDIRECT(ADDRESS(ROW($O44),MATCH("Downmove", Price_Header,0)))))</f>
        <v>0.53785771428571694</v>
      </c>
      <c r="R44" s="46">
        <f ca="1">IF(tbl_WMT[[#This Row],[Avg_Upmove]]="", "", tbl_WMT[[#This Row],[Avg_Upmove]]/tbl_WMT[[#This Row],[Avg_Downmove]])</f>
        <v>1.5896406750165444</v>
      </c>
      <c r="S44" s="11">
        <f ca="1">IF(ROW($N44)-4&lt;BB_Periods, "", _xlfn.STDEV.S(INDIRECT(ADDRESS(ROW($F44)-RSI_Periods +1, MATCH("Adj Close", Price_Header,0))): INDIRECT(ADDRESS(ROW($F44),MATCH("Adj Close", Price_Header,0)))))</f>
        <v>2.3311438707544521</v>
      </c>
    </row>
    <row r="45" spans="1:19" x14ac:dyDescent="0.35">
      <c r="A45" s="8">
        <v>44110</v>
      </c>
      <c r="B45" s="48">
        <v>141.87</v>
      </c>
      <c r="C45" s="48">
        <v>142.94</v>
      </c>
      <c r="D45" s="48">
        <v>140.25</v>
      </c>
      <c r="E45" s="48">
        <v>140.63</v>
      </c>
      <c r="F45" s="48">
        <v>140.63</v>
      </c>
      <c r="G45">
        <v>7158500</v>
      </c>
      <c r="H45" s="48">
        <f>IF(tbl_WMT[[#This Row],[Date]]=$A$5, $F45, EMA_Beta*$H44 + (1-EMA_Beta)*$F45)</f>
        <v>164.07860691179755</v>
      </c>
      <c r="I45" s="50">
        <f ca="1">IF(tbl_WMT[[#This Row],[RS]]= "", "", 100-(100/(1+tbl_WMT[[#This Row],[RS]])))</f>
        <v>61.165056183673627</v>
      </c>
      <c r="J45" s="11">
        <f ca="1">IF(ROW($N45)-4&lt;BB_Periods, "", AVERAGE(INDIRECT(ADDRESS(ROW($F45)-RSI_Periods +1, MATCH("Adj Close", Price_Header,0))): INDIRECT(ADDRESS(ROW($F45),MATCH("Adj Close", Price_Header,0)))))</f>
        <v>138.402143</v>
      </c>
      <c r="K45" s="11">
        <f ca="1">IF(tbl_WMT[[#This Row],[BB_Mean]]="", "", tbl_WMT[[#This Row],[BB_Mean]]+(BB_Width*tbl_WMT[[#This Row],[BB_Stdev]]))</f>
        <v>143.12145288650208</v>
      </c>
      <c r="L45" s="11">
        <f ca="1">IF(tbl_WMT[[#This Row],[BB_Mean]]="", "", tbl_WMT[[#This Row],[BB_Mean]]-(BB_Width*tbl_WMT[[#This Row],[BB_Stdev]]))</f>
        <v>133.68283311349791</v>
      </c>
      <c r="M45" s="46">
        <f>IF(ROW(tbl_WMT[[#This Row],[Adj Close]])=5, 0, $F45-$F44)</f>
        <v>-1.1700000000000159</v>
      </c>
      <c r="N45" s="46">
        <f>MAX(tbl_WMT[[#This Row],[Move]],0)</f>
        <v>0</v>
      </c>
      <c r="O45" s="46">
        <f>MAX(-tbl_WMT[[#This Row],[Move]],0)</f>
        <v>1.1700000000000159</v>
      </c>
      <c r="P45" s="46">
        <f ca="1">IF(ROW($N45)-5&lt;RSI_Periods, "", AVERAGE(INDIRECT(ADDRESS(ROW($N45)-RSI_Periods +1, MATCH("Upmove", Price_Header,0))): INDIRECT(ADDRESS(ROW($N45),MATCH("Upmove", Price_Header,0)))))</f>
        <v>0.85500050000000272</v>
      </c>
      <c r="Q45" s="46">
        <f ca="1">IF(ROW($O45)-5&lt;RSI_Periods, "", AVERAGE(INDIRECT(ADDRESS(ROW($O45)-RSI_Periods +1, MATCH("Downmove", Price_Header,0))): INDIRECT(ADDRESS(ROW($O45),MATCH("Downmove", Price_Header,0)))))</f>
        <v>0.54285728571428904</v>
      </c>
      <c r="R45" s="46">
        <f ca="1">IF(tbl_WMT[[#This Row],[Avg_Upmove]]="", "", tbl_WMT[[#This Row],[Avg_Upmove]]/tbl_WMT[[#This Row],[Avg_Downmove]])</f>
        <v>1.5750005065788095</v>
      </c>
      <c r="S45" s="11">
        <f ca="1">IF(ROW($N45)-4&lt;BB_Periods, "", _xlfn.STDEV.S(INDIRECT(ADDRESS(ROW($F45)-RSI_Periods +1, MATCH("Adj Close", Price_Header,0))): INDIRECT(ADDRESS(ROW($F45),MATCH("Adj Close", Price_Header,0)))))</f>
        <v>2.3596549432510461</v>
      </c>
    </row>
    <row r="46" spans="1:19" x14ac:dyDescent="0.35">
      <c r="A46" s="8">
        <v>44111</v>
      </c>
      <c r="B46" s="48">
        <v>141.26</v>
      </c>
      <c r="C46" s="48">
        <v>141.55000000000001</v>
      </c>
      <c r="D46" s="48">
        <v>140.25</v>
      </c>
      <c r="E46" s="48">
        <v>140.88999999999999</v>
      </c>
      <c r="F46" s="48">
        <v>140.88999999999999</v>
      </c>
      <c r="G46">
        <v>5649700</v>
      </c>
      <c r="H46" s="48">
        <f>IF(tbl_WMT[[#This Row],[Date]]=$A$5, $F46, EMA_Beta*$H45 + (1-EMA_Beta)*$F46)</f>
        <v>161.75974622061779</v>
      </c>
      <c r="I46" s="50">
        <f ca="1">IF(tbl_WMT[[#This Row],[RS]]= "", "", 100-(100/(1+tbl_WMT[[#This Row],[RS]])))</f>
        <v>60.824735997449828</v>
      </c>
      <c r="J46" s="11">
        <f ca="1">IF(ROW($N46)-4&lt;BB_Periods, "", AVERAGE(INDIRECT(ADDRESS(ROW($F46)-RSI_Periods +1, MATCH("Adj Close", Price_Header,0))): INDIRECT(ADDRESS(ROW($F46),MATCH("Adj Close", Price_Header,0)))))</f>
        <v>138.70214285714286</v>
      </c>
      <c r="K46" s="11">
        <f ca="1">IF(tbl_WMT[[#This Row],[BB_Mean]]="", "", tbl_WMT[[#This Row],[BB_Mean]]+(BB_Width*tbl_WMT[[#This Row],[BB_Stdev]]))</f>
        <v>143.48614297658864</v>
      </c>
      <c r="L46" s="11">
        <f ca="1">IF(tbl_WMT[[#This Row],[BB_Mean]]="", "", tbl_WMT[[#This Row],[BB_Mean]]-(BB_Width*tbl_WMT[[#This Row],[BB_Stdev]]))</f>
        <v>133.91814273769708</v>
      </c>
      <c r="M46" s="46">
        <f>IF(ROW(tbl_WMT[[#This Row],[Adj Close]])=5, 0, $F46-$F45)</f>
        <v>0.25999999999999091</v>
      </c>
      <c r="N46" s="46">
        <f>MAX(tbl_WMT[[#This Row],[Move]],0)</f>
        <v>0.25999999999999091</v>
      </c>
      <c r="O46" s="46">
        <f>MAX(-tbl_WMT[[#This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0.84285714285714575</v>
      </c>
      <c r="Q46" s="46">
        <f ca="1">IF(ROW($O46)-5&lt;RSI_Periods, "", AVERAGE(INDIRECT(ADDRESS(ROW($O46)-RSI_Periods +1, MATCH("Downmove", Price_Header,0))): INDIRECT(ADDRESS(ROW($O46),MATCH("Downmove", Price_Header,0)))))</f>
        <v>0.54285728571428904</v>
      </c>
      <c r="R46" s="46">
        <f ca="1">IF(tbl_WMT[[#This Row],[Avg_Upmove]]="", "", tbl_WMT[[#This Row],[Avg_Upmove]]/tbl_WMT[[#This Row],[Avg_Downmove]])</f>
        <v>1.552631170360214</v>
      </c>
      <c r="S46" s="11">
        <f ca="1">IF(ROW($N46)-4&lt;BB_Periods, "", _xlfn.STDEV.S(INDIRECT(ADDRESS(ROW($F46)-RSI_Periods +1, MATCH("Adj Close", Price_Header,0))): INDIRECT(ADDRESS(ROW($F46),MATCH("Adj Close", Price_Header,0)))))</f>
        <v>2.3920000597228879</v>
      </c>
    </row>
    <row r="47" spans="1:19" x14ac:dyDescent="0.35">
      <c r="A47" s="8">
        <v>44112</v>
      </c>
      <c r="B47" s="48">
        <v>141.51</v>
      </c>
      <c r="C47" s="48">
        <v>142.09</v>
      </c>
      <c r="D47" s="48">
        <v>141.12</v>
      </c>
      <c r="E47" s="48">
        <v>141.36000000000001</v>
      </c>
      <c r="F47" s="48">
        <v>141.36000000000001</v>
      </c>
      <c r="G47">
        <v>4892300</v>
      </c>
      <c r="H47" s="48">
        <f>IF(tbl_WMT[[#This Row],[Date]]=$A$5, $F47, EMA_Beta*$H46 + (1-EMA_Beta)*$F47)</f>
        <v>159.71977159855601</v>
      </c>
      <c r="I47" s="50">
        <f ca="1">IF(tbl_WMT[[#This Row],[RS]]= "", "", 100-(100/(1+tbl_WMT[[#This Row],[RS]])))</f>
        <v>66.432051976177547</v>
      </c>
      <c r="J47" s="11">
        <f ca="1">IF(ROW($N47)-4&lt;BB_Periods, "", AVERAGE(INDIRECT(ADDRESS(ROW($F47)-RSI_Periods +1, MATCH("Adj Close", Price_Header,0))): INDIRECT(ADDRESS(ROW($F47),MATCH("Adj Close", Price_Header,0)))))</f>
        <v>139.13571428571427</v>
      </c>
      <c r="K47" s="11">
        <f ca="1">IF(tbl_WMT[[#This Row],[BB_Mean]]="", "", tbl_WMT[[#This Row],[BB_Mean]]+(BB_Width*tbl_WMT[[#This Row],[BB_Stdev]]))</f>
        <v>143.68193309858563</v>
      </c>
      <c r="L47" s="11">
        <f ca="1">IF(tbl_WMT[[#This Row],[BB_Mean]]="", "", tbl_WMT[[#This Row],[BB_Mean]]-(BB_Width*tbl_WMT[[#This Row],[BB_Stdev]]))</f>
        <v>134.58949547284291</v>
      </c>
      <c r="M47" s="46">
        <f>IF(ROW(tbl_WMT[[#This Row],[Adj Close]])=5, 0, $F47-$F46)</f>
        <v>0.47000000000002728</v>
      </c>
      <c r="N47" s="46">
        <f>MAX(tbl_WMT[[#This Row],[Move]],0)</f>
        <v>0.47000000000002728</v>
      </c>
      <c r="O47" s="46">
        <f>MAX(-tbl_WMT[[#This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0.87642857142857622</v>
      </c>
      <c r="Q47" s="46">
        <f ca="1">IF(ROW($O47)-5&lt;RSI_Periods, "", AVERAGE(INDIRECT(ADDRESS(ROW($O47)-RSI_Periods +1, MATCH("Downmove", Price_Header,0))): INDIRECT(ADDRESS(ROW($O47),MATCH("Downmove", Price_Header,0)))))</f>
        <v>0.44285714285714611</v>
      </c>
      <c r="R47" s="46">
        <f ca="1">IF(tbl_WMT[[#This Row],[Avg_Upmove]]="", "", tbl_WMT[[#This Row],[Avg_Upmove]]/tbl_WMT[[#This Row],[Avg_Downmove]])</f>
        <v>1.9790322580645123</v>
      </c>
      <c r="S47" s="11">
        <f ca="1">IF(ROW($N47)-4&lt;BB_Periods, "", _xlfn.STDEV.S(INDIRECT(ADDRESS(ROW($F47)-RSI_Periods +1, MATCH("Adj Close", Price_Header,0))): INDIRECT(ADDRESS(ROW($F47),MATCH("Adj Close", Price_Header,0)))))</f>
        <v>2.273109406435684</v>
      </c>
    </row>
    <row r="48" spans="1:19" x14ac:dyDescent="0.35">
      <c r="A48" s="8">
        <v>44113</v>
      </c>
      <c r="B48" s="48">
        <v>141.66</v>
      </c>
      <c r="C48" s="48">
        <v>143.34</v>
      </c>
      <c r="D48" s="48">
        <v>141.56</v>
      </c>
      <c r="E48" s="48">
        <v>142.78</v>
      </c>
      <c r="F48" s="48">
        <v>142.78</v>
      </c>
      <c r="G48">
        <v>4824800</v>
      </c>
      <c r="H48" s="48">
        <f>IF(tbl_WMT[[#This Row],[Date]]=$A$5, $F48, EMA_Beta*$H47 + (1-EMA_Beta)*$F48)</f>
        <v>158.02579443870042</v>
      </c>
      <c r="I48" s="50">
        <f ca="1">IF(tbl_WMT[[#This Row],[RS]]= "", "", 100-(100/(1+tbl_WMT[[#This Row],[RS]])))</f>
        <v>65.764770844837045</v>
      </c>
      <c r="J48" s="11">
        <f ca="1">IF(ROW($N48)-4&lt;BB_Periods, "", AVERAGE(INDIRECT(ADDRESS(ROW($F48)-RSI_Periods +1, MATCH("Adj Close", Price_Header,0))): INDIRECT(ADDRESS(ROW($F48),MATCH("Adj Close", Price_Header,0)))))</f>
        <v>139.54357142857143</v>
      </c>
      <c r="K48" s="11">
        <f ca="1">IF(tbl_WMT[[#This Row],[BB_Mean]]="", "", tbl_WMT[[#This Row],[BB_Mean]]+(BB_Width*tbl_WMT[[#This Row],[BB_Stdev]]))</f>
        <v>144.31064185384946</v>
      </c>
      <c r="L48" s="11">
        <f ca="1">IF(tbl_WMT[[#This Row],[BB_Mean]]="", "", tbl_WMT[[#This Row],[BB_Mean]]-(BB_Width*tbl_WMT[[#This Row],[BB_Stdev]]))</f>
        <v>134.77650100329339</v>
      </c>
      <c r="M48" s="46">
        <f>IF(ROW(tbl_WMT[[#This Row],[Adj Close]])=5, 0, $F48-$F47)</f>
        <v>1.4199999999999875</v>
      </c>
      <c r="N48" s="46">
        <f>MAX(tbl_WMT[[#This Row],[Move]],0)</f>
        <v>1.4199999999999875</v>
      </c>
      <c r="O48" s="46">
        <f>MAX(-tbl_WMT[[#This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0.85071428571428953</v>
      </c>
      <c r="Q48" s="46">
        <f ca="1">IF(ROW($O48)-5&lt;RSI_Periods, "", AVERAGE(INDIRECT(ADDRESS(ROW($O48)-RSI_Periods +1, MATCH("Downmove", Price_Header,0))): INDIRECT(ADDRESS(ROW($O48),MATCH("Downmove", Price_Header,0)))))</f>
        <v>0.44285714285714611</v>
      </c>
      <c r="R48" s="46">
        <f ca="1">IF(tbl_WMT[[#This Row],[Avg_Upmove]]="", "", tbl_WMT[[#This Row],[Avg_Upmove]]/tbl_WMT[[#This Row],[Avg_Downmove]])</f>
        <v>1.9209677419354783</v>
      </c>
      <c r="S48" s="11">
        <f ca="1">IF(ROW($N48)-4&lt;BB_Periods, "", _xlfn.STDEV.S(INDIRECT(ADDRESS(ROW($F48)-RSI_Periods +1, MATCH("Adj Close", Price_Header,0))): INDIRECT(ADDRESS(ROW($F48),MATCH("Adj Close", Price_Header,0)))))</f>
        <v>2.3835352126390164</v>
      </c>
    </row>
    <row r="49" spans="1:19" x14ac:dyDescent="0.35">
      <c r="A49" s="8">
        <v>44116</v>
      </c>
      <c r="B49" s="48">
        <v>143.02000000000001</v>
      </c>
      <c r="C49" s="48">
        <v>145.38999999999999</v>
      </c>
      <c r="D49" s="48">
        <v>143.02000000000001</v>
      </c>
      <c r="E49" s="48">
        <v>144.25</v>
      </c>
      <c r="F49" s="48">
        <v>144.25</v>
      </c>
      <c r="G49">
        <v>6134100</v>
      </c>
      <c r="H49" s="48">
        <f>IF(tbl_WMT[[#This Row],[Date]]=$A$5, $F49, EMA_Beta*$H48 + (1-EMA_Beta)*$F49)</f>
        <v>156.64821499483037</v>
      </c>
      <c r="I49" s="50">
        <f ca="1">IF(tbl_WMT[[#This Row],[RS]]= "", "", 100-(100/(1+tbl_WMT[[#This Row],[RS]])))</f>
        <v>66.194111232279084</v>
      </c>
      <c r="J49" s="11">
        <f ca="1">IF(ROW($N49)-4&lt;BB_Periods, "", AVERAGE(INDIRECT(ADDRESS(ROW($F49)-RSI_Periods +1, MATCH("Adj Close", Price_Header,0))): INDIRECT(ADDRESS(ROW($F49),MATCH("Adj Close", Price_Header,0)))))</f>
        <v>139.96785714285713</v>
      </c>
      <c r="K49" s="11">
        <f ca="1">IF(tbl_WMT[[#This Row],[BB_Mean]]="", "", tbl_WMT[[#This Row],[BB_Mean]]+(BB_Width*tbl_WMT[[#This Row],[BB_Stdev]]))</f>
        <v>145.28733183393433</v>
      </c>
      <c r="L49" s="11">
        <f ca="1">IF(tbl_WMT[[#This Row],[BB_Mean]]="", "", tbl_WMT[[#This Row],[BB_Mean]]-(BB_Width*tbl_WMT[[#This Row],[BB_Stdev]]))</f>
        <v>134.64838245177992</v>
      </c>
      <c r="M49" s="46">
        <f>IF(ROW(tbl_WMT[[#This Row],[Adj Close]])=5, 0, $F49-$F48)</f>
        <v>1.4699999999999989</v>
      </c>
      <c r="N49" s="46">
        <f>MAX(tbl_WMT[[#This Row],[Move]],0)</f>
        <v>1.4699999999999989</v>
      </c>
      <c r="O49" s="46">
        <f>MAX(-tbl_WMT[[#This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0.86714285714286021</v>
      </c>
      <c r="Q49" s="46">
        <f ca="1">IF(ROW($O49)-5&lt;RSI_Periods, "", AVERAGE(INDIRECT(ADDRESS(ROW($O49)-RSI_Periods +1, MATCH("Downmove", Price_Header,0))): INDIRECT(ADDRESS(ROW($O49),MATCH("Downmove", Price_Header,0)))))</f>
        <v>0.44285714285714611</v>
      </c>
      <c r="R49" s="46">
        <f ca="1">IF(tbl_WMT[[#This Row],[Avg_Upmove]]="", "", tbl_WMT[[#This Row],[Avg_Upmove]]/tbl_WMT[[#This Row],[Avg_Downmove]])</f>
        <v>1.9580645161290249</v>
      </c>
      <c r="S49" s="11">
        <f ca="1">IF(ROW($N49)-4&lt;BB_Periods, "", _xlfn.STDEV.S(INDIRECT(ADDRESS(ROW($F49)-RSI_Periods +1, MATCH("Adj Close", Price_Header,0))): INDIRECT(ADDRESS(ROW($F49),MATCH("Adj Close", Price_Header,0)))))</f>
        <v>2.6597373455386077</v>
      </c>
    </row>
    <row r="50" spans="1:19" x14ac:dyDescent="0.35">
      <c r="A50" s="8">
        <v>44117</v>
      </c>
      <c r="B50" s="48">
        <v>144.68</v>
      </c>
      <c r="C50" s="48">
        <v>146.6</v>
      </c>
      <c r="D50" s="48">
        <v>144.36000000000001</v>
      </c>
      <c r="E50" s="48">
        <v>146.22999999999999</v>
      </c>
      <c r="F50" s="48">
        <v>146.22999999999999</v>
      </c>
      <c r="G50">
        <v>7933400</v>
      </c>
      <c r="H50" s="48">
        <f>IF(tbl_WMT[[#This Row],[Date]]=$A$5, $F50, EMA_Beta*$H49 + (1-EMA_Beta)*$F50)</f>
        <v>155.60639349534733</v>
      </c>
      <c r="I50" s="50">
        <f ca="1">IF(tbl_WMT[[#This Row],[RS]]= "", "", 100-(100/(1+tbl_WMT[[#This Row],[RS]])))</f>
        <v>78.444444444444258</v>
      </c>
      <c r="J50" s="11">
        <f ca="1">IF(ROW($N50)-4&lt;BB_Periods, "", AVERAGE(INDIRECT(ADDRESS(ROW($F50)-RSI_Periods +1, MATCH("Adj Close", Price_Header,0))): INDIRECT(ADDRESS(ROW($F50),MATCH("Adj Close", Price_Header,0)))))</f>
        <v>140.69928571428574</v>
      </c>
      <c r="K50" s="11">
        <f ca="1">IF(tbl_WMT[[#This Row],[BB_Mean]]="", "", tbl_WMT[[#This Row],[BB_Mean]]+(BB_Width*tbl_WMT[[#This Row],[BB_Stdev]]))</f>
        <v>146.46031908465477</v>
      </c>
      <c r="L50" s="11">
        <f ca="1">IF(tbl_WMT[[#This Row],[BB_Mean]]="", "", tbl_WMT[[#This Row],[BB_Mean]]-(BB_Width*tbl_WMT[[#This Row],[BB_Stdev]]))</f>
        <v>134.9382523439167</v>
      </c>
      <c r="M50" s="46">
        <f>IF(ROW(tbl_WMT[[#This Row],[Adj Close]])=5, 0, $F50-$F49)</f>
        <v>1.9799999999999898</v>
      </c>
      <c r="N50" s="46">
        <f>MAX(tbl_WMT[[#This Row],[Move]],0)</f>
        <v>1.9799999999999898</v>
      </c>
      <c r="O50" s="46">
        <f>MAX(-tbl_WMT[[#This Row],[Move]],0)</f>
        <v>0</v>
      </c>
      <c r="P50" s="46">
        <f ca="1">IF(ROW($N50)-5&lt;RSI_Periods, "", AVERAGE(INDIRECT(ADDRESS(ROW($N50)-RSI_Periods +1, MATCH("Upmove", Price_Header,0))): INDIRECT(ADDRESS(ROW($N50),MATCH("Upmove", Price_Header,0)))))</f>
        <v>1.0085714285714309</v>
      </c>
      <c r="Q50" s="46">
        <f ca="1">IF(ROW($O50)-5&lt;RSI_Periods, "", AVERAGE(INDIRECT(ADDRESS(ROW($O50)-RSI_Periods +1, MATCH("Downmove", Price_Header,0))): INDIRECT(ADDRESS(ROW($O50),MATCH("Downmove", Price_Header,0)))))</f>
        <v>0.27714285714286085</v>
      </c>
      <c r="R50" s="46">
        <f ca="1">IF(tbl_WMT[[#This Row],[Avg_Upmove]]="", "", tbl_WMT[[#This Row],[Avg_Upmove]]/tbl_WMT[[#This Row],[Avg_Downmove]])</f>
        <v>3.6391752577319183</v>
      </c>
      <c r="S50" s="11">
        <f ca="1">IF(ROW($N50)-4&lt;BB_Periods, "", _xlfn.STDEV.S(INDIRECT(ADDRESS(ROW($F50)-RSI_Periods +1, MATCH("Adj Close", Price_Header,0))): INDIRECT(ADDRESS(ROW($F50),MATCH("Adj Close", Price_Header,0)))))</f>
        <v>2.8805166851845141</v>
      </c>
    </row>
    <row r="51" spans="1:19" x14ac:dyDescent="0.35">
      <c r="A51" s="8">
        <v>44118</v>
      </c>
      <c r="B51" s="48">
        <v>146.4</v>
      </c>
      <c r="C51" s="48">
        <v>146.53</v>
      </c>
      <c r="D51" s="48">
        <v>143.76</v>
      </c>
      <c r="E51" s="48">
        <v>143.94</v>
      </c>
      <c r="F51" s="48">
        <v>143.94</v>
      </c>
      <c r="G51">
        <v>6574100</v>
      </c>
      <c r="H51" s="48">
        <f>IF(tbl_WMT[[#This Row],[Date]]=$A$5, $F51, EMA_Beta*$H50 + (1-EMA_Beta)*$F51)</f>
        <v>154.4397541458126</v>
      </c>
      <c r="I51" s="50">
        <f ca="1">IF(tbl_WMT[[#This Row],[RS]]= "", "", 100-(100/(1+tbl_WMT[[#This Row],[RS]])))</f>
        <v>68.48825331971392</v>
      </c>
      <c r="J51" s="11">
        <f ca="1">IF(ROW($N51)-4&lt;BB_Periods, "", AVERAGE(INDIRECT(ADDRESS(ROW($F51)-RSI_Periods +1, MATCH("Adj Close", Price_Header,0))): INDIRECT(ADDRESS(ROW($F51),MATCH("Adj Close", Price_Header,0)))))</f>
        <v>141.21642857142857</v>
      </c>
      <c r="K51" s="11">
        <f ca="1">IF(tbl_WMT[[#This Row],[BB_Mean]]="", "", tbl_WMT[[#This Row],[BB_Mean]]+(BB_Width*tbl_WMT[[#This Row],[BB_Stdev]]))</f>
        <v>146.72529475181511</v>
      </c>
      <c r="L51" s="11">
        <f ca="1">IF(tbl_WMT[[#This Row],[BB_Mean]]="", "", tbl_WMT[[#This Row],[BB_Mean]]-(BB_Width*tbl_WMT[[#This Row],[BB_Stdev]]))</f>
        <v>135.70756239104202</v>
      </c>
      <c r="M51" s="46">
        <f>IF(ROW(tbl_WMT[[#This Row],[Adj Close]])=5, 0, $F51-$F50)</f>
        <v>-2.289999999999992</v>
      </c>
      <c r="N51" s="46">
        <f>MAX(tbl_WMT[[#This Row],[Move]],0)</f>
        <v>0</v>
      </c>
      <c r="O51" s="46">
        <f>MAX(-tbl_WMT[[#This Row],[Move]],0)</f>
        <v>2.289999999999992</v>
      </c>
      <c r="P51" s="46">
        <f ca="1">IF(ROW($N51)-5&lt;RSI_Periods, "", AVERAGE(INDIRECT(ADDRESS(ROW($N51)-RSI_Periods +1, MATCH("Upmove", Price_Header,0))): INDIRECT(ADDRESS(ROW($N51),MATCH("Upmove", Price_Header,0)))))</f>
        <v>0.95785714285714663</v>
      </c>
      <c r="Q51" s="46">
        <f ca="1">IF(ROW($O51)-5&lt;RSI_Periods, "", AVERAGE(INDIRECT(ADDRESS(ROW($O51)-RSI_Periods +1, MATCH("Downmove", Price_Header,0))): INDIRECT(ADDRESS(ROW($O51),MATCH("Downmove", Price_Header,0)))))</f>
        <v>0.44071428571428889</v>
      </c>
      <c r="R51" s="46">
        <f ca="1">IF(tbl_WMT[[#This Row],[Avg_Upmove]]="", "", tbl_WMT[[#This Row],[Avg_Upmove]]/tbl_WMT[[#This Row],[Avg_Downmove]])</f>
        <v>2.1734197730956168</v>
      </c>
      <c r="S51" s="11">
        <f ca="1">IF(ROW($N51)-4&lt;BB_Periods, "", _xlfn.STDEV.S(INDIRECT(ADDRESS(ROW($F51)-RSI_Periods +1, MATCH("Adj Close", Price_Header,0))): INDIRECT(ADDRESS(ROW($F51),MATCH("Adj Close", Price_Header,0)))))</f>
        <v>2.7544330901932703</v>
      </c>
    </row>
    <row r="52" spans="1:19" x14ac:dyDescent="0.35">
      <c r="A52" s="8">
        <v>44119</v>
      </c>
      <c r="B52" s="48">
        <v>143.09</v>
      </c>
      <c r="C52" s="48">
        <v>144.96</v>
      </c>
      <c r="D52" s="48">
        <v>142.84</v>
      </c>
      <c r="E52" s="48">
        <v>144.53</v>
      </c>
      <c r="F52" s="48">
        <v>144.53</v>
      </c>
      <c r="G52">
        <v>4564200</v>
      </c>
      <c r="H52" s="48">
        <f>IF(tbl_WMT[[#This Row],[Date]]=$A$5, $F52, EMA_Beta*$H51 + (1-EMA_Beta)*$F52)</f>
        <v>153.44877873123136</v>
      </c>
      <c r="I52" s="50">
        <f ca="1">IF(tbl_WMT[[#This Row],[RS]]= "", "", 100-(100/(1+tbl_WMT[[#This Row],[RS]])))</f>
        <v>68.520408163265216</v>
      </c>
      <c r="J52" s="11">
        <f ca="1">IF(ROW($N52)-4&lt;BB_Periods, "", AVERAGE(INDIRECT(ADDRESS(ROW($F52)-RSI_Periods +1, MATCH("Adj Close", Price_Header,0))): INDIRECT(ADDRESS(ROW($F52),MATCH("Adj Close", Price_Header,0)))))</f>
        <v>141.73499999999999</v>
      </c>
      <c r="K52" s="11">
        <f ca="1">IF(tbl_WMT[[#This Row],[BB_Mean]]="", "", tbl_WMT[[#This Row],[BB_Mean]]+(BB_Width*tbl_WMT[[#This Row],[BB_Stdev]]))</f>
        <v>147.00524594375747</v>
      </c>
      <c r="L52" s="11">
        <f ca="1">IF(tbl_WMT[[#This Row],[BB_Mean]]="", "", tbl_WMT[[#This Row],[BB_Mean]]-(BB_Width*tbl_WMT[[#This Row],[BB_Stdev]]))</f>
        <v>136.4647540562425</v>
      </c>
      <c r="M52" s="46">
        <f>IF(ROW(tbl_WMT[[#This Row],[Adj Close]])=5, 0, $F52-$F51)</f>
        <v>0.59000000000000341</v>
      </c>
      <c r="N52" s="46">
        <f>MAX(tbl_WMT[[#This Row],[Move]],0)</f>
        <v>0.59000000000000341</v>
      </c>
      <c r="O52" s="46">
        <f>MAX(-tbl_WMT[[#This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0.95928571428571685</v>
      </c>
      <c r="Q52" s="46">
        <f ca="1">IF(ROW($O52)-5&lt;RSI_Periods, "", AVERAGE(INDIRECT(ADDRESS(ROW($O52)-RSI_Periods +1, MATCH("Downmove", Price_Header,0))): INDIRECT(ADDRESS(ROW($O52),MATCH("Downmove", Price_Header,0)))))</f>
        <v>0.44071428571428889</v>
      </c>
      <c r="R52" s="46">
        <f ca="1">IF(tbl_WMT[[#This Row],[Avg_Upmove]]="", "", tbl_WMT[[#This Row],[Avg_Upmove]]/tbl_WMT[[#This Row],[Avg_Downmove]])</f>
        <v>2.1766612641815137</v>
      </c>
      <c r="S52" s="11">
        <f ca="1">IF(ROW($N52)-4&lt;BB_Periods, "", _xlfn.STDEV.S(INDIRECT(ADDRESS(ROW($F52)-RSI_Periods +1, MATCH("Adj Close", Price_Header,0))): INDIRECT(ADDRESS(ROW($F52),MATCH("Adj Close", Price_Header,0)))))</f>
        <v>2.6351229718787481</v>
      </c>
    </row>
    <row r="53" spans="1:19" x14ac:dyDescent="0.35">
      <c r="A53" s="8">
        <v>44120</v>
      </c>
      <c r="B53" s="48">
        <v>145.4</v>
      </c>
      <c r="C53" s="48">
        <v>146.15</v>
      </c>
      <c r="D53" s="48">
        <v>144.47</v>
      </c>
      <c r="E53" s="48">
        <v>144.71</v>
      </c>
      <c r="F53" s="48">
        <v>144.71</v>
      </c>
      <c r="G53">
        <v>5645000</v>
      </c>
      <c r="H53" s="48">
        <f>IF(tbl_WMT[[#This Row],[Date]]=$A$5, $F53, EMA_Beta*$H52 + (1-EMA_Beta)*$F53)</f>
        <v>152.57490085810824</v>
      </c>
      <c r="I53" s="50">
        <f ca="1">IF(tbl_WMT[[#This Row],[RS]]= "", "", 100-(100/(1+tbl_WMT[[#This Row],[RS]])))</f>
        <v>68.876518218623431</v>
      </c>
      <c r="J53" s="11">
        <f ca="1">IF(ROW($N53)-4&lt;BB_Periods, "", AVERAGE(INDIRECT(ADDRESS(ROW($F53)-RSI_Periods +1, MATCH("Adj Close", Price_Header,0))): INDIRECT(ADDRESS(ROW($F53),MATCH("Adj Close", Price_Header,0)))))</f>
        <v>142.26785714285714</v>
      </c>
      <c r="K53" s="11">
        <f ca="1">IF(tbl_WMT[[#This Row],[BB_Mean]]="", "", tbl_WMT[[#This Row],[BB_Mean]]+(BB_Width*tbl_WMT[[#This Row],[BB_Stdev]]))</f>
        <v>147.07268278491216</v>
      </c>
      <c r="L53" s="11">
        <f ca="1">IF(tbl_WMT[[#This Row],[BB_Mean]]="", "", tbl_WMT[[#This Row],[BB_Mean]]-(BB_Width*tbl_WMT[[#This Row],[BB_Stdev]]))</f>
        <v>137.46303150080212</v>
      </c>
      <c r="M53" s="46">
        <f>IF(ROW(tbl_WMT[[#This Row],[Adj Close]])=5, 0, $F53-$F52)</f>
        <v>0.18000000000000682</v>
      </c>
      <c r="N53" s="46">
        <f>MAX(tbl_WMT[[#This Row],[Move]],0)</f>
        <v>0.18000000000000682</v>
      </c>
      <c r="O53" s="46">
        <f>MAX(-tbl_WMT[[#This Row],[Move]],0)</f>
        <v>0</v>
      </c>
      <c r="P53" s="46">
        <f ca="1">IF(ROW($N53)-5&lt;RSI_Periods, "", AVERAGE(INDIRECT(ADDRESS(ROW($N53)-RSI_Periods +1, MATCH("Upmove", Price_Header,0))): INDIRECT(ADDRESS(ROW($N53),MATCH("Upmove", Price_Header,0)))))</f>
        <v>0.9721428571428602</v>
      </c>
      <c r="Q53" s="46">
        <f ca="1">IF(ROW($O53)-5&lt;RSI_Periods, "", AVERAGE(INDIRECT(ADDRESS(ROW($O53)-RSI_Periods +1, MATCH("Downmove", Price_Header,0))): INDIRECT(ADDRESS(ROW($O53),MATCH("Downmove", Price_Header,0)))))</f>
        <v>0.43928571428571672</v>
      </c>
      <c r="R53" s="46">
        <f ca="1">IF(tbl_WMT[[#This Row],[Avg_Upmove]]="", "", tbl_WMT[[#This Row],[Avg_Upmove]]/tbl_WMT[[#This Row],[Avg_Downmove]])</f>
        <v>2.2130081300812954</v>
      </c>
      <c r="S53" s="11">
        <f ca="1">IF(ROW($N53)-4&lt;BB_Periods, "", _xlfn.STDEV.S(INDIRECT(ADDRESS(ROW($F53)-RSI_Periods +1, MATCH("Adj Close", Price_Header,0))): INDIRECT(ADDRESS(ROW($F53),MATCH("Adj Close", Price_Header,0)))))</f>
        <v>2.4024128210275131</v>
      </c>
    </row>
    <row r="54" spans="1:19" x14ac:dyDescent="0.35">
      <c r="A54" s="8">
        <v>44123</v>
      </c>
      <c r="B54" s="48">
        <v>145.1</v>
      </c>
      <c r="C54" s="48">
        <v>145.44</v>
      </c>
      <c r="D54" s="48">
        <v>142.76</v>
      </c>
      <c r="E54" s="48">
        <v>143.29</v>
      </c>
      <c r="F54" s="48">
        <v>143.29</v>
      </c>
      <c r="G54">
        <v>3462378</v>
      </c>
      <c r="H54" s="48">
        <f>IF(tbl_WMT[[#This Row],[Date]]=$A$5, $F54, EMA_Beta*$H53 + (1-EMA_Beta)*$F54)</f>
        <v>151.64641077229743</v>
      </c>
      <c r="I54" s="50">
        <f ca="1">IF(tbl_WMT[[#This Row],[RS]]= "", "", 100-(100/(1+tbl_WMT[[#This Row],[RS]])))</f>
        <v>64.594209776933994</v>
      </c>
      <c r="J54" s="11">
        <f ca="1">IF(ROW($N54)-4&lt;BB_Periods, "", AVERAGE(INDIRECT(ADDRESS(ROW($F54)-RSI_Periods +1, MATCH("Adj Close", Price_Header,0))): INDIRECT(ADDRESS(ROW($F54),MATCH("Adj Close", Price_Header,0)))))</f>
        <v>142.70714285714286</v>
      </c>
      <c r="K54" s="11">
        <f ca="1">IF(tbl_WMT[[#This Row],[BB_Mean]]="", "", tbl_WMT[[#This Row],[BB_Mean]]+(BB_Width*tbl_WMT[[#This Row],[BB_Stdev]]))</f>
        <v>146.51316584564555</v>
      </c>
      <c r="L54" s="11">
        <f ca="1">IF(tbl_WMT[[#This Row],[BB_Mean]]="", "", tbl_WMT[[#This Row],[BB_Mean]]-(BB_Width*tbl_WMT[[#This Row],[BB_Stdev]]))</f>
        <v>138.90111986864017</v>
      </c>
      <c r="M54" s="46">
        <f>IF(ROW(tbl_WMT[[#This Row],[Adj Close]])=5, 0, $F54-$F53)</f>
        <v>-1.4200000000000159</v>
      </c>
      <c r="N54" s="46">
        <f>MAX(tbl_WMT[[#This Row],[Move]],0)</f>
        <v>0</v>
      </c>
      <c r="O54" s="46">
        <f>MAX(-tbl_WMT[[#This Row],[Move]],0)</f>
        <v>1.4200000000000159</v>
      </c>
      <c r="P54" s="46">
        <f ca="1">IF(ROW($N54)-5&lt;RSI_Periods, "", AVERAGE(INDIRECT(ADDRESS(ROW($N54)-RSI_Periods +1, MATCH("Upmove", Price_Header,0))): INDIRECT(ADDRESS(ROW($N54),MATCH("Upmove", Price_Header,0)))))</f>
        <v>0.9721428571428602</v>
      </c>
      <c r="Q54" s="46">
        <f ca="1">IF(ROW($O54)-5&lt;RSI_Periods, "", AVERAGE(INDIRECT(ADDRESS(ROW($O54)-RSI_Periods +1, MATCH("Downmove", Price_Header,0))): INDIRECT(ADDRESS(ROW($O54),MATCH("Downmove", Price_Header,0)))))</f>
        <v>0.53285714285714547</v>
      </c>
      <c r="R54" s="46">
        <f ca="1">IF(tbl_WMT[[#This Row],[Avg_Upmove]]="", "", tbl_WMT[[#This Row],[Avg_Upmove]]/tbl_WMT[[#This Row],[Avg_Downmove]])</f>
        <v>1.8243967828418199</v>
      </c>
      <c r="S54" s="11">
        <f ca="1">IF(ROW($N54)-4&lt;BB_Periods, "", _xlfn.STDEV.S(INDIRECT(ADDRESS(ROW($F54)-RSI_Periods +1, MATCH("Adj Close", Price_Header,0))): INDIRECT(ADDRESS(ROW($F54),MATCH("Adj Close", Price_Header,0)))))</f>
        <v>1.9030114942513474</v>
      </c>
    </row>
    <row r="55" spans="1:19" x14ac:dyDescent="0.35">
      <c r="A55" s="8">
        <v>44124</v>
      </c>
      <c r="B55" s="48">
        <v>141.11000000000001</v>
      </c>
      <c r="C55" s="48">
        <v>145.53</v>
      </c>
      <c r="D55" s="48">
        <v>143.62</v>
      </c>
      <c r="E55" s="48">
        <v>143.9</v>
      </c>
      <c r="F55" s="48">
        <v>143.9</v>
      </c>
      <c r="G55">
        <v>4841000</v>
      </c>
      <c r="H55" s="48">
        <f>IF(tbl_WMT[[#This Row],[Date]]=$A$5, $F55, EMA_Beta*$H54 + (1-EMA_Beta)*$F55)</f>
        <v>150.87176969506768</v>
      </c>
      <c r="I55" s="50">
        <f ca="1">IF(tbl_WMT[[#This Row],[RS]]= "", "", 100-(100/(1+tbl_WMT[[#This Row],[RS]])))</f>
        <v>60.549973558963487</v>
      </c>
      <c r="J55" s="11">
        <f ca="1">IF(ROW($N55)-4&lt;BB_Periods, "", AVERAGE(INDIRECT(ADDRESS(ROW($F55)-RSI_Periods +1, MATCH("Adj Close", Price_Header,0))): INDIRECT(ADDRESS(ROW($F55),MATCH("Adj Close", Price_Header,0)))))</f>
        <v>142.99214285714285</v>
      </c>
      <c r="K55" s="11">
        <f ca="1">IF(tbl_WMT[[#This Row],[BB_Mean]]="", "", tbl_WMT[[#This Row],[BB_Mean]]+(BB_Width*tbl_WMT[[#This Row],[BB_Stdev]]))</f>
        <v>146.48017230807204</v>
      </c>
      <c r="L55" s="11">
        <f ca="1">IF(tbl_WMT[[#This Row],[BB_Mean]]="", "", tbl_WMT[[#This Row],[BB_Mean]]-(BB_Width*tbl_WMT[[#This Row],[BB_Stdev]]))</f>
        <v>139.50411340621366</v>
      </c>
      <c r="M55" s="46">
        <f>IF(ROW(tbl_WMT[[#This Row],[Adj Close]])=5, 0, $F55-$F54)</f>
        <v>0.61000000000001364</v>
      </c>
      <c r="N55" s="46">
        <f>MAX(tbl_WMT[[#This Row],[Move]],0)</f>
        <v>0.61000000000001364</v>
      </c>
      <c r="O55" s="46">
        <f>MAX(-tbl_WMT[[#This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0.81785714285714606</v>
      </c>
      <c r="Q55" s="46">
        <f ca="1">IF(ROW($O55)-5&lt;RSI_Periods, "", AVERAGE(INDIRECT(ADDRESS(ROW($O55)-RSI_Periods +1, MATCH("Downmove", Price_Header,0))): INDIRECT(ADDRESS(ROW($O55),MATCH("Downmove", Price_Header,0)))))</f>
        <v>0.53285714285714547</v>
      </c>
      <c r="R55" s="46">
        <f ca="1">IF(tbl_WMT[[#This Row],[Avg_Upmove]]="", "", tbl_WMT[[#This Row],[Avg_Upmove]]/tbl_WMT[[#This Row],[Avg_Downmove]])</f>
        <v>1.5348525469168885</v>
      </c>
      <c r="S55" s="11">
        <f ca="1">IF(ROW($N55)-4&lt;BB_Periods, "", _xlfn.STDEV.S(INDIRECT(ADDRESS(ROW($F55)-RSI_Periods +1, MATCH("Adj Close", Price_Header,0))): INDIRECT(ADDRESS(ROW($F55),MATCH("Adj Close", Price_Header,0)))))</f>
        <v>1.7440147254645988</v>
      </c>
    </row>
    <row r="56" spans="1:19" x14ac:dyDescent="0.35">
      <c r="A56" s="8">
        <v>44125</v>
      </c>
      <c r="B56" s="48">
        <v>143.84</v>
      </c>
      <c r="C56" s="48">
        <v>145.72999999999999</v>
      </c>
      <c r="D56" s="48">
        <v>143.84</v>
      </c>
      <c r="E56" s="48">
        <v>144.4</v>
      </c>
      <c r="F56" s="48">
        <v>144.4</v>
      </c>
      <c r="G56">
        <v>4371400</v>
      </c>
      <c r="H56" s="48">
        <f>IF(tbl_WMT[[#This Row],[Date]]=$A$5, $F56, EMA_Beta*$H55 + (1-EMA_Beta)*$F56)</f>
        <v>150.22459272556091</v>
      </c>
      <c r="I56" s="50">
        <f ca="1">IF(tbl_WMT[[#This Row],[RS]]= "", "", 100-(100/(1+tbl_WMT[[#This Row],[RS]])))</f>
        <v>54.064039408866954</v>
      </c>
      <c r="J56" s="11">
        <f ca="1">IF(ROW($N56)-4&lt;BB_Periods, "", AVERAGE(INDIRECT(ADDRESS(ROW($F56)-RSI_Periods +1, MATCH("Adj Close", Price_Header,0))): INDIRECT(ADDRESS(ROW($F56),MATCH("Adj Close", Price_Header,0)))))</f>
        <v>143.08642857142857</v>
      </c>
      <c r="K56" s="11">
        <f ca="1">IF(tbl_WMT[[#This Row],[BB_Mean]]="", "", tbl_WMT[[#This Row],[BB_Mean]]+(BB_Width*tbl_WMT[[#This Row],[BB_Stdev]]))</f>
        <v>146.65511811451648</v>
      </c>
      <c r="L56" s="11">
        <f ca="1">IF(tbl_WMT[[#This Row],[BB_Mean]]="", "", tbl_WMT[[#This Row],[BB_Mean]]-(BB_Width*tbl_WMT[[#This Row],[BB_Stdev]]))</f>
        <v>139.51773902834066</v>
      </c>
      <c r="M56" s="46">
        <f>IF(ROW(tbl_WMT[[#This Row],[Adj Close]])=5, 0, $F56-$F55)</f>
        <v>0.5</v>
      </c>
      <c r="N56" s="46">
        <f>MAX(tbl_WMT[[#This Row],[Move]],0)</f>
        <v>0.5</v>
      </c>
      <c r="O56" s="46">
        <f>MAX(-tbl_WMT[[#This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0.62714285714285922</v>
      </c>
      <c r="Q56" s="46">
        <f ca="1">IF(ROW($O56)-5&lt;RSI_Periods, "", AVERAGE(INDIRECT(ADDRESS(ROW($O56)-RSI_Periods +1, MATCH("Downmove", Price_Header,0))): INDIRECT(ADDRESS(ROW($O56),MATCH("Downmove", Price_Header,0)))))</f>
        <v>0.53285714285714547</v>
      </c>
      <c r="R56" s="46">
        <f ca="1">IF(tbl_WMT[[#This Row],[Avg_Upmove]]="", "", tbl_WMT[[#This Row],[Avg_Upmove]]/tbl_WMT[[#This Row],[Avg_Downmove]])</f>
        <v>1.1769436997319016</v>
      </c>
      <c r="S56" s="11">
        <f ca="1">IF(ROW($N56)-4&lt;BB_Periods, "", _xlfn.STDEV.S(INDIRECT(ADDRESS(ROW($F56)-RSI_Periods +1, MATCH("Adj Close", Price_Header,0))): INDIRECT(ADDRESS(ROW($F56),MATCH("Adj Close", Price_Header,0)))))</f>
        <v>1.7843447715439587</v>
      </c>
    </row>
    <row r="57" spans="1:19" x14ac:dyDescent="0.35">
      <c r="A57" s="8">
        <v>44126</v>
      </c>
      <c r="B57" s="48">
        <v>144.19</v>
      </c>
      <c r="C57" s="48">
        <v>144.56</v>
      </c>
      <c r="D57" s="48">
        <v>142.69</v>
      </c>
      <c r="E57" s="48">
        <v>143.55000000000001</v>
      </c>
      <c r="F57" s="48">
        <v>143.55000000000001</v>
      </c>
      <c r="G57">
        <v>4448000</v>
      </c>
      <c r="H57" s="48">
        <f>IF(tbl_WMT[[#This Row],[Date]]=$A$5, $F57, EMA_Beta*$H56 + (1-EMA_Beta)*$F57)</f>
        <v>149.55713345300481</v>
      </c>
      <c r="I57" s="50">
        <f ca="1">IF(tbl_WMT[[#This Row],[RS]]= "", "", 100-(100/(1+tbl_WMT[[#This Row],[RS]])))</f>
        <v>60.509993108201243</v>
      </c>
      <c r="J57" s="11">
        <f ca="1">IF(ROW($N57)-4&lt;BB_Periods, "", AVERAGE(INDIRECT(ADDRESS(ROW($F57)-RSI_Periods +1, MATCH("Adj Close", Price_Header,0))): INDIRECT(ADDRESS(ROW($F57),MATCH("Adj Close", Price_Header,0)))))</f>
        <v>143.30428571428573</v>
      </c>
      <c r="K57" s="11">
        <f ca="1">IF(tbl_WMT[[#This Row],[BB_Mean]]="", "", tbl_WMT[[#This Row],[BB_Mean]]+(BB_Width*tbl_WMT[[#This Row],[BB_Stdev]]))</f>
        <v>146.55064902193857</v>
      </c>
      <c r="L57" s="11">
        <f ca="1">IF(tbl_WMT[[#This Row],[BB_Mean]]="", "", tbl_WMT[[#This Row],[BB_Mean]]-(BB_Width*tbl_WMT[[#This Row],[BB_Stdev]]))</f>
        <v>140.05792240663288</v>
      </c>
      <c r="M57" s="46">
        <f>IF(ROW(tbl_WMT[[#This Row],[Adj Close]])=5, 0, $F57-$F56)</f>
        <v>-0.84999999999999432</v>
      </c>
      <c r="N57" s="46">
        <f>MAX(tbl_WMT[[#This Row],[Move]],0)</f>
        <v>0</v>
      </c>
      <c r="O57" s="46">
        <f>MAX(-tbl_WMT[[#This Row],[Move]],0)</f>
        <v>0.84999999999999432</v>
      </c>
      <c r="P57" s="46">
        <f ca="1">IF(ROW($N57)-5&lt;RSI_Periods, "", AVERAGE(INDIRECT(ADDRESS(ROW($N57)-RSI_Periods +1, MATCH("Upmove", Price_Header,0))): INDIRECT(ADDRESS(ROW($N57),MATCH("Upmove", Price_Header,0)))))</f>
        <v>0.62714285714285922</v>
      </c>
      <c r="Q57" s="46">
        <f ca="1">IF(ROW($O57)-5&lt;RSI_Periods, "", AVERAGE(INDIRECT(ADDRESS(ROW($O57)-RSI_Periods +1, MATCH("Downmove", Price_Header,0))): INDIRECT(ADDRESS(ROW($O57),MATCH("Downmove", Price_Header,0)))))</f>
        <v>0.40928571428571558</v>
      </c>
      <c r="R57" s="46">
        <f ca="1">IF(tbl_WMT[[#This Row],[Avg_Upmove]]="", "", tbl_WMT[[#This Row],[Avg_Upmove]]/tbl_WMT[[#This Row],[Avg_Downmove]])</f>
        <v>1.5322862129144854</v>
      </c>
      <c r="S57" s="11">
        <f ca="1">IF(ROW($N57)-4&lt;BB_Periods, "", _xlfn.STDEV.S(INDIRECT(ADDRESS(ROW($F57)-RSI_Periods +1, MATCH("Adj Close", Price_Header,0))): INDIRECT(ADDRESS(ROW($F57),MATCH("Adj Close", Price_Header,0)))))</f>
        <v>1.6231816538264228</v>
      </c>
    </row>
    <row r="58" spans="1:19" x14ac:dyDescent="0.35">
      <c r="A58" s="8">
        <v>44127</v>
      </c>
      <c r="B58" s="48">
        <v>143.97</v>
      </c>
      <c r="C58" s="48">
        <v>144.13999999999999</v>
      </c>
      <c r="D58" s="48">
        <v>142.85</v>
      </c>
      <c r="E58" s="48">
        <v>143.85</v>
      </c>
      <c r="F58" s="48">
        <v>143.85</v>
      </c>
      <c r="G58">
        <v>3513500</v>
      </c>
      <c r="H58" s="48">
        <f>IF(tbl_WMT[[#This Row],[Date]]=$A$5, $F58, EMA_Beta*$H57 + (1-EMA_Beta)*$F58)</f>
        <v>148.98642010770433</v>
      </c>
      <c r="I58" s="50">
        <f ca="1">IF(tbl_WMT[[#This Row],[RS]]= "", "", 100-(100/(1+tbl_WMT[[#This Row],[RS]])))</f>
        <v>57.586972612879272</v>
      </c>
      <c r="J58" s="11">
        <f ca="1">IF(ROW($N58)-4&lt;BB_Periods, "", AVERAGE(INDIRECT(ADDRESS(ROW($F58)-RSI_Periods +1, MATCH("Adj Close", Price_Header,0))): INDIRECT(ADDRESS(ROW($F58),MATCH("Adj Close", Price_Header,0)))))</f>
        <v>143.45071428571427</v>
      </c>
      <c r="K58" s="11">
        <f ca="1">IF(tbl_WMT[[#This Row],[BB_Mean]]="", "", tbl_WMT[[#This Row],[BB_Mean]]+(BB_Width*tbl_WMT[[#This Row],[BB_Stdev]]))</f>
        <v>146.587890520049</v>
      </c>
      <c r="L58" s="11">
        <f ca="1">IF(tbl_WMT[[#This Row],[BB_Mean]]="", "", tbl_WMT[[#This Row],[BB_Mean]]-(BB_Width*tbl_WMT[[#This Row],[BB_Stdev]]))</f>
        <v>140.31353805137954</v>
      </c>
      <c r="M58" s="46">
        <f>IF(ROW(tbl_WMT[[#This Row],[Adj Close]])=5, 0, $F58-$F57)</f>
        <v>0.29999999999998295</v>
      </c>
      <c r="N58" s="46">
        <f>MAX(tbl_WMT[[#This Row],[Move]],0)</f>
        <v>0.29999999999998295</v>
      </c>
      <c r="O58" s="46">
        <f>MAX(-tbl_WMT[[#This Row],[Move]],0)</f>
        <v>0</v>
      </c>
      <c r="P58" s="46">
        <f ca="1">IF(ROW($N58)-5&lt;RSI_Periods, "", AVERAGE(INDIRECT(ADDRESS(ROW($N58)-RSI_Periods +1, MATCH("Upmove", Price_Header,0))): INDIRECT(ADDRESS(ROW($N58),MATCH("Upmove", Price_Header,0)))))</f>
        <v>0.55571428571428583</v>
      </c>
      <c r="Q58" s="46">
        <f ca="1">IF(ROW($O58)-5&lt;RSI_Periods, "", AVERAGE(INDIRECT(ADDRESS(ROW($O58)-RSI_Periods +1, MATCH("Downmove", Price_Header,0))): INDIRECT(ADDRESS(ROW($O58),MATCH("Downmove", Price_Header,0)))))</f>
        <v>0.40928571428571558</v>
      </c>
      <c r="R58" s="46">
        <f ca="1">IF(tbl_WMT[[#This Row],[Avg_Upmove]]="", "", tbl_WMT[[#This Row],[Avg_Upmove]]/tbl_WMT[[#This Row],[Avg_Downmove]])</f>
        <v>1.3577661431064532</v>
      </c>
      <c r="S58" s="11">
        <f ca="1">IF(ROW($N58)-4&lt;BB_Periods, "", _xlfn.STDEV.S(INDIRECT(ADDRESS(ROW($F58)-RSI_Periods +1, MATCH("Adj Close", Price_Header,0))): INDIRECT(ADDRESS(ROW($F58),MATCH("Adj Close", Price_Header,0)))))</f>
        <v>1.5685881171673723</v>
      </c>
    </row>
    <row r="59" spans="1:19" x14ac:dyDescent="0.35">
      <c r="A59" s="8">
        <v>44130</v>
      </c>
      <c r="B59" s="48">
        <v>142.84</v>
      </c>
      <c r="C59" s="48">
        <v>143.12</v>
      </c>
      <c r="D59" s="48">
        <v>140.94</v>
      </c>
      <c r="E59" s="48">
        <v>142.16</v>
      </c>
      <c r="F59" s="48">
        <v>142.16</v>
      </c>
      <c r="G59">
        <v>5370600</v>
      </c>
      <c r="H59" s="48">
        <f>IF(tbl_WMT[[#This Row],[Date]]=$A$5, $F59, EMA_Beta*$H58 + (1-EMA_Beta)*$F59)</f>
        <v>148.30377809693391</v>
      </c>
      <c r="I59" s="50">
        <f ca="1">IF(tbl_WMT[[#This Row],[RS]]= "", "", 100-(100/(1+tbl_WMT[[#This Row],[RS]])))</f>
        <v>55.452601568068424</v>
      </c>
      <c r="J59" s="11">
        <f ca="1">IF(ROW($N59)-4&lt;BB_Periods, "", AVERAGE(INDIRECT(ADDRESS(ROW($F59)-RSI_Periods +1, MATCH("Adj Close", Price_Header,0))): INDIRECT(ADDRESS(ROW($F59),MATCH("Adj Close", Price_Header,0)))))</f>
        <v>143.56</v>
      </c>
      <c r="K59" s="11">
        <f ca="1">IF(tbl_WMT[[#This Row],[BB_Mean]]="", "", tbl_WMT[[#This Row],[BB_Mean]]+(BB_Width*tbl_WMT[[#This Row],[BB_Stdev]]))</f>
        <v>146.36265807898366</v>
      </c>
      <c r="L59" s="11">
        <f ca="1">IF(tbl_WMT[[#This Row],[BB_Mean]]="", "", tbl_WMT[[#This Row],[BB_Mean]]-(BB_Width*tbl_WMT[[#This Row],[BB_Stdev]]))</f>
        <v>140.75734192101635</v>
      </c>
      <c r="M59" s="46">
        <f>IF(ROW(tbl_WMT[[#This Row],[Adj Close]])=5, 0, $F59-$F58)</f>
        <v>-1.6899999999999977</v>
      </c>
      <c r="N59" s="46">
        <f>MAX(tbl_WMT[[#This Row],[Move]],0)</f>
        <v>0</v>
      </c>
      <c r="O59" s="46">
        <f>MAX(-tbl_WMT[[#This Row],[Move]],0)</f>
        <v>1.6899999999999977</v>
      </c>
      <c r="P59" s="46">
        <f ca="1">IF(ROW($N59)-5&lt;RSI_Periods, "", AVERAGE(INDIRECT(ADDRESS(ROW($N59)-RSI_Periods +1, MATCH("Upmove", Price_Header,0))): INDIRECT(ADDRESS(ROW($N59),MATCH("Upmove", Price_Header,0)))))</f>
        <v>0.55571428571428583</v>
      </c>
      <c r="Q59" s="46">
        <f ca="1">IF(ROW($O59)-5&lt;RSI_Periods, "", AVERAGE(INDIRECT(ADDRESS(ROW($O59)-RSI_Periods +1, MATCH("Downmove", Price_Header,0))): INDIRECT(ADDRESS(ROW($O59),MATCH("Downmove", Price_Header,0)))))</f>
        <v>0.44642857142857145</v>
      </c>
      <c r="R59" s="46">
        <f ca="1">IF(tbl_WMT[[#This Row],[Avg_Upmove]]="", "", tbl_WMT[[#This Row],[Avg_Upmove]]/tbl_WMT[[#This Row],[Avg_Downmove]])</f>
        <v>1.2448000000000001</v>
      </c>
      <c r="S59" s="11">
        <f ca="1">IF(ROW($N59)-4&lt;BB_Periods, "", _xlfn.STDEV.S(INDIRECT(ADDRESS(ROW($F59)-RSI_Periods +1, MATCH("Adj Close", Price_Header,0))): INDIRECT(ADDRESS(ROW($F59),MATCH("Adj Close", Price_Header,0)))))</f>
        <v>1.4013290394918234</v>
      </c>
    </row>
    <row r="60" spans="1:19" x14ac:dyDescent="0.35">
      <c r="A60" t="s">
        <v>162</v>
      </c>
      <c r="I60" s="61"/>
      <c r="S60">
        <f ca="1">SUBTOTAL(103,tbl_WMT[BB_Stdev])</f>
        <v>55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60"/>
  <sheetViews>
    <sheetView topLeftCell="A54" zoomScale="110" zoomScaleNormal="110" workbookViewId="0">
      <selection activeCell="A60" sqref="A60"/>
    </sheetView>
  </sheetViews>
  <sheetFormatPr defaultRowHeight="14.5" x14ac:dyDescent="0.35"/>
  <cols>
    <col min="1" max="1" width="10.4531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169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3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3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3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3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3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3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3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3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3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3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3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3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3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3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3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3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3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3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35">
      <c r="A37" s="8">
        <v>44098</v>
      </c>
      <c r="B37" s="48">
        <v>2.5499999999999998</v>
      </c>
      <c r="C37" s="48">
        <v>2.77</v>
      </c>
      <c r="D37" s="48">
        <v>2.35</v>
      </c>
      <c r="E37" s="48">
        <v>2.69</v>
      </c>
      <c r="F37" s="48">
        <v>2.69</v>
      </c>
      <c r="G37">
        <v>4218800</v>
      </c>
      <c r="H37" s="48">
        <f>IF(tbl_RIOT[[#This Row],[Date]]=$A$5, $F37, EMA_Beta*$H36 + (1-EMA_Beta)*$F37)</f>
        <v>3.062938179609513</v>
      </c>
      <c r="I37" s="46">
        <f ca="1">IF(tbl_RIOT[[#This Row],[RS]]= "", "", 100-(100/(1+tbl_RIOT[[#This Row],[RS]])))</f>
        <v>34.640522875816984</v>
      </c>
      <c r="J37" s="48">
        <f ca="1">IF(ROW($N37)-4&lt;BB_Periods, "", AVERAGE(INDIRECT(ADDRESS(ROW($F37)-RSI_Periods +1, MATCH("Adj Close", Price_Header,0))): INDIRECT(ADDRESS(ROW($F37),MATCH("Adj Close", Price_Header,0)))))</f>
        <v>2.9192857142857145</v>
      </c>
      <c r="K37" s="48">
        <f ca="1">IF(tbl_RIOT[[#This Row],[BB_Mean]]="", "", tbl_RIOT[[#This Row],[BB_Mean]]+(BB_Width*tbl_RIOT[[#This Row],[BB_Stdev]]))</f>
        <v>3.2082056431150101</v>
      </c>
      <c r="L37" s="48">
        <f ca="1">IF(tbl_RIOT[[#This Row],[BB_Mean]]="", "", tbl_RIOT[[#This Row],[BB_Mean]]-(BB_Width*tbl_RIOT[[#This Row],[BB_Stdev]]))</f>
        <v>2.6303657854564189</v>
      </c>
      <c r="M37" s="46">
        <f>IF(ROW(tbl_RIOT[[#This Row],[Adj Close]])=5, 0, $F37-$F36)</f>
        <v>8.9999999999999858E-2</v>
      </c>
      <c r="N37" s="46">
        <f>MAX(tbl_RIOT[[#This Row],[Move]],0)</f>
        <v>8.9999999999999858E-2</v>
      </c>
      <c r="O37" s="46">
        <f>MAX(-tbl_RIOT[[#This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3.7857142857142846E-2</v>
      </c>
      <c r="Q37" s="46">
        <f ca="1">IF(ROW($O37)-5&lt;RSI_Periods, "", AVERAGE(INDIRECT(ADDRESS(ROW($O37)-RSI_Periods +1, MATCH("Downmove", Price_Header,0))): INDIRECT(ADDRESS(ROW($O37),MATCH("Downmove", Price_Header,0)))))</f>
        <v>7.1428571428571425E-2</v>
      </c>
      <c r="R37" s="46">
        <f ca="1">IF(tbl_RIOT[[#This Row],[Avg_Upmove]]="", "", tbl_RIOT[[#This Row],[Avg_Upmove]]/tbl_RIOT[[#This Row],[Avg_Downmove]])</f>
        <v>0.52999999999999992</v>
      </c>
      <c r="S37" s="48">
        <f ca="1">IF(ROW($N37)-4&lt;BB_Periods, "", _xlfn.STDEV.S(INDIRECT(ADDRESS(ROW($F37)-RSI_Periods +1, MATCH("Adj Close", Price_Header,0))): INDIRECT(ADDRESS(ROW($F37),MATCH("Adj Close", Price_Header,0)))))</f>
        <v>0.14445996441464778</v>
      </c>
    </row>
    <row r="38" spans="1:19" x14ac:dyDescent="0.35">
      <c r="A38" s="8">
        <v>44099</v>
      </c>
      <c r="B38" s="48">
        <v>2.66</v>
      </c>
      <c r="C38" s="48">
        <v>2.78</v>
      </c>
      <c r="D38" s="48">
        <v>2.6</v>
      </c>
      <c r="E38" s="48">
        <v>2.68</v>
      </c>
      <c r="F38" s="48">
        <v>2.68</v>
      </c>
      <c r="G38">
        <v>3685800</v>
      </c>
      <c r="H38" s="48">
        <f>IF(tbl_RIOT[[#This Row],[Date]]=$A$5, $F38, EMA_Beta*$H37 + (1-EMA_Beta)*$F38)</f>
        <v>3.0246443616485617</v>
      </c>
      <c r="I38" s="46">
        <f ca="1">IF(tbl_RIOT[[#This Row],[RS]]= "", "", 100-(100/(1+tbl_RIOT[[#This Row],[RS]])))</f>
        <v>35.570469798657726</v>
      </c>
      <c r="J38" s="48">
        <f ca="1">IF(ROW($N38)-4&lt;BB_Periods, "", AVERAGE(INDIRECT(ADDRESS(ROW($F38)-RSI_Periods +1, MATCH("Adj Close", Price_Header,0))): INDIRECT(ADDRESS(ROW($F38),MATCH("Adj Close", Price_Header,0)))))</f>
        <v>2.8885714285714283</v>
      </c>
      <c r="K38" s="48">
        <f ca="1">IF(tbl_RIOT[[#This Row],[BB_Mean]]="", "", tbl_RIOT[[#This Row],[BB_Mean]]+(BB_Width*tbl_RIOT[[#This Row],[BB_Stdev]]))</f>
        <v>3.1815515689177709</v>
      </c>
      <c r="L38" s="48">
        <f ca="1">IF(tbl_RIOT[[#This Row],[BB_Mean]]="", "", tbl_RIOT[[#This Row],[BB_Mean]]-(BB_Width*tbl_RIOT[[#This Row],[BB_Stdev]]))</f>
        <v>2.5955912882250858</v>
      </c>
      <c r="M38" s="46">
        <f>IF(ROW(tbl_RIOT[[#This Row],[Adj Close]])=5, 0, $F38-$F37)</f>
        <v>-9.9999999999997868E-3</v>
      </c>
      <c r="N38" s="46">
        <f>MAX(tbl_RIOT[[#This Row],[Move]],0)</f>
        <v>0</v>
      </c>
      <c r="O38" s="46">
        <f>MAX(-tbl_RIOT[[#This Row],[Move]],0)</f>
        <v>9.9999999999997868E-3</v>
      </c>
      <c r="P38" s="46">
        <f ca="1">IF(ROW($N38)-5&lt;RSI_Periods, "", AVERAGE(INDIRECT(ADDRESS(ROW($N38)-RSI_Periods +1, MATCH("Upmove", Price_Header,0))): INDIRECT(ADDRESS(ROW($N38),MATCH("Upmove", Price_Header,0)))))</f>
        <v>3.7857142857142846E-2</v>
      </c>
      <c r="Q38" s="46">
        <f ca="1">IF(ROW($O38)-5&lt;RSI_Periods, "", AVERAGE(INDIRECT(ADDRESS(ROW($O38)-RSI_Periods +1, MATCH("Downmove", Price_Header,0))): INDIRECT(ADDRESS(ROW($O38),MATCH("Downmove", Price_Header,0)))))</f>
        <v>6.8571428571428533E-2</v>
      </c>
      <c r="R38" s="46">
        <f ca="1">IF(tbl_RIOT[[#This Row],[Avg_Upmove]]="", "", tbl_RIOT[[#This Row],[Avg_Upmove]]/tbl_RIOT[[#This Row],[Avg_Downmove]])</f>
        <v>0.55208333333333348</v>
      </c>
      <c r="S38" s="48">
        <f ca="1">IF(ROW($N38)-4&lt;BB_Periods, "", _xlfn.STDEV.S(INDIRECT(ADDRESS(ROW($F38)-RSI_Periods +1, MATCH("Adj Close", Price_Header,0))): INDIRECT(ADDRESS(ROW($F38),MATCH("Adj Close", Price_Header,0)))))</f>
        <v>0.14649007017317128</v>
      </c>
    </row>
    <row r="39" spans="1:19" x14ac:dyDescent="0.35">
      <c r="A39" s="8">
        <v>44102</v>
      </c>
      <c r="B39" s="48">
        <v>2.79</v>
      </c>
      <c r="C39" s="48">
        <v>2.81</v>
      </c>
      <c r="D39" s="48">
        <v>2.66</v>
      </c>
      <c r="E39" s="48">
        <v>2.74</v>
      </c>
      <c r="F39" s="48">
        <v>2.74</v>
      </c>
      <c r="G39">
        <v>3243400</v>
      </c>
      <c r="H39" s="48">
        <f>IF(tbl_RIOT[[#This Row],[Date]]=$A$5, $F39, EMA_Beta*$H38 + (1-EMA_Beta)*$F39)</f>
        <v>2.9961799254837054</v>
      </c>
      <c r="I39" s="46">
        <f ca="1">IF(tbl_RIOT[[#This Row],[RS]]= "", "", 100-(100/(1+tbl_RIOT[[#This Row],[RS]])))</f>
        <v>46.825396825396844</v>
      </c>
      <c r="J39" s="48">
        <f ca="1">IF(ROW($N39)-4&lt;BB_Periods, "", AVERAGE(INDIRECT(ADDRESS(ROW($F39)-RSI_Periods +1, MATCH("Adj Close", Price_Header,0))): INDIRECT(ADDRESS(ROW($F39),MATCH("Adj Close", Price_Header,0)))))</f>
        <v>2.882857142857143</v>
      </c>
      <c r="K39" s="48">
        <f ca="1">IF(tbl_RIOT[[#This Row],[BB_Mean]]="", "", tbl_RIOT[[#This Row],[BB_Mean]]+(BB_Width*tbl_RIOT[[#This Row],[BB_Stdev]]))</f>
        <v>3.184588411110465</v>
      </c>
      <c r="L39" s="48">
        <f ca="1">IF(tbl_RIOT[[#This Row],[BB_Mean]]="", "", tbl_RIOT[[#This Row],[BB_Mean]]-(BB_Width*tbl_RIOT[[#This Row],[BB_Stdev]]))</f>
        <v>2.581125874603821</v>
      </c>
      <c r="M39" s="46">
        <f>IF(ROW(tbl_RIOT[[#This Row],[Adj Close]])=5, 0, $F39-$F38)</f>
        <v>6.0000000000000053E-2</v>
      </c>
      <c r="N39" s="46">
        <f>MAX(tbl_RIOT[[#This Row],[Move]],0)</f>
        <v>6.0000000000000053E-2</v>
      </c>
      <c r="O39" s="46">
        <f>MAX(-tbl_RIOT[[#This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4.2142857142857135E-2</v>
      </c>
      <c r="Q39" s="46">
        <f ca="1">IF(ROW($O39)-5&lt;RSI_Periods, "", AVERAGE(INDIRECT(ADDRESS(ROW($O39)-RSI_Periods +1, MATCH("Downmove", Price_Header,0))): INDIRECT(ADDRESS(ROW($O39),MATCH("Downmove", Price_Header,0)))))</f>
        <v>4.785714285714282E-2</v>
      </c>
      <c r="R39" s="46">
        <f ca="1">IF(tbl_RIOT[[#This Row],[Avg_Upmove]]="", "", tbl_RIOT[[#This Row],[Avg_Upmove]]/tbl_RIOT[[#This Row],[Avg_Downmove]])</f>
        <v>0.88059701492537368</v>
      </c>
      <c r="S39" s="48">
        <f ca="1">IF(ROW($N39)-4&lt;BB_Periods, "", _xlfn.STDEV.S(INDIRECT(ADDRESS(ROW($F39)-RSI_Periods +1, MATCH("Adj Close", Price_Header,0))): INDIRECT(ADDRESS(ROW($F39),MATCH("Adj Close", Price_Header,0)))))</f>
        <v>0.15086563412666101</v>
      </c>
    </row>
    <row r="40" spans="1:19" x14ac:dyDescent="0.35">
      <c r="A40" s="8">
        <v>44103</v>
      </c>
      <c r="B40" s="48">
        <v>2.7</v>
      </c>
      <c r="C40" s="48">
        <v>2.78</v>
      </c>
      <c r="D40" s="48">
        <v>2.66</v>
      </c>
      <c r="E40" s="48">
        <v>2.76</v>
      </c>
      <c r="F40" s="48">
        <v>2.76</v>
      </c>
      <c r="G40">
        <v>1996600</v>
      </c>
      <c r="H40" s="48">
        <f>IF(tbl_RIOT[[#This Row],[Date]]=$A$5, $F40, EMA_Beta*$H39 + (1-EMA_Beta)*$F40)</f>
        <v>2.9725619329353345</v>
      </c>
      <c r="I40" s="46">
        <f ca="1">IF(tbl_RIOT[[#This Row],[RS]]= "", "", 100-(100/(1+tbl_RIOT[[#This Row],[RS]])))</f>
        <v>41.739130434782581</v>
      </c>
      <c r="J40" s="48">
        <f ca="1">IF(ROW($N40)-4&lt;BB_Periods, "", AVERAGE(INDIRECT(ADDRESS(ROW($F40)-RSI_Periods +1, MATCH("Adj Close", Price_Header,0))): INDIRECT(ADDRESS(ROW($F40),MATCH("Adj Close", Price_Header,0)))))</f>
        <v>2.8692857142857142</v>
      </c>
      <c r="K40" s="48">
        <f ca="1">IF(tbl_RIOT[[#This Row],[BB_Mean]]="", "", tbl_RIOT[[#This Row],[BB_Mean]]+(BB_Width*tbl_RIOT[[#This Row],[BB_Stdev]]))</f>
        <v>3.1750723956593383</v>
      </c>
      <c r="L40" s="48">
        <f ca="1">IF(tbl_RIOT[[#This Row],[BB_Mean]]="", "", tbl_RIOT[[#This Row],[BB_Mean]]-(BB_Width*tbl_RIOT[[#This Row],[BB_Stdev]]))</f>
        <v>2.5634990329120901</v>
      </c>
      <c r="M40" s="46">
        <f>IF(ROW(tbl_RIOT[[#This Row],[Adj Close]])=5, 0, $F40-$F39)</f>
        <v>1.9999999999999574E-2</v>
      </c>
      <c r="N40" s="46">
        <f>MAX(tbl_RIOT[[#This Row],[Move]],0)</f>
        <v>1.9999999999999574E-2</v>
      </c>
      <c r="O40" s="46">
        <f>MAX(-tbl_RIOT[[#This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3.4285714285714218E-2</v>
      </c>
      <c r="Q40" s="46">
        <f ca="1">IF(ROW($O40)-5&lt;RSI_Periods, "", AVERAGE(INDIRECT(ADDRESS(ROW($O40)-RSI_Periods +1, MATCH("Downmove", Price_Header,0))): INDIRECT(ADDRESS(ROW($O40),MATCH("Downmove", Price_Header,0)))))</f>
        <v>4.785714285714282E-2</v>
      </c>
      <c r="R40" s="46">
        <f ca="1">IF(tbl_RIOT[[#This Row],[Avg_Upmove]]="", "", tbl_RIOT[[#This Row],[Avg_Upmove]]/tbl_RIOT[[#This Row],[Avg_Downmove]])</f>
        <v>0.71641791044776038</v>
      </c>
      <c r="S40" s="48">
        <f ca="1">IF(ROW($N40)-4&lt;BB_Periods, "", _xlfn.STDEV.S(INDIRECT(ADDRESS(ROW($F40)-RSI_Periods +1, MATCH("Adj Close", Price_Header,0))): INDIRECT(ADDRESS(ROW($F40),MATCH("Adj Close", Price_Header,0)))))</f>
        <v>0.15289334068681215</v>
      </c>
    </row>
    <row r="41" spans="1:19" x14ac:dyDescent="0.35">
      <c r="A41" s="8">
        <v>44104</v>
      </c>
      <c r="B41" s="48">
        <v>2.73</v>
      </c>
      <c r="C41" s="48">
        <v>2.7570000000000001</v>
      </c>
      <c r="D41" s="48">
        <v>2.63</v>
      </c>
      <c r="E41" s="48">
        <v>2.7</v>
      </c>
      <c r="F41" s="48">
        <v>2.7</v>
      </c>
      <c r="G41">
        <v>1880700</v>
      </c>
      <c r="H41" s="48">
        <f>IF(tbl_RIOT[[#This Row],[Date]]=$A$5, $F41, EMA_Beta*$H40 + (1-EMA_Beta)*$F41)</f>
        <v>2.945305739641801</v>
      </c>
      <c r="I41" s="46">
        <f ca="1">IF(tbl_RIOT[[#This Row],[RS]]= "", "", 100-(100/(1+tbl_RIOT[[#This Row],[RS]])))</f>
        <v>44.85981308411214</v>
      </c>
      <c r="J41" s="48">
        <f ca="1">IF(ROW($N41)-4&lt;BB_Periods, "", AVERAGE(INDIRECT(ADDRESS(ROW($F41)-RSI_Periods +1, MATCH("Adj Close", Price_Header,0))): INDIRECT(ADDRESS(ROW($F41),MATCH("Adj Close", Price_Header,0)))))</f>
        <v>2.8614285714285717</v>
      </c>
      <c r="K41" s="48">
        <f ca="1">IF(tbl_RIOT[[#This Row],[BB_Mean]]="", "", tbl_RIOT[[#This Row],[BB_Mean]]+(BB_Width*tbl_RIOT[[#This Row],[BB_Stdev]]))</f>
        <v>3.1791955051643273</v>
      </c>
      <c r="L41" s="48">
        <f ca="1">IF(tbl_RIOT[[#This Row],[BB_Mean]]="", "", tbl_RIOT[[#This Row],[BB_Mean]]-(BB_Width*tbl_RIOT[[#This Row],[BB_Stdev]]))</f>
        <v>2.5436616376928161</v>
      </c>
      <c r="M41" s="46">
        <f>IF(ROW(tbl_RIOT[[#This Row],[Adj Close]])=5, 0, $F41-$F40)</f>
        <v>-5.9999999999999609E-2</v>
      </c>
      <c r="N41" s="46">
        <f>MAX(tbl_RIOT[[#This Row],[Move]],0)</f>
        <v>0</v>
      </c>
      <c r="O41" s="46">
        <f>MAX(-tbl_RIOT[[#This Row],[Move]],0)</f>
        <v>5.9999999999999609E-2</v>
      </c>
      <c r="P41" s="46">
        <f ca="1">IF(ROW($N41)-5&lt;RSI_Periods, "", AVERAGE(INDIRECT(ADDRESS(ROW($N41)-RSI_Periods +1, MATCH("Upmove", Price_Header,0))): INDIRECT(ADDRESS(ROW($N41),MATCH("Upmove", Price_Header,0)))))</f>
        <v>3.4285714285714218E-2</v>
      </c>
      <c r="Q41" s="46">
        <f ca="1">IF(ROW($O41)-5&lt;RSI_Periods, "", AVERAGE(INDIRECT(ADDRESS(ROW($O41)-RSI_Periods +1, MATCH("Downmove", Price_Header,0))): INDIRECT(ADDRESS(ROW($O41),MATCH("Downmove", Price_Header,0)))))</f>
        <v>4.2142857142857072E-2</v>
      </c>
      <c r="R41" s="46">
        <f ca="1">IF(tbl_RIOT[[#This Row],[Avg_Upmove]]="", "", tbl_RIOT[[#This Row],[Avg_Upmove]]/tbl_RIOT[[#This Row],[Avg_Downmove]])</f>
        <v>0.81355932203389802</v>
      </c>
      <c r="S41" s="48">
        <f ca="1">IF(ROW($N41)-4&lt;BB_Periods, "", _xlfn.STDEV.S(INDIRECT(ADDRESS(ROW($F41)-RSI_Periods +1, MATCH("Adj Close", Price_Header,0))): INDIRECT(ADDRESS(ROW($F41),MATCH("Adj Close", Price_Header,0)))))</f>
        <v>0.1588834668678778</v>
      </c>
    </row>
    <row r="42" spans="1:19" x14ac:dyDescent="0.35">
      <c r="A42" s="8">
        <v>44105</v>
      </c>
      <c r="B42" s="48">
        <v>2.71</v>
      </c>
      <c r="C42" s="48">
        <v>2.74</v>
      </c>
      <c r="D42" s="48">
        <v>2.62</v>
      </c>
      <c r="E42" s="48">
        <v>2.65</v>
      </c>
      <c r="F42" s="48">
        <v>2.65</v>
      </c>
      <c r="G42">
        <v>1740100</v>
      </c>
      <c r="H42" s="48">
        <f>IF(tbl_RIOT[[#This Row],[Date]]=$A$5, $F42, EMA_Beta*$H41 + (1-EMA_Beta)*$F42)</f>
        <v>2.915775165677621</v>
      </c>
      <c r="I42" s="46">
        <f ca="1">IF(tbl_RIOT[[#This Row],[RS]]= "", "", 100-(100/(1+tbl_RIOT[[#This Row],[RS]])))</f>
        <v>37.254901960784281</v>
      </c>
      <c r="J42" s="48">
        <f ca="1">IF(ROW($N42)-4&lt;BB_Periods, "", AVERAGE(INDIRECT(ADDRESS(ROW($F42)-RSI_Periods +1, MATCH("Adj Close", Price_Header,0))): INDIRECT(ADDRESS(ROW($F42),MATCH("Adj Close", Price_Header,0)))))</f>
        <v>2.842857142857143</v>
      </c>
      <c r="K42" s="48">
        <f ca="1">IF(tbl_RIOT[[#This Row],[BB_Mean]]="", "", tbl_RIOT[[#This Row],[BB_Mean]]+(BB_Width*tbl_RIOT[[#This Row],[BB_Stdev]]))</f>
        <v>3.1782951867917588</v>
      </c>
      <c r="L42" s="48">
        <f ca="1">IF(tbl_RIOT[[#This Row],[BB_Mean]]="", "", tbl_RIOT[[#This Row],[BB_Mean]]-(BB_Width*tbl_RIOT[[#This Row],[BB_Stdev]]))</f>
        <v>2.5074190989225271</v>
      </c>
      <c r="M42" s="46">
        <f>IF(ROW(tbl_RIOT[[#This Row],[Adj Close]])=5, 0, $F42-$F41)</f>
        <v>-5.0000000000000266E-2</v>
      </c>
      <c r="N42" s="46">
        <f>MAX(tbl_RIOT[[#This Row],[Move]],0)</f>
        <v>0</v>
      </c>
      <c r="O42" s="46">
        <f>MAX(-tbl_RIOT[[#This Row],[Move]],0)</f>
        <v>5.0000000000000266E-2</v>
      </c>
      <c r="P42" s="46">
        <f ca="1">IF(ROW($N42)-5&lt;RSI_Periods, "", AVERAGE(INDIRECT(ADDRESS(ROW($N42)-RSI_Periods +1, MATCH("Upmove", Price_Header,0))): INDIRECT(ADDRESS(ROW($N42),MATCH("Upmove", Price_Header,0)))))</f>
        <v>2.7142857142857073E-2</v>
      </c>
      <c r="Q42" s="46">
        <f ca="1">IF(ROW($O42)-5&lt;RSI_Periods, "", AVERAGE(INDIRECT(ADDRESS(ROW($O42)-RSI_Periods +1, MATCH("Downmove", Price_Header,0))): INDIRECT(ADDRESS(ROW($O42),MATCH("Downmove", Price_Header,0)))))</f>
        <v>4.5714285714285659E-2</v>
      </c>
      <c r="R42" s="46">
        <f ca="1">IF(tbl_RIOT[[#This Row],[Avg_Upmove]]="", "", tbl_RIOT[[#This Row],[Avg_Upmove]]/tbl_RIOT[[#This Row],[Avg_Downmove]])</f>
        <v>0.59374999999999922</v>
      </c>
      <c r="S42" s="48">
        <f ca="1">IF(ROW($N42)-4&lt;BB_Periods, "", _xlfn.STDEV.S(INDIRECT(ADDRESS(ROW($F42)-RSI_Periods +1, MATCH("Adj Close", Price_Header,0))): INDIRECT(ADDRESS(ROW($F42),MATCH("Adj Close", Price_Header,0)))))</f>
        <v>0.16771902196730792</v>
      </c>
    </row>
    <row r="43" spans="1:19" x14ac:dyDescent="0.35">
      <c r="A43" s="8">
        <v>44106</v>
      </c>
      <c r="B43" s="48">
        <v>2.5299999999999998</v>
      </c>
      <c r="C43" s="48">
        <v>2.61</v>
      </c>
      <c r="D43" s="48">
        <v>2.5</v>
      </c>
      <c r="E43" s="48">
        <v>2.6</v>
      </c>
      <c r="F43" s="48">
        <v>2.6</v>
      </c>
      <c r="G43">
        <v>2138300</v>
      </c>
      <c r="H43" s="48">
        <f>IF(tbl_RIOT[[#This Row],[Date]]=$A$5, $F43, EMA_Beta*$H42 + (1-EMA_Beta)*$F43)</f>
        <v>2.8841976491098587</v>
      </c>
      <c r="I43" s="46">
        <f ca="1">IF(tbl_RIOT[[#This Row],[RS]]= "", "", 100-(100/(1+tbl_RIOT[[#This Row],[RS]])))</f>
        <v>28.124999999999957</v>
      </c>
      <c r="J43" s="48">
        <f ca="1">IF(ROW($N43)-4&lt;BB_Periods, "", AVERAGE(INDIRECT(ADDRESS(ROW($F43)-RSI_Periods +1, MATCH("Adj Close", Price_Header,0))): INDIRECT(ADDRESS(ROW($F43),MATCH("Adj Close", Price_Header,0)))))</f>
        <v>2.8128571428571432</v>
      </c>
      <c r="K43" s="48">
        <f ca="1">IF(tbl_RIOT[[#This Row],[BB_Mean]]="", "", tbl_RIOT[[#This Row],[BB_Mean]]+(BB_Width*tbl_RIOT[[#This Row],[BB_Stdev]]))</f>
        <v>3.1551056869505634</v>
      </c>
      <c r="L43" s="48">
        <f ca="1">IF(tbl_RIOT[[#This Row],[BB_Mean]]="", "", tbl_RIOT[[#This Row],[BB_Mean]]-(BB_Width*tbl_RIOT[[#This Row],[BB_Stdev]]))</f>
        <v>2.470608598763723</v>
      </c>
      <c r="M43" s="46">
        <f>IF(ROW(tbl_RIOT[[#This Row],[Adj Close]])=5, 0, $F43-$F42)</f>
        <v>-4.9999999999999822E-2</v>
      </c>
      <c r="N43" s="46">
        <f>MAX(tbl_RIOT[[#This Row],[Move]],0)</f>
        <v>0</v>
      </c>
      <c r="O43" s="46">
        <f>MAX(-tbl_RIOT[[#This Row],[Move]],0)</f>
        <v>4.9999999999999822E-2</v>
      </c>
      <c r="P43" s="46">
        <f ca="1">IF(ROW($N43)-5&lt;RSI_Periods, "", AVERAGE(INDIRECT(ADDRESS(ROW($N43)-RSI_Periods +1, MATCH("Upmove", Price_Header,0))): INDIRECT(ADDRESS(ROW($N43),MATCH("Upmove", Price_Header,0)))))</f>
        <v>1.9285714285714222E-2</v>
      </c>
      <c r="Q43" s="46">
        <f ca="1">IF(ROW($O43)-5&lt;RSI_Periods, "", AVERAGE(INDIRECT(ADDRESS(ROW($O43)-RSI_Periods +1, MATCH("Downmove", Price_Header,0))): INDIRECT(ADDRESS(ROW($O43),MATCH("Downmove", Price_Header,0)))))</f>
        <v>4.9285714285714217E-2</v>
      </c>
      <c r="R43" s="46">
        <f ca="1">IF(tbl_RIOT[[#This Row],[Avg_Upmove]]="", "", tbl_RIOT[[#This Row],[Avg_Upmove]]/tbl_RIOT[[#This Row],[Avg_Downmove]])</f>
        <v>0.3913043478260862</v>
      </c>
      <c r="S43" s="48">
        <f ca="1">IF(ROW($N43)-4&lt;BB_Periods, "", _xlfn.STDEV.S(INDIRECT(ADDRESS(ROW($F43)-RSI_Periods +1, MATCH("Adj Close", Price_Header,0))): INDIRECT(ADDRESS(ROW($F43),MATCH("Adj Close", Price_Header,0)))))</f>
        <v>0.17112427204671013</v>
      </c>
    </row>
    <row r="44" spans="1:19" x14ac:dyDescent="0.35">
      <c r="A44" s="8">
        <v>44109</v>
      </c>
      <c r="B44" s="48">
        <v>2.63</v>
      </c>
      <c r="C44" s="48">
        <v>2.68</v>
      </c>
      <c r="D44" s="48">
        <v>2.57</v>
      </c>
      <c r="E44" s="48">
        <v>2.66</v>
      </c>
      <c r="F44" s="48">
        <v>2.66</v>
      </c>
      <c r="G44">
        <v>2044100</v>
      </c>
      <c r="H44" s="48">
        <f>IF(tbl_RIOT[[#This Row],[Date]]=$A$5, $F44, EMA_Beta*$H43 + (1-EMA_Beta)*$F44)</f>
        <v>2.8617778841988728</v>
      </c>
      <c r="I44" s="46">
        <f ca="1">IF(tbl_RIOT[[#This Row],[RS]]= "", "", 100-(100/(1+tbl_RIOT[[#This Row],[RS]])))</f>
        <v>32.999999999999972</v>
      </c>
      <c r="J44" s="48">
        <f ca="1">IF(ROW($N44)-4&lt;BB_Periods, "", AVERAGE(INDIRECT(ADDRESS(ROW($F44)-RSI_Periods +1, MATCH("Adj Close", Price_Header,0))): INDIRECT(ADDRESS(ROW($F44),MATCH("Adj Close", Price_Header,0)))))</f>
        <v>2.7885714285714291</v>
      </c>
      <c r="K44" s="48">
        <f ca="1">IF(tbl_RIOT[[#This Row],[BB_Mean]]="", "", tbl_RIOT[[#This Row],[BB_Mean]]+(BB_Width*tbl_RIOT[[#This Row],[BB_Stdev]]))</f>
        <v>3.1217479484623021</v>
      </c>
      <c r="L44" s="48">
        <f ca="1">IF(tbl_RIOT[[#This Row],[BB_Mean]]="", "", tbl_RIOT[[#This Row],[BB_Mean]]-(BB_Width*tbl_RIOT[[#This Row],[BB_Stdev]]))</f>
        <v>2.4553949086805562</v>
      </c>
      <c r="M44" s="46">
        <f>IF(ROW(tbl_RIOT[[#This Row],[Adj Close]])=5, 0, $F44-$F43)</f>
        <v>6.0000000000000053E-2</v>
      </c>
      <c r="N44" s="46">
        <f>MAX(tbl_RIOT[[#This Row],[Move]],0)</f>
        <v>6.0000000000000053E-2</v>
      </c>
      <c r="O44" s="46">
        <f>MAX(-tbl_RIOT[[#This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2.3571428571428514E-2</v>
      </c>
      <c r="Q44" s="46">
        <f ca="1">IF(ROW($O44)-5&lt;RSI_Periods, "", AVERAGE(INDIRECT(ADDRESS(ROW($O44)-RSI_Periods +1, MATCH("Downmove", Price_Header,0))): INDIRECT(ADDRESS(ROW($O44),MATCH("Downmove", Price_Header,0)))))</f>
        <v>4.7857142857142786E-2</v>
      </c>
      <c r="R44" s="46">
        <f ca="1">IF(tbl_RIOT[[#This Row],[Avg_Upmove]]="", "", tbl_RIOT[[#This Row],[Avg_Upmove]]/tbl_RIOT[[#This Row],[Avg_Downmove]])</f>
        <v>0.49253731343283536</v>
      </c>
      <c r="S44" s="48">
        <f ca="1">IF(ROW($N44)-4&lt;BB_Periods, "", _xlfn.STDEV.S(INDIRECT(ADDRESS(ROW($F44)-RSI_Periods +1, MATCH("Adj Close", Price_Header,0))): INDIRECT(ADDRESS(ROW($F44),MATCH("Adj Close", Price_Header,0)))))</f>
        <v>0.16658825994543652</v>
      </c>
    </row>
    <row r="45" spans="1:19" x14ac:dyDescent="0.35">
      <c r="A45" s="8">
        <v>44110</v>
      </c>
      <c r="B45" s="48">
        <v>2.66</v>
      </c>
      <c r="C45" s="48">
        <v>2.67</v>
      </c>
      <c r="D45" s="48">
        <v>2.5299999999999998</v>
      </c>
      <c r="E45" s="48">
        <v>2.57</v>
      </c>
      <c r="F45" s="48">
        <v>2.57</v>
      </c>
      <c r="G45">
        <v>2444300</v>
      </c>
      <c r="H45" s="48">
        <f>IF(tbl_RIOT[[#This Row],[Date]]=$A$5, $F45, EMA_Beta*$H44 + (1-EMA_Beta)*$F45)</f>
        <v>2.8326000957789859</v>
      </c>
      <c r="I45" s="46">
        <f ca="1">IF(tbl_RIOT[[#This Row],[RS]]= "", "", 100-(100/(1+tbl_RIOT[[#This Row],[RS]])))</f>
        <v>26.923076923076906</v>
      </c>
      <c r="J45" s="48">
        <f ca="1">IF(ROW($N45)-4&lt;BB_Periods, "", AVERAGE(INDIRECT(ADDRESS(ROW($F45)-RSI_Periods +1, MATCH("Adj Close", Price_Header,0))): INDIRECT(ADDRESS(ROW($F45),MATCH("Adj Close", Price_Header,0)))))</f>
        <v>2.754285714285714</v>
      </c>
      <c r="K45" s="48">
        <f ca="1">IF(tbl_RIOT[[#This Row],[BB_Mean]]="", "", tbl_RIOT[[#This Row],[BB_Mean]]+(BB_Width*tbl_RIOT[[#This Row],[BB_Stdev]]))</f>
        <v>3.0699012823636953</v>
      </c>
      <c r="L45" s="48">
        <f ca="1">IF(tbl_RIOT[[#This Row],[BB_Mean]]="", "", tbl_RIOT[[#This Row],[BB_Mean]]-(BB_Width*tbl_RIOT[[#This Row],[BB_Stdev]]))</f>
        <v>2.4386701462077327</v>
      </c>
      <c r="M45" s="46">
        <f>IF(ROW(tbl_RIOT[[#This Row],[Adj Close]])=5, 0, $F45-$F44)</f>
        <v>-9.0000000000000302E-2</v>
      </c>
      <c r="N45" s="46">
        <f>MAX(tbl_RIOT[[#This Row],[Move]],0)</f>
        <v>0</v>
      </c>
      <c r="O45" s="46">
        <f>MAX(-tbl_RIOT[[#This Row],[Move]],0)</f>
        <v>9.0000000000000302E-2</v>
      </c>
      <c r="P45" s="46">
        <f ca="1">IF(ROW($N45)-5&lt;RSI_Periods, "", AVERAGE(INDIRECT(ADDRESS(ROW($N45)-RSI_Periods +1, MATCH("Upmove", Price_Header,0))): INDIRECT(ADDRESS(ROW($N45),MATCH("Upmove", Price_Header,0)))))</f>
        <v>1.9999999999999955E-2</v>
      </c>
      <c r="Q45" s="46">
        <f ca="1">IF(ROW($O45)-5&lt;RSI_Periods, "", AVERAGE(INDIRECT(ADDRESS(ROW($O45)-RSI_Periods +1, MATCH("Downmove", Price_Header,0))): INDIRECT(ADDRESS(ROW($O45),MATCH("Downmove", Price_Header,0)))))</f>
        <v>5.4285714285714236E-2</v>
      </c>
      <c r="R45" s="46">
        <f ca="1">IF(tbl_RIOT[[#This Row],[Avg_Upmove]]="", "", tbl_RIOT[[#This Row],[Avg_Upmove]]/tbl_RIOT[[#This Row],[Avg_Downmove]])</f>
        <v>0.36842105263157848</v>
      </c>
      <c r="S45" s="48">
        <f ca="1">IF(ROW($N45)-4&lt;BB_Periods, "", _xlfn.STDEV.S(INDIRECT(ADDRESS(ROW($F45)-RSI_Periods +1, MATCH("Adj Close", Price_Header,0))): INDIRECT(ADDRESS(ROW($F45),MATCH("Adj Close", Price_Header,0)))))</f>
        <v>0.15780778403899062</v>
      </c>
    </row>
    <row r="46" spans="1:19" x14ac:dyDescent="0.35">
      <c r="A46" s="8">
        <v>44111</v>
      </c>
      <c r="B46" s="48">
        <v>2.57</v>
      </c>
      <c r="C46" s="48">
        <v>2.66</v>
      </c>
      <c r="D46" s="48">
        <v>2.54</v>
      </c>
      <c r="E46" s="48">
        <v>2.66</v>
      </c>
      <c r="F46" s="48">
        <v>2.66</v>
      </c>
      <c r="G46">
        <v>2148400</v>
      </c>
      <c r="H46" s="48">
        <f>IF(tbl_RIOT[[#This Row],[Date]]=$A$5, $F46, EMA_Beta*$H45 + (1-EMA_Beta)*$F46)</f>
        <v>2.8153400862010876</v>
      </c>
      <c r="I46" s="46">
        <f ca="1">IF(tbl_RIOT[[#This Row],[RS]]= "", "", 100-(100/(1+tbl_RIOT[[#This Row],[RS]])))</f>
        <v>34.259259259259252</v>
      </c>
      <c r="J46" s="48">
        <f ca="1">IF(ROW($N46)-4&lt;BB_Periods, "", AVERAGE(INDIRECT(ADDRESS(ROW($F46)-RSI_Periods +1, MATCH("Adj Close", Price_Header,0))): INDIRECT(ADDRESS(ROW($F46),MATCH("Adj Close", Price_Header,0)))))</f>
        <v>2.73</v>
      </c>
      <c r="K46" s="48">
        <f ca="1">IF(tbl_RIOT[[#This Row],[BB_Mean]]="", "", tbl_RIOT[[#This Row],[BB_Mean]]+(BB_Width*tbl_RIOT[[#This Row],[BB_Stdev]]))</f>
        <v>3.0150101212777702</v>
      </c>
      <c r="L46" s="48">
        <f ca="1">IF(tbl_RIOT[[#This Row],[BB_Mean]]="", "", tbl_RIOT[[#This Row],[BB_Mean]]-(BB_Width*tbl_RIOT[[#This Row],[BB_Stdev]]))</f>
        <v>2.4449898787222297</v>
      </c>
      <c r="M46" s="46">
        <f>IF(ROW(tbl_RIOT[[#This Row],[Adj Close]])=5, 0, $F46-$F45)</f>
        <v>9.0000000000000302E-2</v>
      </c>
      <c r="N46" s="46">
        <f>MAX(tbl_RIOT[[#This Row],[Move]],0)</f>
        <v>9.0000000000000302E-2</v>
      </c>
      <c r="O46" s="46">
        <f>MAX(-tbl_RIOT[[#This Row],[Move]],0)</f>
        <v>0</v>
      </c>
      <c r="P46" s="46">
        <f ca="1">IF(ROW($N46)-5&lt;RSI_Periods, "", AVERAGE(INDIRECT(ADDRESS(ROW($N46)-RSI_Periods +1, MATCH("Upmove", Price_Header,0))): INDIRECT(ADDRESS(ROW($N46),MATCH("Upmove", Price_Header,0)))))</f>
        <v>2.6428571428571405E-2</v>
      </c>
      <c r="Q46" s="46">
        <f ca="1">IF(ROW($O46)-5&lt;RSI_Periods, "", AVERAGE(INDIRECT(ADDRESS(ROW($O46)-RSI_Periods +1, MATCH("Downmove", Price_Header,0))): INDIRECT(ADDRESS(ROW($O46),MATCH("Downmove", Price_Header,0)))))</f>
        <v>5.0714285714285677E-2</v>
      </c>
      <c r="R46" s="46">
        <f ca="1">IF(tbl_RIOT[[#This Row],[Avg_Upmove]]="", "", tbl_RIOT[[#This Row],[Avg_Upmove]]/tbl_RIOT[[#This Row],[Avg_Downmove]])</f>
        <v>0.52112676056338025</v>
      </c>
      <c r="S46" s="48">
        <f ca="1">IF(ROW($N46)-4&lt;BB_Periods, "", _xlfn.STDEV.S(INDIRECT(ADDRESS(ROW($F46)-RSI_Periods +1, MATCH("Adj Close", Price_Header,0))): INDIRECT(ADDRESS(ROW($F46),MATCH("Adj Close", Price_Header,0)))))</f>
        <v>0.14250506063888504</v>
      </c>
    </row>
    <row r="47" spans="1:19" x14ac:dyDescent="0.35">
      <c r="A47" s="8">
        <v>44112</v>
      </c>
      <c r="B47" s="48">
        <v>2.77</v>
      </c>
      <c r="C47" s="48">
        <v>3.09</v>
      </c>
      <c r="D47" s="48">
        <v>2.72</v>
      </c>
      <c r="E47" s="48">
        <v>2.93</v>
      </c>
      <c r="F47" s="48">
        <v>2.93</v>
      </c>
      <c r="G47">
        <v>9775100</v>
      </c>
      <c r="H47" s="48">
        <f>IF(tbl_RIOT[[#This Row],[Date]]=$A$5, $F47, EMA_Beta*$H46 + (1-EMA_Beta)*$F47)</f>
        <v>2.8268060775809785</v>
      </c>
      <c r="I47" s="46">
        <f ca="1">IF(tbl_RIOT[[#This Row],[RS]]= "", "", 100-(100/(1+tbl_RIOT[[#This Row],[RS]])))</f>
        <v>45.384615384615401</v>
      </c>
      <c r="J47" s="48">
        <f ca="1">IF(ROW($N47)-4&lt;BB_Periods, "", AVERAGE(INDIRECT(ADDRESS(ROW($F47)-RSI_Periods +1, MATCH("Adj Close", Price_Header,0))): INDIRECT(ADDRESS(ROW($F47),MATCH("Adj Close", Price_Header,0)))))</f>
        <v>2.7214285714285715</v>
      </c>
      <c r="K47" s="48">
        <f ca="1">IF(tbl_RIOT[[#This Row],[BB_Mean]]="", "", tbl_RIOT[[#This Row],[BB_Mean]]+(BB_Width*tbl_RIOT[[#This Row],[BB_Stdev]]))</f>
        <v>2.969852172791819</v>
      </c>
      <c r="L47" s="48">
        <f ca="1">IF(tbl_RIOT[[#This Row],[BB_Mean]]="", "", tbl_RIOT[[#This Row],[BB_Mean]]-(BB_Width*tbl_RIOT[[#This Row],[BB_Stdev]]))</f>
        <v>2.473004970065324</v>
      </c>
      <c r="M47" s="46">
        <f>IF(ROW(tbl_RIOT[[#This Row],[Adj Close]])=5, 0, $F47-$F46)</f>
        <v>0.27</v>
      </c>
      <c r="N47" s="46">
        <f>MAX(tbl_RIOT[[#This Row],[Move]],0)</f>
        <v>0.27</v>
      </c>
      <c r="O47" s="46">
        <f>MAX(-tbl_RIOT[[#This Row],[Move]],0)</f>
        <v>0</v>
      </c>
      <c r="P47" s="46">
        <f ca="1">IF(ROW($N47)-5&lt;RSI_Periods, "", AVERAGE(INDIRECT(ADDRESS(ROW($N47)-RSI_Periods +1, MATCH("Upmove", Price_Header,0))): INDIRECT(ADDRESS(ROW($N47),MATCH("Upmove", Price_Header,0)))))</f>
        <v>4.2142857142857135E-2</v>
      </c>
      <c r="Q47" s="46">
        <f ca="1">IF(ROW($O47)-5&lt;RSI_Periods, "", AVERAGE(INDIRECT(ADDRESS(ROW($O47)-RSI_Periods +1, MATCH("Downmove", Price_Header,0))): INDIRECT(ADDRESS(ROW($O47),MATCH("Downmove", Price_Header,0)))))</f>
        <v>5.0714285714285677E-2</v>
      </c>
      <c r="R47" s="46">
        <f ca="1">IF(tbl_RIOT[[#This Row],[Avg_Upmove]]="", "", tbl_RIOT[[#This Row],[Avg_Upmove]]/tbl_RIOT[[#This Row],[Avg_Downmove]])</f>
        <v>0.83098591549295819</v>
      </c>
      <c r="S47" s="48">
        <f ca="1">IF(ROW($N47)-4&lt;BB_Periods, "", _xlfn.STDEV.S(INDIRECT(ADDRESS(ROW($F47)-RSI_Periods +1, MATCH("Adj Close", Price_Header,0))): INDIRECT(ADDRESS(ROW($F47),MATCH("Adj Close", Price_Header,0)))))</f>
        <v>0.12421180068162381</v>
      </c>
    </row>
    <row r="48" spans="1:19" x14ac:dyDescent="0.35">
      <c r="A48" s="8">
        <v>44113</v>
      </c>
      <c r="B48" s="48">
        <v>3.15</v>
      </c>
      <c r="C48" s="48">
        <v>3.15</v>
      </c>
      <c r="D48" s="48">
        <v>2.96</v>
      </c>
      <c r="E48" s="48">
        <v>3.0950000000000002</v>
      </c>
      <c r="F48" s="48">
        <v>3.0950000000000002</v>
      </c>
      <c r="G48">
        <v>6511000</v>
      </c>
      <c r="H48" s="48">
        <f>IF(tbl_RIOT[[#This Row],[Date]]=$A$5, $F48, EMA_Beta*$H47 + (1-EMA_Beta)*$F48)</f>
        <v>2.8536254698228807</v>
      </c>
      <c r="I48" s="46">
        <f ca="1">IF(tbl_RIOT[[#This Row],[RS]]= "", "", 100-(100/(1+tbl_RIOT[[#This Row],[RS]])))</f>
        <v>56.133828996282531</v>
      </c>
      <c r="J48" s="48">
        <f ca="1">IF(ROW($N48)-4&lt;BB_Periods, "", AVERAGE(INDIRECT(ADDRESS(ROW($F48)-RSI_Periods +1, MATCH("Adj Close", Price_Header,0))): INDIRECT(ADDRESS(ROW($F48),MATCH("Adj Close", Price_Header,0)))))</f>
        <v>2.7332142857142854</v>
      </c>
      <c r="K48" s="48">
        <f ca="1">IF(tbl_RIOT[[#This Row],[BB_Mean]]="", "", tbl_RIOT[[#This Row],[BB_Mean]]+(BB_Width*tbl_RIOT[[#This Row],[BB_Stdev]]))</f>
        <v>3.0343303416144636</v>
      </c>
      <c r="L48" s="48">
        <f ca="1">IF(tbl_RIOT[[#This Row],[BB_Mean]]="", "", tbl_RIOT[[#This Row],[BB_Mean]]-(BB_Width*tbl_RIOT[[#This Row],[BB_Stdev]]))</f>
        <v>2.4320982298141072</v>
      </c>
      <c r="M48" s="46">
        <f>IF(ROW(tbl_RIOT[[#This Row],[Adj Close]])=5, 0, $F48-$F47)</f>
        <v>0.16500000000000004</v>
      </c>
      <c r="N48" s="46">
        <f>MAX(tbl_RIOT[[#This Row],[Move]],0)</f>
        <v>0.16500000000000004</v>
      </c>
      <c r="O48" s="46">
        <f>MAX(-tbl_RIOT[[#This Row],[Move]],0)</f>
        <v>0</v>
      </c>
      <c r="P48" s="46">
        <f ca="1">IF(ROW($N48)-5&lt;RSI_Periods, "", AVERAGE(INDIRECT(ADDRESS(ROW($N48)-RSI_Periods +1, MATCH("Upmove", Price_Header,0))): INDIRECT(ADDRESS(ROW($N48),MATCH("Upmove", Price_Header,0)))))</f>
        <v>5.3928571428571423E-2</v>
      </c>
      <c r="Q48" s="46">
        <f ca="1">IF(ROW($O48)-5&lt;RSI_Periods, "", AVERAGE(INDIRECT(ADDRESS(ROW($O48)-RSI_Periods +1, MATCH("Downmove", Price_Header,0))): INDIRECT(ADDRESS(ROW($O48),MATCH("Downmove", Price_Header,0)))))</f>
        <v>4.2142857142857135E-2</v>
      </c>
      <c r="R48" s="46">
        <f ca="1">IF(tbl_RIOT[[#This Row],[Avg_Upmove]]="", "", tbl_RIOT[[#This Row],[Avg_Upmove]]/tbl_RIOT[[#This Row],[Avg_Downmove]])</f>
        <v>1.2796610169491527</v>
      </c>
      <c r="S48" s="48">
        <f ca="1">IF(ROW($N48)-4&lt;BB_Periods, "", _xlfn.STDEV.S(INDIRECT(ADDRESS(ROW($F48)-RSI_Periods +1, MATCH("Adj Close", Price_Header,0))): INDIRECT(ADDRESS(ROW($F48),MATCH("Adj Close", Price_Header,0)))))</f>
        <v>0.15055802795008905</v>
      </c>
    </row>
    <row r="49" spans="1:19" x14ac:dyDescent="0.35">
      <c r="A49" s="8">
        <v>44116</v>
      </c>
      <c r="B49" s="48">
        <v>3.22</v>
      </c>
      <c r="C49" s="48">
        <v>3.65</v>
      </c>
      <c r="D49" s="48">
        <v>3.16</v>
      </c>
      <c r="E49" s="48">
        <v>3.5</v>
      </c>
      <c r="F49" s="48">
        <v>3.5</v>
      </c>
      <c r="G49">
        <v>12692100</v>
      </c>
      <c r="H49" s="48">
        <f>IF(tbl_RIOT[[#This Row],[Date]]=$A$5, $F49, EMA_Beta*$H48 + (1-EMA_Beta)*$F49)</f>
        <v>2.9182629228405927</v>
      </c>
      <c r="I49" s="46">
        <f ca="1">IF(tbl_RIOT[[#This Row],[RS]]= "", "", 100-(100/(1+tbl_RIOT[[#This Row],[RS]])))</f>
        <v>66.285714285714278</v>
      </c>
      <c r="J49" s="48">
        <f ca="1">IF(ROW($N49)-4&lt;BB_Periods, "", AVERAGE(INDIRECT(ADDRESS(ROW($F49)-RSI_Periods +1, MATCH("Adj Close", Price_Header,0))): INDIRECT(ADDRESS(ROW($F49),MATCH("Adj Close", Price_Header,0)))))</f>
        <v>2.7739285714285713</v>
      </c>
      <c r="K49" s="48">
        <f ca="1">IF(tbl_RIOT[[#This Row],[BB_Mean]]="", "", tbl_RIOT[[#This Row],[BB_Mean]]+(BB_Width*tbl_RIOT[[#This Row],[BB_Stdev]]))</f>
        <v>3.2764480478429929</v>
      </c>
      <c r="L49" s="48">
        <f ca="1">IF(tbl_RIOT[[#This Row],[BB_Mean]]="", "", tbl_RIOT[[#This Row],[BB_Mean]]-(BB_Width*tbl_RIOT[[#This Row],[BB_Stdev]]))</f>
        <v>2.2714090950141497</v>
      </c>
      <c r="M49" s="46">
        <f>IF(ROW(tbl_RIOT[[#This Row],[Adj Close]])=5, 0, $F49-$F48)</f>
        <v>0.4049999999999998</v>
      </c>
      <c r="N49" s="46">
        <f>MAX(tbl_RIOT[[#This Row],[Move]],0)</f>
        <v>0.4049999999999998</v>
      </c>
      <c r="O49" s="46">
        <f>MAX(-tbl_RIOT[[#This Row],[Move]],0)</f>
        <v>0</v>
      </c>
      <c r="P49" s="46">
        <f ca="1">IF(ROW($N49)-5&lt;RSI_Periods, "", AVERAGE(INDIRECT(ADDRESS(ROW($N49)-RSI_Periods +1, MATCH("Upmove", Price_Header,0))): INDIRECT(ADDRESS(ROW($N49),MATCH("Upmove", Price_Header,0)))))</f>
        <v>8.2857142857142838E-2</v>
      </c>
      <c r="Q49" s="46">
        <f ca="1">IF(ROW($O49)-5&lt;RSI_Periods, "", AVERAGE(INDIRECT(ADDRESS(ROW($O49)-RSI_Periods +1, MATCH("Downmove", Price_Header,0))): INDIRECT(ADDRESS(ROW($O49),MATCH("Downmove", Price_Header,0)))))</f>
        <v>4.2142857142857135E-2</v>
      </c>
      <c r="R49" s="46">
        <f ca="1">IF(tbl_RIOT[[#This Row],[Avg_Upmove]]="", "", tbl_RIOT[[#This Row],[Avg_Upmove]]/tbl_RIOT[[#This Row],[Avg_Downmove]])</f>
        <v>1.9661016949152541</v>
      </c>
      <c r="S49" s="48">
        <f ca="1">IF(ROW($N49)-4&lt;BB_Periods, "", _xlfn.STDEV.S(INDIRECT(ADDRESS(ROW($F49)-RSI_Periods +1, MATCH("Adj Close", Price_Header,0))): INDIRECT(ADDRESS(ROW($F49),MATCH("Adj Close", Price_Header,0)))))</f>
        <v>0.2512597382072107</v>
      </c>
    </row>
    <row r="50" spans="1:19" x14ac:dyDescent="0.35">
      <c r="A50" s="8">
        <v>44117</v>
      </c>
      <c r="B50" s="48">
        <v>3.4670000000000001</v>
      </c>
      <c r="C50" s="48">
        <v>3.47</v>
      </c>
      <c r="D50" s="48">
        <v>3.22</v>
      </c>
      <c r="E50" s="48">
        <v>3.37</v>
      </c>
      <c r="F50" s="48">
        <v>3.37</v>
      </c>
      <c r="G50">
        <v>5209300</v>
      </c>
      <c r="H50" s="48">
        <f>IF(tbl_RIOT[[#This Row],[Date]]=$A$5, $F50, EMA_Beta*$H49 + (1-EMA_Beta)*$F50)</f>
        <v>2.9634366305565334</v>
      </c>
      <c r="I50" s="46">
        <f ca="1">IF(tbl_RIOT[[#This Row],[RS]]= "", "", 100-(100/(1+tbl_RIOT[[#This Row],[RS]])))</f>
        <v>74.838709677419359</v>
      </c>
      <c r="J50" s="48">
        <f ca="1">IF(ROW($N50)-4&lt;BB_Periods, "", AVERAGE(INDIRECT(ADDRESS(ROW($F50)-RSI_Periods +1, MATCH("Adj Close", Price_Header,0))): INDIRECT(ADDRESS(ROW($F50),MATCH("Adj Close", Price_Header,0)))))</f>
        <v>2.828928571428571</v>
      </c>
      <c r="K50" s="48">
        <f ca="1">IF(tbl_RIOT[[#This Row],[BB_Mean]]="", "", tbl_RIOT[[#This Row],[BB_Mean]]+(BB_Width*tbl_RIOT[[#This Row],[BB_Stdev]]))</f>
        <v>3.4116038150767283</v>
      </c>
      <c r="L50" s="48">
        <f ca="1">IF(tbl_RIOT[[#This Row],[BB_Mean]]="", "", tbl_RIOT[[#This Row],[BB_Mean]]-(BB_Width*tbl_RIOT[[#This Row],[BB_Stdev]]))</f>
        <v>2.2462533277804138</v>
      </c>
      <c r="M50" s="46">
        <f>IF(ROW(tbl_RIOT[[#This Row],[Adj Close]])=5, 0, $F50-$F49)</f>
        <v>-0.12999999999999989</v>
      </c>
      <c r="N50" s="46">
        <f>MAX(tbl_RIOT[[#This Row],[Move]],0)</f>
        <v>0</v>
      </c>
      <c r="O50" s="46">
        <f>MAX(-tbl_RIOT[[#This Row],[Move]],0)</f>
        <v>0.12999999999999989</v>
      </c>
      <c r="P50" s="46">
        <f ca="1">IF(ROW($N50)-5&lt;RSI_Periods, "", AVERAGE(INDIRECT(ADDRESS(ROW($N50)-RSI_Periods +1, MATCH("Upmove", Price_Header,0))): INDIRECT(ADDRESS(ROW($N50),MATCH("Upmove", Price_Header,0)))))</f>
        <v>8.2857142857142838E-2</v>
      </c>
      <c r="Q50" s="46">
        <f ca="1">IF(ROW($O50)-5&lt;RSI_Periods, "", AVERAGE(INDIRECT(ADDRESS(ROW($O50)-RSI_Periods +1, MATCH("Downmove", Price_Header,0))): INDIRECT(ADDRESS(ROW($O50),MATCH("Downmove", Price_Header,0)))))</f>
        <v>2.7857142857142834E-2</v>
      </c>
      <c r="R50" s="46">
        <f ca="1">IF(tbl_RIOT[[#This Row],[Avg_Upmove]]="", "", tbl_RIOT[[#This Row],[Avg_Upmove]]/tbl_RIOT[[#This Row],[Avg_Downmove]])</f>
        <v>2.9743589743589762</v>
      </c>
      <c r="S50" s="48">
        <f ca="1">IF(ROW($N50)-4&lt;BB_Periods, "", _xlfn.STDEV.S(INDIRECT(ADDRESS(ROW($F50)-RSI_Periods +1, MATCH("Adj Close", Price_Header,0))): INDIRECT(ADDRESS(ROW($F50),MATCH("Adj Close", Price_Header,0)))))</f>
        <v>0.29133762182407869</v>
      </c>
    </row>
    <row r="51" spans="1:19" x14ac:dyDescent="0.35">
      <c r="A51" s="8">
        <v>44118</v>
      </c>
      <c r="B51" s="48">
        <v>3.33</v>
      </c>
      <c r="C51" s="48">
        <v>3.49</v>
      </c>
      <c r="D51" s="48">
        <v>3.21</v>
      </c>
      <c r="E51" s="48">
        <v>3.28</v>
      </c>
      <c r="F51" s="48">
        <v>3.28</v>
      </c>
      <c r="G51">
        <v>4023900</v>
      </c>
      <c r="H51" s="48">
        <f>IF(tbl_RIOT[[#This Row],[Date]]=$A$5, $F51, EMA_Beta*$H50 + (1-EMA_Beta)*$F51)</f>
        <v>2.9950929675008799</v>
      </c>
      <c r="I51" s="46">
        <f ca="1">IF(tbl_RIOT[[#This Row],[RS]]= "", "", 100-(100/(1+tbl_RIOT[[#This Row],[RS]])))</f>
        <v>69.032258064516128</v>
      </c>
      <c r="J51" s="48">
        <f ca="1">IF(ROW($N51)-4&lt;BB_Periods, "", AVERAGE(INDIRECT(ADDRESS(ROW($F51)-RSI_Periods +1, MATCH("Adj Close", Price_Header,0))): INDIRECT(ADDRESS(ROW($F51),MATCH("Adj Close", Price_Header,0)))))</f>
        <v>2.8710714285714287</v>
      </c>
      <c r="K51" s="48">
        <f ca="1">IF(tbl_RIOT[[#This Row],[BB_Mean]]="", "", tbl_RIOT[[#This Row],[BB_Mean]]+(BB_Width*tbl_RIOT[[#This Row],[BB_Stdev]]))</f>
        <v>3.4943898256814645</v>
      </c>
      <c r="L51" s="48">
        <f ca="1">IF(tbl_RIOT[[#This Row],[BB_Mean]]="", "", tbl_RIOT[[#This Row],[BB_Mean]]-(BB_Width*tbl_RIOT[[#This Row],[BB_Stdev]]))</f>
        <v>2.2477530314613929</v>
      </c>
      <c r="M51" s="46">
        <f>IF(ROW(tbl_RIOT[[#This Row],[Adj Close]])=5, 0, $F51-$F50)</f>
        <v>-9.0000000000000302E-2</v>
      </c>
      <c r="N51" s="46">
        <f>MAX(tbl_RIOT[[#This Row],[Move]],0)</f>
        <v>0</v>
      </c>
      <c r="O51" s="46">
        <f>MAX(-tbl_RIOT[[#This Row],[Move]],0)</f>
        <v>9.0000000000000302E-2</v>
      </c>
      <c r="P51" s="46">
        <f ca="1">IF(ROW($N51)-5&lt;RSI_Periods, "", AVERAGE(INDIRECT(ADDRESS(ROW($N51)-RSI_Periods +1, MATCH("Upmove", Price_Header,0))): INDIRECT(ADDRESS(ROW($N51),MATCH("Upmove", Price_Header,0)))))</f>
        <v>7.6428571428571415E-2</v>
      </c>
      <c r="Q51" s="46">
        <f ca="1">IF(ROW($O51)-5&lt;RSI_Periods, "", AVERAGE(INDIRECT(ADDRESS(ROW($O51)-RSI_Periods +1, MATCH("Downmove", Price_Header,0))): INDIRECT(ADDRESS(ROW($O51),MATCH("Downmove", Price_Header,0)))))</f>
        <v>3.4285714285714287E-2</v>
      </c>
      <c r="R51" s="46">
        <f ca="1">IF(tbl_RIOT[[#This Row],[Avg_Upmove]]="", "", tbl_RIOT[[#This Row],[Avg_Upmove]]/tbl_RIOT[[#This Row],[Avg_Downmove]])</f>
        <v>2.2291666666666661</v>
      </c>
      <c r="S51" s="48">
        <f ca="1">IF(ROW($N51)-4&lt;BB_Periods, "", _xlfn.STDEV.S(INDIRECT(ADDRESS(ROW($F51)-RSI_Periods +1, MATCH("Adj Close", Price_Header,0))): INDIRECT(ADDRESS(ROW($F51),MATCH("Adj Close", Price_Header,0)))))</f>
        <v>0.31165919855501778</v>
      </c>
    </row>
    <row r="52" spans="1:19" x14ac:dyDescent="0.35">
      <c r="A52" s="8">
        <v>44119</v>
      </c>
      <c r="B52" s="48">
        <v>3.1760000000000002</v>
      </c>
      <c r="C52" s="48">
        <v>3.47</v>
      </c>
      <c r="D52" s="48">
        <v>3.0760000000000001</v>
      </c>
      <c r="E52" s="48">
        <v>3.4</v>
      </c>
      <c r="F52" s="48">
        <v>3.4</v>
      </c>
      <c r="G52">
        <v>3605700</v>
      </c>
      <c r="H52" s="48">
        <f>IF(tbl_RIOT[[#This Row],[Date]]=$A$5, $F52, EMA_Beta*$H51 + (1-EMA_Beta)*$F52)</f>
        <v>3.0355836707507917</v>
      </c>
      <c r="I52" s="46">
        <f ca="1">IF(tbl_RIOT[[#This Row],[RS]]= "", "", 100-(100/(1+tbl_RIOT[[#This Row],[RS]])))</f>
        <v>71.686746987951793</v>
      </c>
      <c r="J52" s="48">
        <f ca="1">IF(ROW($N52)-4&lt;BB_Periods, "", AVERAGE(INDIRECT(ADDRESS(ROW($F52)-RSI_Periods +1, MATCH("Adj Close", Price_Header,0))): INDIRECT(ADDRESS(ROW($F52),MATCH("Adj Close", Price_Header,0)))))</f>
        <v>2.9224999999999999</v>
      </c>
      <c r="K52" s="48">
        <f ca="1">IF(tbl_RIOT[[#This Row],[BB_Mean]]="", "", tbl_RIOT[[#This Row],[BB_Mean]]+(BB_Width*tbl_RIOT[[#This Row],[BB_Stdev]]))</f>
        <v>3.594795150384686</v>
      </c>
      <c r="L52" s="48">
        <f ca="1">IF(tbl_RIOT[[#This Row],[BB_Mean]]="", "", tbl_RIOT[[#This Row],[BB_Mean]]-(BB_Width*tbl_RIOT[[#This Row],[BB_Stdev]]))</f>
        <v>2.2502048496153138</v>
      </c>
      <c r="M52" s="46">
        <f>IF(ROW(tbl_RIOT[[#This Row],[Adj Close]])=5, 0, $F52-$F51)</f>
        <v>0.12000000000000011</v>
      </c>
      <c r="N52" s="46">
        <f>MAX(tbl_RIOT[[#This Row],[Move]],0)</f>
        <v>0.12000000000000011</v>
      </c>
      <c r="O52" s="46">
        <f>MAX(-tbl_RIOT[[#This Row],[Move]],0)</f>
        <v>0</v>
      </c>
      <c r="P52" s="46">
        <f ca="1">IF(ROW($N52)-5&lt;RSI_Periods, "", AVERAGE(INDIRECT(ADDRESS(ROW($N52)-RSI_Periods +1, MATCH("Upmove", Price_Header,0))): INDIRECT(ADDRESS(ROW($N52),MATCH("Upmove", Price_Header,0)))))</f>
        <v>8.4999999999999992E-2</v>
      </c>
      <c r="Q52" s="46">
        <f ca="1">IF(ROW($O52)-5&lt;RSI_Periods, "", AVERAGE(INDIRECT(ADDRESS(ROW($O52)-RSI_Periods +1, MATCH("Downmove", Price_Header,0))): INDIRECT(ADDRESS(ROW($O52),MATCH("Downmove", Price_Header,0)))))</f>
        <v>3.3571428571428585E-2</v>
      </c>
      <c r="R52" s="46">
        <f ca="1">IF(tbl_RIOT[[#This Row],[Avg_Upmove]]="", "", tbl_RIOT[[#This Row],[Avg_Upmove]]/tbl_RIOT[[#This Row],[Avg_Downmove]])</f>
        <v>2.5319148936170199</v>
      </c>
      <c r="S52" s="48">
        <f ca="1">IF(ROW($N52)-4&lt;BB_Periods, "", _xlfn.STDEV.S(INDIRECT(ADDRESS(ROW($F52)-RSI_Periods +1, MATCH("Adj Close", Price_Header,0))): INDIRECT(ADDRESS(ROW($F52),MATCH("Adj Close", Price_Header,0)))))</f>
        <v>0.33614757519234312</v>
      </c>
    </row>
    <row r="53" spans="1:19" x14ac:dyDescent="0.35">
      <c r="A53" s="8">
        <v>44120</v>
      </c>
      <c r="B53" s="48">
        <v>3.37</v>
      </c>
      <c r="C53" s="48">
        <v>3.37</v>
      </c>
      <c r="D53" s="48">
        <v>3.11</v>
      </c>
      <c r="E53" s="48">
        <v>3.11</v>
      </c>
      <c r="F53" s="48">
        <v>3.11</v>
      </c>
      <c r="G53">
        <v>4208700</v>
      </c>
      <c r="H53" s="48">
        <f>IF(tbl_RIOT[[#This Row],[Date]]=$A$5, $F53, EMA_Beta*$H52 + (1-EMA_Beta)*$F53)</f>
        <v>3.0430253036757127</v>
      </c>
      <c r="I53" s="46">
        <f ca="1">IF(tbl_RIOT[[#This Row],[RS]]= "", "", 100-(100/(1+tbl_RIOT[[#This Row],[RS]])))</f>
        <v>59.788359788359784</v>
      </c>
      <c r="J53" s="48">
        <f ca="1">IF(ROW($N53)-4&lt;BB_Periods, "", AVERAGE(INDIRECT(ADDRESS(ROW($F53)-RSI_Periods +1, MATCH("Adj Close", Price_Header,0))): INDIRECT(ADDRESS(ROW($F53),MATCH("Adj Close", Price_Header,0)))))</f>
        <v>2.9489285714285711</v>
      </c>
      <c r="K53" s="48">
        <f ca="1">IF(tbl_RIOT[[#This Row],[BB_Mean]]="", "", tbl_RIOT[[#This Row],[BB_Mean]]+(BB_Width*tbl_RIOT[[#This Row],[BB_Stdev]]))</f>
        <v>3.6194069146964307</v>
      </c>
      <c r="L53" s="48">
        <f ca="1">IF(tbl_RIOT[[#This Row],[BB_Mean]]="", "", tbl_RIOT[[#This Row],[BB_Mean]]-(BB_Width*tbl_RIOT[[#This Row],[BB_Stdev]]))</f>
        <v>2.2784502281607115</v>
      </c>
      <c r="M53" s="46">
        <f>IF(ROW(tbl_RIOT[[#This Row],[Adj Close]])=5, 0, $F53-$F52)</f>
        <v>-0.29000000000000004</v>
      </c>
      <c r="N53" s="46">
        <f>MAX(tbl_RIOT[[#This Row],[Move]],0)</f>
        <v>0</v>
      </c>
      <c r="O53" s="46">
        <f>MAX(-tbl_RIOT[[#This Row],[Move]],0)</f>
        <v>0.29000000000000004</v>
      </c>
      <c r="P53" s="46">
        <f ca="1">IF(ROW($N53)-5&lt;RSI_Periods, "", AVERAGE(INDIRECT(ADDRESS(ROW($N53)-RSI_Periods +1, MATCH("Upmove", Price_Header,0))): INDIRECT(ADDRESS(ROW($N53),MATCH("Upmove", Price_Header,0)))))</f>
        <v>8.0714285714285711E-2</v>
      </c>
      <c r="Q53" s="46">
        <f ca="1">IF(ROW($O53)-5&lt;RSI_Periods, "", AVERAGE(INDIRECT(ADDRESS(ROW($O53)-RSI_Periods +1, MATCH("Downmove", Price_Header,0))): INDIRECT(ADDRESS(ROW($O53),MATCH("Downmove", Price_Header,0)))))</f>
        <v>5.4285714285714305E-2</v>
      </c>
      <c r="R53" s="46">
        <f ca="1">IF(tbl_RIOT[[#This Row],[Avg_Upmove]]="", "", tbl_RIOT[[#This Row],[Avg_Upmove]]/tbl_RIOT[[#This Row],[Avg_Downmove]])</f>
        <v>1.4868421052631573</v>
      </c>
      <c r="S53" s="48">
        <f ca="1">IF(ROW($N53)-4&lt;BB_Periods, "", _xlfn.STDEV.S(INDIRECT(ADDRESS(ROW($F53)-RSI_Periods +1, MATCH("Adj Close", Price_Header,0))): INDIRECT(ADDRESS(ROW($F53),MATCH("Adj Close", Price_Header,0)))))</f>
        <v>0.33523917163392986</v>
      </c>
    </row>
    <row r="54" spans="1:19" x14ac:dyDescent="0.35">
      <c r="A54" s="8">
        <v>44123</v>
      </c>
      <c r="B54" s="48">
        <v>3.32</v>
      </c>
      <c r="C54" s="48">
        <v>3.55</v>
      </c>
      <c r="D54" s="48">
        <v>3.25</v>
      </c>
      <c r="E54" s="48">
        <v>3.3</v>
      </c>
      <c r="F54" s="48">
        <v>3.3</v>
      </c>
      <c r="G54">
        <v>8712127</v>
      </c>
      <c r="H54" s="48">
        <f>IF(tbl_RIOT[[#This Row],[Date]]=$A$5, $F54, EMA_Beta*$H53 + (1-EMA_Beta)*$F54)</f>
        <v>3.0687227733081417</v>
      </c>
      <c r="I54" s="46">
        <f ca="1">IF(tbl_RIOT[[#This Row],[RS]]= "", "", 100-(100/(1+tbl_RIOT[[#This Row],[RS]])))</f>
        <v>63.106796116504853</v>
      </c>
      <c r="J54" s="48">
        <f ca="1">IF(ROW($N54)-4&lt;BB_Periods, "", AVERAGE(INDIRECT(ADDRESS(ROW($F54)-RSI_Periods +1, MATCH("Adj Close", Price_Header,0))): INDIRECT(ADDRESS(ROW($F54),MATCH("Adj Close", Price_Header,0)))))</f>
        <v>2.9874999999999998</v>
      </c>
      <c r="K54" s="48">
        <f ca="1">IF(tbl_RIOT[[#This Row],[BB_Mean]]="", "", tbl_RIOT[[#This Row],[BB_Mean]]+(BB_Width*tbl_RIOT[[#This Row],[BB_Stdev]]))</f>
        <v>3.6731187547924034</v>
      </c>
      <c r="L54" s="48">
        <f ca="1">IF(tbl_RIOT[[#This Row],[BB_Mean]]="", "", tbl_RIOT[[#This Row],[BB_Mean]]-(BB_Width*tbl_RIOT[[#This Row],[BB_Stdev]]))</f>
        <v>2.3018812452075963</v>
      </c>
      <c r="M54" s="46">
        <f>IF(ROW(tbl_RIOT[[#This Row],[Adj Close]])=5, 0, $F54-$F53)</f>
        <v>0.18999999999999995</v>
      </c>
      <c r="N54" s="46">
        <f>MAX(tbl_RIOT[[#This Row],[Move]],0)</f>
        <v>0.18999999999999995</v>
      </c>
      <c r="O54" s="46">
        <f>MAX(-tbl_RIOT[[#This Row],[Move]],0)</f>
        <v>0</v>
      </c>
      <c r="P54" s="46">
        <f ca="1">IF(ROW($N54)-5&lt;RSI_Periods, "", AVERAGE(INDIRECT(ADDRESS(ROW($N54)-RSI_Periods +1, MATCH("Upmove", Price_Header,0))): INDIRECT(ADDRESS(ROW($N54),MATCH("Upmove", Price_Header,0)))))</f>
        <v>9.2857142857142874E-2</v>
      </c>
      <c r="Q54" s="46">
        <f ca="1">IF(ROW($O54)-5&lt;RSI_Periods, "", AVERAGE(INDIRECT(ADDRESS(ROW($O54)-RSI_Periods +1, MATCH("Downmove", Price_Header,0))): INDIRECT(ADDRESS(ROW($O54),MATCH("Downmove", Price_Header,0)))))</f>
        <v>5.4285714285714305E-2</v>
      </c>
      <c r="R54" s="46">
        <f ca="1">IF(tbl_RIOT[[#This Row],[Avg_Upmove]]="", "", tbl_RIOT[[#This Row],[Avg_Upmove]]/tbl_RIOT[[#This Row],[Avg_Downmove]])</f>
        <v>1.7105263157894735</v>
      </c>
      <c r="S54" s="48">
        <f ca="1">IF(ROW($N54)-4&lt;BB_Periods, "", _xlfn.STDEV.S(INDIRECT(ADDRESS(ROW($F54)-RSI_Periods +1, MATCH("Adj Close", Price_Header,0))): INDIRECT(ADDRESS(ROW($F54),MATCH("Adj Close", Price_Header,0)))))</f>
        <v>0.34280937739620171</v>
      </c>
    </row>
    <row r="55" spans="1:19" x14ac:dyDescent="0.35">
      <c r="A55" s="8">
        <v>44124</v>
      </c>
      <c r="B55" s="48">
        <v>3.45</v>
      </c>
      <c r="C55" s="48">
        <v>3.77</v>
      </c>
      <c r="D55" s="48">
        <v>3.41</v>
      </c>
      <c r="E55" s="48">
        <v>3.54</v>
      </c>
      <c r="F55" s="48">
        <v>3.54</v>
      </c>
      <c r="G55">
        <v>13717600</v>
      </c>
      <c r="H55" s="48">
        <f>IF(tbl_RIOT[[#This Row],[Date]]=$A$5, $F55, EMA_Beta*$H54 + (1-EMA_Beta)*$F55)</f>
        <v>3.1158504959773277</v>
      </c>
      <c r="I55" s="46">
        <f ca="1">IF(tbl_RIOT[[#This Row],[RS]]= "", "", 100-(100/(1+tbl_RIOT[[#This Row],[RS]])))</f>
        <v>68.749999999999986</v>
      </c>
      <c r="J55" s="48">
        <f ca="1">IF(ROW($N55)-4&lt;BB_Periods, "", AVERAGE(INDIRECT(ADDRESS(ROW($F55)-RSI_Periods +1, MATCH("Adj Close", Price_Header,0))): INDIRECT(ADDRESS(ROW($F55),MATCH("Adj Close", Price_Header,0)))))</f>
        <v>3.0474999999999999</v>
      </c>
      <c r="K55" s="48">
        <f ca="1">IF(tbl_RIOT[[#This Row],[BB_Mean]]="", "", tbl_RIOT[[#This Row],[BB_Mean]]+(BB_Width*tbl_RIOT[[#This Row],[BB_Stdev]]))</f>
        <v>3.7707272756939565</v>
      </c>
      <c r="L55" s="48">
        <f ca="1">IF(tbl_RIOT[[#This Row],[BB_Mean]]="", "", tbl_RIOT[[#This Row],[BB_Mean]]-(BB_Width*tbl_RIOT[[#This Row],[BB_Stdev]]))</f>
        <v>2.3242727243060433</v>
      </c>
      <c r="M55" s="46">
        <f>IF(ROW(tbl_RIOT[[#This Row],[Adj Close]])=5, 0, $F55-$F54)</f>
        <v>0.24000000000000021</v>
      </c>
      <c r="N55" s="46">
        <f>MAX(tbl_RIOT[[#This Row],[Move]],0)</f>
        <v>0.24000000000000021</v>
      </c>
      <c r="O55" s="46">
        <f>MAX(-tbl_RIOT[[#This Row],[Move]],0)</f>
        <v>0</v>
      </c>
      <c r="P55" s="46">
        <f ca="1">IF(ROW($N55)-5&lt;RSI_Periods, "", AVERAGE(INDIRECT(ADDRESS(ROW($N55)-RSI_Periods +1, MATCH("Upmove", Price_Header,0))): INDIRECT(ADDRESS(ROW($N55),MATCH("Upmove", Price_Header,0)))))</f>
        <v>0.11000000000000003</v>
      </c>
      <c r="Q55" s="46">
        <f ca="1">IF(ROW($O55)-5&lt;RSI_Periods, "", AVERAGE(INDIRECT(ADDRESS(ROW($O55)-RSI_Periods +1, MATCH("Downmove", Price_Header,0))): INDIRECT(ADDRESS(ROW($O55),MATCH("Downmove", Price_Header,0)))))</f>
        <v>5.0000000000000044E-2</v>
      </c>
      <c r="R55" s="46">
        <f ca="1">IF(tbl_RIOT[[#This Row],[Avg_Upmove]]="", "", tbl_RIOT[[#This Row],[Avg_Upmove]]/tbl_RIOT[[#This Row],[Avg_Downmove]])</f>
        <v>2.1999999999999984</v>
      </c>
      <c r="S55" s="48">
        <f ca="1">IF(ROW($N55)-4&lt;BB_Periods, "", _xlfn.STDEV.S(INDIRECT(ADDRESS(ROW($F55)-RSI_Periods +1, MATCH("Adj Close", Price_Header,0))): INDIRECT(ADDRESS(ROW($F55),MATCH("Adj Close", Price_Header,0)))))</f>
        <v>0.36161363784697831</v>
      </c>
    </row>
    <row r="56" spans="1:19" x14ac:dyDescent="0.35">
      <c r="A56" s="8">
        <v>44125</v>
      </c>
      <c r="B56" s="48">
        <v>3.93</v>
      </c>
      <c r="C56" s="48">
        <v>4.1399999999999997</v>
      </c>
      <c r="D56" s="48">
        <v>3.76</v>
      </c>
      <c r="E56" s="48">
        <v>3.98</v>
      </c>
      <c r="F56" s="48">
        <v>3.98</v>
      </c>
      <c r="G56">
        <v>18072900</v>
      </c>
      <c r="H56" s="48">
        <f>IF(tbl_RIOT[[#This Row],[Date]]=$A$5, $F56, EMA_Beta*$H55 + (1-EMA_Beta)*$F56)</f>
        <v>3.2022654463795952</v>
      </c>
      <c r="I56" s="46">
        <f ca="1">IF(tbl_RIOT[[#This Row],[RS]]= "", "", 100-(100/(1+tbl_RIOT[[#This Row],[RS]])))</f>
        <v>75.285171102661593</v>
      </c>
      <c r="J56" s="48">
        <f ca="1">IF(ROW($N56)-4&lt;BB_Periods, "", AVERAGE(INDIRECT(ADDRESS(ROW($F56)-RSI_Periods +1, MATCH("Adj Close", Price_Header,0))): INDIRECT(ADDRESS(ROW($F56),MATCH("Adj Close", Price_Header,0)))))</f>
        <v>3.1424999999999996</v>
      </c>
      <c r="K56" s="48">
        <f ca="1">IF(tbl_RIOT[[#This Row],[BB_Mean]]="", "", tbl_RIOT[[#This Row],[BB_Mean]]+(BB_Width*tbl_RIOT[[#This Row],[BB_Stdev]]))</f>
        <v>3.981022051450787</v>
      </c>
      <c r="L56" s="48">
        <f ca="1">IF(tbl_RIOT[[#This Row],[BB_Mean]]="", "", tbl_RIOT[[#This Row],[BB_Mean]]-(BB_Width*tbl_RIOT[[#This Row],[BB_Stdev]]))</f>
        <v>2.3039779485492122</v>
      </c>
      <c r="M56" s="46">
        <f>IF(ROW(tbl_RIOT[[#This Row],[Adj Close]])=5, 0, $F56-$F55)</f>
        <v>0.43999999999999995</v>
      </c>
      <c r="N56" s="46">
        <f>MAX(tbl_RIOT[[#This Row],[Move]],0)</f>
        <v>0.43999999999999995</v>
      </c>
      <c r="O56" s="46">
        <f>MAX(-tbl_RIOT[[#This Row],[Move]],0)</f>
        <v>0</v>
      </c>
      <c r="P56" s="46">
        <f ca="1">IF(ROW($N56)-5&lt;RSI_Periods, "", AVERAGE(INDIRECT(ADDRESS(ROW($N56)-RSI_Periods +1, MATCH("Upmove", Price_Header,0))): INDIRECT(ADDRESS(ROW($N56),MATCH("Upmove", Price_Header,0)))))</f>
        <v>0.14142857142857146</v>
      </c>
      <c r="Q56" s="46">
        <f ca="1">IF(ROW($O56)-5&lt;RSI_Periods, "", AVERAGE(INDIRECT(ADDRESS(ROW($O56)-RSI_Periods +1, MATCH("Downmove", Price_Header,0))): INDIRECT(ADDRESS(ROW($O56),MATCH("Downmove", Price_Header,0)))))</f>
        <v>4.6428571428571451E-2</v>
      </c>
      <c r="R56" s="46">
        <f ca="1">IF(tbl_RIOT[[#This Row],[Avg_Upmove]]="", "", tbl_RIOT[[#This Row],[Avg_Upmove]]/tbl_RIOT[[#This Row],[Avg_Downmove]])</f>
        <v>3.0461538461538455</v>
      </c>
      <c r="S56" s="48">
        <f ca="1">IF(ROW($N56)-4&lt;BB_Periods, "", _xlfn.STDEV.S(INDIRECT(ADDRESS(ROW($F56)-RSI_Periods +1, MATCH("Adj Close", Price_Header,0))): INDIRECT(ADDRESS(ROW($F56),MATCH("Adj Close", Price_Header,0)))))</f>
        <v>0.41926102572539359</v>
      </c>
    </row>
    <row r="57" spans="1:19" x14ac:dyDescent="0.35">
      <c r="A57" s="8">
        <v>44126</v>
      </c>
      <c r="B57" s="48">
        <v>4.18</v>
      </c>
      <c r="C57" s="48">
        <v>4.26</v>
      </c>
      <c r="D57" s="48">
        <v>3.83</v>
      </c>
      <c r="E57" s="48">
        <v>4.0549999999999997</v>
      </c>
      <c r="F57" s="48">
        <v>4.0549999999999997</v>
      </c>
      <c r="G57">
        <v>15856100</v>
      </c>
      <c r="H57" s="48">
        <f>IF(tbl_RIOT[[#This Row],[Date]]=$A$5, $F57, EMA_Beta*$H56 + (1-EMA_Beta)*$F57)</f>
        <v>3.2875389017416357</v>
      </c>
      <c r="I57" s="46">
        <f ca="1">IF(tbl_RIOT[[#This Row],[RS]]= "", "", 100-(100/(1+tbl_RIOT[[#This Row],[RS]])))</f>
        <v>77.401129943502809</v>
      </c>
      <c r="J57" s="48">
        <f ca="1">IF(ROW($N57)-4&lt;BB_Periods, "", AVERAGE(INDIRECT(ADDRESS(ROW($F57)-RSI_Periods +1, MATCH("Adj Close", Price_Header,0))): INDIRECT(ADDRESS(ROW($F57),MATCH("Adj Close", Price_Header,0)))))</f>
        <v>3.246428571428571</v>
      </c>
      <c r="K57" s="48">
        <f ca="1">IF(tbl_RIOT[[#This Row],[BB_Mean]]="", "", tbl_RIOT[[#This Row],[BB_Mean]]+(BB_Width*tbl_RIOT[[#This Row],[BB_Stdev]]))</f>
        <v>4.1532016205634594</v>
      </c>
      <c r="L57" s="48">
        <f ca="1">IF(tbl_RIOT[[#This Row],[BB_Mean]]="", "", tbl_RIOT[[#This Row],[BB_Mean]]-(BB_Width*tbl_RIOT[[#This Row],[BB_Stdev]]))</f>
        <v>2.339655522293683</v>
      </c>
      <c r="M57" s="46">
        <f>IF(ROW(tbl_RIOT[[#This Row],[Adj Close]])=5, 0, $F57-$F56)</f>
        <v>7.4999999999999734E-2</v>
      </c>
      <c r="N57" s="46">
        <f>MAX(tbl_RIOT[[#This Row],[Move]],0)</f>
        <v>7.4999999999999734E-2</v>
      </c>
      <c r="O57" s="46">
        <f>MAX(-tbl_RIOT[[#This Row],[Move]],0)</f>
        <v>0</v>
      </c>
      <c r="P57" s="46">
        <f ca="1">IF(ROW($N57)-5&lt;RSI_Periods, "", AVERAGE(INDIRECT(ADDRESS(ROW($N57)-RSI_Periods +1, MATCH("Upmove", Price_Header,0))): INDIRECT(ADDRESS(ROW($N57),MATCH("Upmove", Price_Header,0)))))</f>
        <v>0.1467857142857143</v>
      </c>
      <c r="Q57" s="46">
        <f ca="1">IF(ROW($O57)-5&lt;RSI_Periods, "", AVERAGE(INDIRECT(ADDRESS(ROW($O57)-RSI_Periods +1, MATCH("Downmove", Price_Header,0))): INDIRECT(ADDRESS(ROW($O57),MATCH("Downmove", Price_Header,0)))))</f>
        <v>4.2857142857142892E-2</v>
      </c>
      <c r="R57" s="46">
        <f ca="1">IF(tbl_RIOT[[#This Row],[Avg_Upmove]]="", "", tbl_RIOT[[#This Row],[Avg_Upmove]]/tbl_RIOT[[#This Row],[Avg_Downmove]])</f>
        <v>3.4249999999999976</v>
      </c>
      <c r="S57" s="48">
        <f ca="1">IF(ROW($N57)-4&lt;BB_Periods, "", _xlfn.STDEV.S(INDIRECT(ADDRESS(ROW($F57)-RSI_Periods +1, MATCH("Adj Close", Price_Header,0))): INDIRECT(ADDRESS(ROW($F57),MATCH("Adj Close", Price_Header,0)))))</f>
        <v>0.45338652456744399</v>
      </c>
    </row>
    <row r="58" spans="1:19" x14ac:dyDescent="0.35">
      <c r="A58" s="8">
        <v>44127</v>
      </c>
      <c r="B58" s="48">
        <v>3.97</v>
      </c>
      <c r="C58" s="48">
        <v>4.01</v>
      </c>
      <c r="D58" s="48">
        <v>3.68</v>
      </c>
      <c r="E58" s="48">
        <v>3.91</v>
      </c>
      <c r="F58" s="48">
        <v>3.91</v>
      </c>
      <c r="G58">
        <v>7305400</v>
      </c>
      <c r="H58" s="48">
        <f>IF(tbl_RIOT[[#This Row],[Date]]=$A$5, $F58, EMA_Beta*$H57 + (1-EMA_Beta)*$F58)</f>
        <v>3.3497850115674721</v>
      </c>
      <c r="I58" s="46">
        <f ca="1">IF(tbl_RIOT[[#This Row],[RS]]= "", "", 100-(100/(1+tbl_RIOT[[#This Row],[RS]])))</f>
        <v>72.810218978102185</v>
      </c>
      <c r="J58" s="48">
        <f ca="1">IF(ROW($N58)-4&lt;BB_Periods, "", AVERAGE(INDIRECT(ADDRESS(ROW($F58)-RSI_Periods +1, MATCH("Adj Close", Price_Header,0))): INDIRECT(ADDRESS(ROW($F58),MATCH("Adj Close", Price_Header,0)))))</f>
        <v>3.3357142857142859</v>
      </c>
      <c r="K58" s="48">
        <f ca="1">IF(tbl_RIOT[[#This Row],[BB_Mean]]="", "", tbl_RIOT[[#This Row],[BB_Mean]]+(BB_Width*tbl_RIOT[[#This Row],[BB_Stdev]]))</f>
        <v>4.2399084202711474</v>
      </c>
      <c r="L58" s="48">
        <f ca="1">IF(tbl_RIOT[[#This Row],[BB_Mean]]="", "", tbl_RIOT[[#This Row],[BB_Mean]]-(BB_Width*tbl_RIOT[[#This Row],[BB_Stdev]]))</f>
        <v>2.4315201511574238</v>
      </c>
      <c r="M58" s="46">
        <f>IF(ROW(tbl_RIOT[[#This Row],[Adj Close]])=5, 0, $F58-$F57)</f>
        <v>-0.14499999999999957</v>
      </c>
      <c r="N58" s="46">
        <f>MAX(tbl_RIOT[[#This Row],[Move]],0)</f>
        <v>0</v>
      </c>
      <c r="O58" s="46">
        <f>MAX(-tbl_RIOT[[#This Row],[Move]],0)</f>
        <v>0.14499999999999957</v>
      </c>
      <c r="P58" s="46">
        <f ca="1">IF(ROW($N58)-5&lt;RSI_Periods, "", AVERAGE(INDIRECT(ADDRESS(ROW($N58)-RSI_Periods +1, MATCH("Upmove", Price_Header,0))): INDIRECT(ADDRESS(ROW($N58),MATCH("Upmove", Price_Header,0)))))</f>
        <v>0.14250000000000002</v>
      </c>
      <c r="Q58" s="46">
        <f ca="1">IF(ROW($O58)-5&lt;RSI_Periods, "", AVERAGE(INDIRECT(ADDRESS(ROW($O58)-RSI_Periods +1, MATCH("Downmove", Price_Header,0))): INDIRECT(ADDRESS(ROW($O58),MATCH("Downmove", Price_Header,0)))))</f>
        <v>5.3214285714285721E-2</v>
      </c>
      <c r="R58" s="46">
        <f ca="1">IF(tbl_RIOT[[#This Row],[Avg_Upmove]]="", "", tbl_RIOT[[#This Row],[Avg_Upmove]]/tbl_RIOT[[#This Row],[Avg_Downmove]])</f>
        <v>2.6778523489932886</v>
      </c>
      <c r="S58" s="48">
        <f ca="1">IF(ROW($N58)-4&lt;BB_Periods, "", _xlfn.STDEV.S(INDIRECT(ADDRESS(ROW($F58)-RSI_Periods +1, MATCH("Adj Close", Price_Header,0))): INDIRECT(ADDRESS(ROW($F58),MATCH("Adj Close", Price_Header,0)))))</f>
        <v>0.45209706727843102</v>
      </c>
    </row>
    <row r="59" spans="1:19" x14ac:dyDescent="0.35">
      <c r="A59" s="8">
        <v>44130</v>
      </c>
      <c r="B59" s="48">
        <v>3.98</v>
      </c>
      <c r="C59" s="48">
        <v>4.03</v>
      </c>
      <c r="D59" s="48">
        <v>3.61</v>
      </c>
      <c r="E59" s="48">
        <v>3.85</v>
      </c>
      <c r="F59" s="48">
        <v>3.85</v>
      </c>
      <c r="G59">
        <v>6772300</v>
      </c>
      <c r="H59" s="48">
        <f>IF(tbl_RIOT[[#This Row],[Date]]=$A$5, $F59, EMA_Beta*$H58 + (1-EMA_Beta)*$F59)</f>
        <v>3.3998065104107247</v>
      </c>
      <c r="I59" s="46">
        <f ca="1">IF(tbl_RIOT[[#This Row],[RS]]= "", "", 100-(100/(1+tbl_RIOT[[#This Row],[RS]])))</f>
        <v>73.616236162361631</v>
      </c>
      <c r="J59" s="48">
        <f ca="1">IF(ROW($N59)-4&lt;BB_Periods, "", AVERAGE(INDIRECT(ADDRESS(ROW($F59)-RSI_Periods +1, MATCH("Adj Close", Price_Header,0))): INDIRECT(ADDRESS(ROW($F59),MATCH("Adj Close", Price_Header,0)))))</f>
        <v>3.427142857142857</v>
      </c>
      <c r="K59" s="48">
        <f ca="1">IF(tbl_RIOT[[#This Row],[BB_Mean]]="", "", tbl_RIOT[[#This Row],[BB_Mean]]+(BB_Width*tbl_RIOT[[#This Row],[BB_Stdev]]))</f>
        <v>4.2532990566197348</v>
      </c>
      <c r="L59" s="48">
        <f ca="1">IF(tbl_RIOT[[#This Row],[BB_Mean]]="", "", tbl_RIOT[[#This Row],[BB_Mean]]-(BB_Width*tbl_RIOT[[#This Row],[BB_Stdev]]))</f>
        <v>2.6009866576659797</v>
      </c>
      <c r="M59" s="46">
        <f>IF(ROW(tbl_RIOT[[#This Row],[Adj Close]])=5, 0, $F59-$F58)</f>
        <v>-6.0000000000000053E-2</v>
      </c>
      <c r="N59" s="46">
        <f>MAX(tbl_RIOT[[#This Row],[Move]],0)</f>
        <v>0</v>
      </c>
      <c r="O59" s="46">
        <f>MAX(-tbl_RIOT[[#This Row],[Move]],0)</f>
        <v>6.0000000000000053E-2</v>
      </c>
      <c r="P59" s="46">
        <f ca="1">IF(ROW($N59)-5&lt;RSI_Periods, "", AVERAGE(INDIRECT(ADDRESS(ROW($N59)-RSI_Periods +1, MATCH("Upmove", Price_Header,0))): INDIRECT(ADDRESS(ROW($N59),MATCH("Upmove", Price_Header,0)))))</f>
        <v>0.14250000000000002</v>
      </c>
      <c r="Q59" s="46">
        <f ca="1">IF(ROW($O59)-5&lt;RSI_Periods, "", AVERAGE(INDIRECT(ADDRESS(ROW($O59)-RSI_Periods +1, MATCH("Downmove", Price_Header,0))): INDIRECT(ADDRESS(ROW($O59),MATCH("Downmove", Price_Header,0)))))</f>
        <v>5.1071428571428559E-2</v>
      </c>
      <c r="R59" s="46">
        <f ca="1">IF(tbl_RIOT[[#This Row],[Avg_Upmove]]="", "", tbl_RIOT[[#This Row],[Avg_Upmove]]/tbl_RIOT[[#This Row],[Avg_Downmove]])</f>
        <v>2.7902097902097913</v>
      </c>
      <c r="S59" s="48">
        <f ca="1">IF(ROW($N59)-4&lt;BB_Periods, "", _xlfn.STDEV.S(INDIRECT(ADDRESS(ROW($F59)-RSI_Periods +1, MATCH("Adj Close", Price_Header,0))): INDIRECT(ADDRESS(ROW($F59),MATCH("Adj Close", Price_Header,0)))))</f>
        <v>0.41307809973843873</v>
      </c>
    </row>
    <row r="60" spans="1:19" x14ac:dyDescent="0.35">
      <c r="A60" t="s">
        <v>162</v>
      </c>
      <c r="S60">
        <f ca="1">SUBTOTAL(103,tbl_RIOT[BB_Stdev])</f>
        <v>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48</vt:i4>
      </vt:variant>
    </vt:vector>
  </HeadingPairs>
  <TitlesOfParts>
    <vt:vector size="72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AMD</vt:lpstr>
      <vt:lpstr>CVX</vt:lpstr>
      <vt:lpstr>QCOM</vt:lpstr>
      <vt:lpstr>F</vt:lpstr>
      <vt:lpstr>LTHM</vt:lpstr>
      <vt:lpstr>Dashboard</vt:lpstr>
      <vt:lpstr>Dashboard_backend</vt:lpstr>
      <vt:lpstr>Format Control</vt:lpstr>
      <vt:lpstr>New Stock</vt:lpstr>
      <vt:lpstr>AMD!Adj_Close_HD</vt:lpstr>
      <vt:lpstr>CVX!Adj_Close_HD</vt:lpstr>
      <vt:lpstr>F!Adj_Close_HD</vt:lpstr>
      <vt:lpstr>LTHM!Adj_Close_HD</vt:lpstr>
      <vt:lpstr>QCOM!Adj_Close_HD</vt:lpstr>
      <vt:lpstr>Adj_Close_HD</vt:lpstr>
      <vt:lpstr>BB_Periods</vt:lpstr>
      <vt:lpstr>BB_Width</vt:lpstr>
      <vt:lpstr>AMD!Date_List</vt:lpstr>
      <vt:lpstr>CVX!Date_List</vt:lpstr>
      <vt:lpstr>F!Date_List</vt:lpstr>
      <vt:lpstr>LTHM!Date_List</vt:lpstr>
      <vt:lpstr>QCOM!Date_List</vt:lpstr>
      <vt:lpstr>Date_List</vt:lpstr>
      <vt:lpstr>EMA_Beta</vt:lpstr>
      <vt:lpstr>Metrics</vt:lpstr>
      <vt:lpstr>AMD!pos_header</vt:lpstr>
      <vt:lpstr>CVX!pos_header</vt:lpstr>
      <vt:lpstr>F!pos_header</vt:lpstr>
      <vt:lpstr>LTHM!pos_header</vt:lpstr>
      <vt:lpstr>QCOM!pos_header</vt:lpstr>
      <vt:lpstr>pos_header</vt:lpstr>
      <vt:lpstr>AMD!Price_AAPL</vt:lpstr>
      <vt:lpstr>CVX!Price_AAPL</vt:lpstr>
      <vt:lpstr>F!Price_AAPL</vt:lpstr>
      <vt:lpstr>LTHM!Price_AAPL</vt:lpstr>
      <vt:lpstr>QCOM!Price_AAPL</vt:lpstr>
      <vt:lpstr>Price_AAPL</vt:lpstr>
      <vt:lpstr>AMD!Price_HD</vt:lpstr>
      <vt:lpstr>CVX!Price_HD</vt:lpstr>
      <vt:lpstr>F!Price_HD</vt:lpstr>
      <vt:lpstr>LTHM!Price_HD</vt:lpstr>
      <vt:lpstr>QCOM!Price_HD</vt:lpstr>
      <vt:lpstr>Price_HD</vt:lpstr>
      <vt:lpstr>AMD!Price_Header</vt:lpstr>
      <vt:lpstr>CVX!Price_Header</vt:lpstr>
      <vt:lpstr>F!Price_Header</vt:lpstr>
      <vt:lpstr>LTHM!Price_Header</vt:lpstr>
      <vt:lpstr>QCOM!Price_Header</vt:lpstr>
      <vt:lpstr>Price_Header</vt:lpstr>
      <vt:lpstr>RSI_Periods</vt:lpstr>
      <vt:lpstr>AMD!Symbol</vt:lpstr>
      <vt:lpstr>CVX!Symbol</vt:lpstr>
      <vt:lpstr>F!Symbol</vt:lpstr>
      <vt:lpstr>LTHM!Symbol</vt:lpstr>
      <vt:lpstr>QCOM!Symbol</vt:lpstr>
      <vt:lpstr>Symbol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2020-09-13T13:25:13Z</cp:lastPrinted>
  <dcterms:created xsi:type="dcterms:W3CDTF">2020-09-12T01:33:26Z</dcterms:created>
  <dcterms:modified xsi:type="dcterms:W3CDTF">2020-11-01T12:35:17Z</dcterms:modified>
</cp:coreProperties>
</file>