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200" windowHeight="3315" firstSheet="9" activeTab="18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  <sheet name="Format Control" sheetId="22" r:id="rId18"/>
    <sheet name="New Stock" sheetId="23" r:id="rId19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G3" i="15" l="1"/>
  <c r="J22" i="4" l="1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G11" i="16"/>
  <c r="AH11" i="16" s="1"/>
  <c r="B22" i="4"/>
  <c r="C22" i="4"/>
  <c r="D22" i="4"/>
  <c r="E22" i="4"/>
  <c r="F22" i="4"/>
  <c r="G22" i="4"/>
  <c r="H22" i="4"/>
  <c r="I22" i="4"/>
  <c r="K22" i="4"/>
  <c r="B21" i="4"/>
  <c r="C21" i="4"/>
  <c r="D21" i="4"/>
  <c r="E21" i="4"/>
  <c r="F21" i="4"/>
  <c r="G21" i="4"/>
  <c r="H21" i="4"/>
  <c r="I21" i="4"/>
  <c r="K21" i="4"/>
  <c r="B20" i="4"/>
  <c r="C20" i="4"/>
  <c r="D20" i="4"/>
  <c r="E20" i="4"/>
  <c r="F20" i="4"/>
  <c r="G20" i="4"/>
  <c r="H20" i="4"/>
  <c r="I20" i="4"/>
  <c r="J20" i="4"/>
  <c r="K20" i="4"/>
  <c r="B19" i="4"/>
  <c r="C19" i="4"/>
  <c r="D19" i="4"/>
  <c r="E19" i="4"/>
  <c r="F19" i="4"/>
  <c r="G19" i="4"/>
  <c r="H19" i="4"/>
  <c r="I19" i="4"/>
  <c r="J19" i="4"/>
  <c r="K19" i="4"/>
  <c r="B18" i="4"/>
  <c r="C18" i="4"/>
  <c r="D18" i="4"/>
  <c r="E18" i="4"/>
  <c r="F18" i="4"/>
  <c r="G18" i="4"/>
  <c r="H18" i="4"/>
  <c r="I18" i="4"/>
  <c r="J18" i="4"/>
  <c r="K18" i="4"/>
  <c r="B17" i="4"/>
  <c r="C17" i="4"/>
  <c r="D17" i="4"/>
  <c r="E17" i="4"/>
  <c r="F17" i="4"/>
  <c r="G17" i="4"/>
  <c r="H17" i="4"/>
  <c r="I17" i="4"/>
  <c r="J17" i="4"/>
  <c r="K17" i="4"/>
  <c r="B16" i="4"/>
  <c r="C16" i="4"/>
  <c r="D16" i="4"/>
  <c r="E16" i="4"/>
  <c r="F16" i="4"/>
  <c r="G16" i="4"/>
  <c r="H16" i="4"/>
  <c r="I16" i="4"/>
  <c r="J16" i="4"/>
  <c r="K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O44" i="17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O57" i="2" s="1"/>
  <c r="N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J39" i="20"/>
  <c r="J38" i="19"/>
  <c r="S44" i="17"/>
  <c r="J43" i="13"/>
  <c r="J42" i="12"/>
  <c r="S41" i="11"/>
  <c r="J40" i="10"/>
  <c r="S39" i="5"/>
  <c r="S38" i="7"/>
  <c r="J44" i="20"/>
  <c r="J38" i="18"/>
  <c r="S43" i="12"/>
  <c r="S41" i="10"/>
  <c r="J39" i="7"/>
  <c r="J44" i="19"/>
  <c r="J43" i="18"/>
  <c r="J42" i="17"/>
  <c r="S41" i="13"/>
  <c r="S40" i="12"/>
  <c r="J39" i="11"/>
  <c r="S38" i="10"/>
  <c r="S44" i="7"/>
  <c r="S44" i="20"/>
  <c r="J43" i="19"/>
  <c r="S42" i="18"/>
  <c r="S41" i="17"/>
  <c r="S40" i="13"/>
  <c r="J39" i="12"/>
  <c r="J38" i="11"/>
  <c r="J44" i="5"/>
  <c r="S42" i="20"/>
  <c r="J44" i="18"/>
  <c r="S42" i="13"/>
  <c r="S40" i="11"/>
  <c r="J38" i="5"/>
  <c r="S42" i="17"/>
  <c r="S39" i="11"/>
  <c r="J44" i="7"/>
  <c r="J38" i="20"/>
  <c r="S39" i="12"/>
  <c r="J43" i="20"/>
  <c r="J41" i="18"/>
  <c r="J39" i="13"/>
  <c r="S44" i="10"/>
  <c r="J42" i="7"/>
  <c r="J41" i="19"/>
  <c r="S39" i="17"/>
  <c r="J44" i="11"/>
  <c r="J40" i="5"/>
  <c r="S40" i="18"/>
  <c r="S43" i="10"/>
  <c r="S44" i="19"/>
  <c r="S43" i="20"/>
  <c r="S42" i="19"/>
  <c r="S41" i="18"/>
  <c r="J40" i="17"/>
  <c r="S39" i="13"/>
  <c r="S38" i="12"/>
  <c r="J44" i="10"/>
  <c r="J43" i="5"/>
  <c r="S42" i="7"/>
  <c r="S38" i="5"/>
  <c r="S39" i="19"/>
  <c r="J44" i="13"/>
  <c r="S42" i="11"/>
  <c r="S40" i="5"/>
  <c r="J41" i="20"/>
  <c r="S40" i="19"/>
  <c r="S39" i="18"/>
  <c r="J38" i="17"/>
  <c r="J44" i="12"/>
  <c r="S43" i="11"/>
  <c r="S42" i="10"/>
  <c r="S41" i="5"/>
  <c r="S40" i="7"/>
  <c r="S40" i="20"/>
  <c r="J39" i="19"/>
  <c r="S38" i="18"/>
  <c r="S44" i="13"/>
  <c r="J43" i="12"/>
  <c r="J42" i="11"/>
  <c r="J41" i="10"/>
  <c r="J43" i="7"/>
  <c r="S43" i="19"/>
  <c r="S43" i="17"/>
  <c r="S41" i="12"/>
  <c r="S39" i="10"/>
  <c r="J40" i="19"/>
  <c r="J39" i="18"/>
  <c r="S38" i="17"/>
  <c r="S44" i="12"/>
  <c r="J43" i="11"/>
  <c r="J42" i="10"/>
  <c r="J41" i="5"/>
  <c r="J40" i="7"/>
  <c r="J41" i="7"/>
  <c r="J42" i="18"/>
  <c r="J40" i="13"/>
  <c r="S38" i="11"/>
  <c r="S43" i="7"/>
  <c r="S39" i="20"/>
  <c r="S38" i="19"/>
  <c r="J44" i="17"/>
  <c r="S43" i="13"/>
  <c r="S42" i="12"/>
  <c r="J41" i="11"/>
  <c r="S40" i="10"/>
  <c r="J39" i="5"/>
  <c r="J38" i="7"/>
  <c r="S38" i="20"/>
  <c r="S44" i="18"/>
  <c r="J43" i="17"/>
  <c r="J42" i="13"/>
  <c r="J40" i="12"/>
  <c r="J40" i="11"/>
  <c r="J39" i="10"/>
  <c r="S39" i="7"/>
  <c r="S41" i="19"/>
  <c r="J39" i="17"/>
  <c r="S44" i="11"/>
  <c r="S42" i="5"/>
  <c r="S43" i="18"/>
  <c r="J41" i="13"/>
  <c r="J41" i="12"/>
  <c r="J38" i="10"/>
  <c r="J42" i="5"/>
  <c r="J41" i="17"/>
  <c r="S44" i="5"/>
  <c r="J42" i="19"/>
  <c r="S40" i="17"/>
  <c r="J38" i="12"/>
  <c r="S43" i="5"/>
  <c r="J42" i="20"/>
  <c r="J40" i="18"/>
  <c r="J38" i="13"/>
  <c r="J43" i="10"/>
  <c r="J40" i="20"/>
  <c r="S38" i="13"/>
  <c r="S41" i="7"/>
  <c r="S41" i="20"/>
  <c r="O44" i="20" l="1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58" i="2"/>
  <c r="S37" i="10"/>
  <c r="S33" i="10"/>
  <c r="AH8" i="16" l="1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7" i="18"/>
  <c r="S37" i="13"/>
  <c r="J33" i="17"/>
  <c r="J36" i="20"/>
  <c r="S36" i="13"/>
  <c r="J36" i="19"/>
  <c r="J35" i="19"/>
  <c r="J35" i="17"/>
  <c r="S37" i="12"/>
  <c r="S36" i="19"/>
  <c r="S36" i="18"/>
  <c r="S33" i="20"/>
  <c r="S36" i="11"/>
  <c r="S33" i="19"/>
  <c r="J37" i="18"/>
  <c r="S36" i="5"/>
  <c r="J34" i="19"/>
  <c r="J36" i="7"/>
  <c r="J36" i="5"/>
  <c r="S37" i="7"/>
  <c r="J37" i="12"/>
  <c r="S34" i="20"/>
  <c r="J35" i="20"/>
  <c r="S33" i="18"/>
  <c r="J37" i="19"/>
  <c r="S36" i="12"/>
  <c r="S36" i="7"/>
  <c r="J37" i="13"/>
  <c r="S35" i="18"/>
  <c r="J37" i="5"/>
  <c r="J33" i="18"/>
  <c r="J35" i="18"/>
  <c r="S37" i="17"/>
  <c r="S33" i="17"/>
  <c r="J36" i="18"/>
  <c r="J36" i="13"/>
  <c r="J37" i="17"/>
  <c r="S35" i="17"/>
  <c r="J37" i="11"/>
  <c r="S35" i="19"/>
  <c r="S37" i="11"/>
  <c r="S36" i="20"/>
  <c r="S36" i="10"/>
  <c r="J34" i="17"/>
  <c r="S37" i="20"/>
  <c r="J37" i="20"/>
  <c r="J34" i="18"/>
  <c r="J36" i="17"/>
  <c r="J36" i="11"/>
  <c r="J37" i="7"/>
  <c r="J37" i="10"/>
  <c r="J33" i="19"/>
  <c r="J36" i="10"/>
  <c r="J34" i="20"/>
  <c r="S37" i="19"/>
  <c r="J33" i="20"/>
  <c r="S36" i="17"/>
  <c r="S34" i="19"/>
  <c r="J36" i="12"/>
  <c r="S35" i="20"/>
  <c r="S34" i="17"/>
  <c r="S34" i="18"/>
  <c r="S37" i="5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5" i="11"/>
  <c r="S34" i="12"/>
  <c r="J34" i="11"/>
  <c r="S33" i="13"/>
  <c r="S35" i="12"/>
  <c r="S34" i="11"/>
  <c r="S33" i="11"/>
  <c r="J33" i="11"/>
  <c r="J35" i="11"/>
  <c r="J34" i="12"/>
  <c r="S33" i="12"/>
  <c r="J33" i="12"/>
  <c r="S34" i="13"/>
  <c r="J33" i="13"/>
  <c r="J34" i="13"/>
  <c r="S35" i="13"/>
  <c r="J35" i="12"/>
  <c r="J35" i="13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S33" i="7"/>
  <c r="J34" i="5"/>
  <c r="S35" i="7"/>
  <c r="S34" i="10"/>
  <c r="J33" i="5"/>
  <c r="S33" i="5"/>
  <c r="J34" i="7"/>
  <c r="J34" i="10"/>
  <c r="S35" i="5"/>
  <c r="J35" i="10"/>
  <c r="S34" i="5"/>
  <c r="J33" i="10"/>
  <c r="J35" i="5"/>
  <c r="J35" i="7"/>
  <c r="S35" i="10"/>
  <c r="J33" i="7"/>
  <c r="S34" i="7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G24" i="15"/>
  <c r="D22" i="15"/>
  <c r="F28" i="15"/>
  <c r="C29" i="15"/>
  <c r="B26" i="15"/>
  <c r="B21" i="15"/>
  <c r="D24" i="15"/>
  <c r="C27" i="15"/>
  <c r="F22" i="15"/>
  <c r="G28" i="15"/>
  <c r="C28" i="15"/>
  <c r="C26" i="15"/>
  <c r="B30" i="15"/>
  <c r="B23" i="15"/>
  <c r="C24" i="15"/>
  <c r="E26" i="15"/>
  <c r="B22" i="15"/>
  <c r="H27" i="15"/>
  <c r="G26" i="15"/>
  <c r="E22" i="15"/>
  <c r="H28" i="15"/>
  <c r="E25" i="15"/>
  <c r="H23" i="15"/>
  <c r="H26" i="15"/>
  <c r="E30" i="15"/>
  <c r="C23" i="15"/>
  <c r="F23" i="15"/>
  <c r="F24" i="15"/>
  <c r="F29" i="15"/>
  <c r="E21" i="15"/>
  <c r="D26" i="15"/>
  <c r="F25" i="15"/>
  <c r="E24" i="15"/>
  <c r="E28" i="15"/>
  <c r="G27" i="15"/>
  <c r="G22" i="15"/>
  <c r="B29" i="15"/>
  <c r="D27" i="15"/>
  <c r="D25" i="15"/>
  <c r="G29" i="15"/>
  <c r="D29" i="15"/>
  <c r="F21" i="15"/>
  <c r="B25" i="15"/>
  <c r="C22" i="15"/>
  <c r="G21" i="15"/>
  <c r="F27" i="15"/>
  <c r="D21" i="15"/>
  <c r="C25" i="15"/>
  <c r="E27" i="15"/>
  <c r="B27" i="15"/>
  <c r="C30" i="15"/>
  <c r="H22" i="15"/>
  <c r="G23" i="15"/>
  <c r="F26" i="15"/>
  <c r="D30" i="15"/>
  <c r="C21" i="15"/>
  <c r="D23" i="15"/>
  <c r="D28" i="15"/>
  <c r="H25" i="15"/>
  <c r="E23" i="15"/>
  <c r="H29" i="15"/>
  <c r="G30" i="15"/>
  <c r="H30" i="15"/>
  <c r="H24" i="15"/>
  <c r="E29" i="15"/>
  <c r="G25" i="15"/>
  <c r="F30" i="15"/>
  <c r="H21" i="15"/>
  <c r="B24" i="15"/>
  <c r="B28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43" i="17"/>
  <c r="P43" i="5"/>
  <c r="S30" i="12"/>
  <c r="J26" i="18"/>
  <c r="S27" i="17"/>
  <c r="J32" i="17"/>
  <c r="S31" i="11"/>
  <c r="S30" i="17"/>
  <c r="J20" i="17"/>
  <c r="J18" i="18"/>
  <c r="Q32" i="17"/>
  <c r="S29" i="17"/>
  <c r="D14" i="16"/>
  <c r="S30" i="19"/>
  <c r="S28" i="18"/>
  <c r="Q28" i="17"/>
  <c r="D13" i="16"/>
  <c r="S20" i="17"/>
  <c r="J23" i="17"/>
  <c r="J30" i="13"/>
  <c r="J26" i="19"/>
  <c r="J29" i="10"/>
  <c r="S29" i="13"/>
  <c r="J31" i="10"/>
  <c r="Q42" i="17"/>
  <c r="P42" i="5"/>
  <c r="J32" i="20"/>
  <c r="D11" i="16"/>
  <c r="Q31" i="17"/>
  <c r="J30" i="10"/>
  <c r="J31" i="18"/>
  <c r="S26" i="17"/>
  <c r="J21" i="20"/>
  <c r="Q41" i="17"/>
  <c r="P44" i="7"/>
  <c r="Q29" i="17"/>
  <c r="S30" i="10"/>
  <c r="Q30" i="17"/>
  <c r="D12" i="16"/>
  <c r="S32" i="13"/>
  <c r="J24" i="19"/>
  <c r="J24" i="20"/>
  <c r="J30" i="17"/>
  <c r="J19" i="18"/>
  <c r="S31" i="17"/>
  <c r="S26" i="20"/>
  <c r="J32" i="18"/>
  <c r="P43" i="13"/>
  <c r="S25" i="18"/>
  <c r="S30" i="11"/>
  <c r="S30" i="5"/>
  <c r="Q36" i="17"/>
  <c r="S32" i="12"/>
  <c r="S26" i="19"/>
  <c r="P42" i="13"/>
  <c r="Q27" i="17"/>
  <c r="S23" i="20"/>
  <c r="S24" i="20"/>
  <c r="S31" i="19"/>
  <c r="J32" i="5"/>
  <c r="J31" i="17"/>
  <c r="S30" i="18"/>
  <c r="J30" i="20"/>
  <c r="S20" i="20"/>
  <c r="J24" i="18"/>
  <c r="J29" i="11"/>
  <c r="P44" i="12"/>
  <c r="J23" i="20"/>
  <c r="J29" i="12"/>
  <c r="S29" i="12"/>
  <c r="S25" i="20"/>
  <c r="J29" i="19"/>
  <c r="S21" i="18"/>
  <c r="S31" i="10"/>
  <c r="S27" i="19"/>
  <c r="J30" i="11"/>
  <c r="J28" i="20"/>
  <c r="Q44" i="17"/>
  <c r="S29" i="20"/>
  <c r="S25" i="19"/>
  <c r="S31" i="7"/>
  <c r="Q43" i="20"/>
  <c r="J32" i="13"/>
  <c r="J23" i="18"/>
  <c r="J32" i="7"/>
  <c r="J19" i="19"/>
  <c r="J29" i="18"/>
  <c r="S32" i="5"/>
  <c r="J22" i="17"/>
  <c r="S31" i="13"/>
  <c r="J31" i="19"/>
  <c r="J31" i="11"/>
  <c r="S28" i="19"/>
  <c r="S24" i="18"/>
  <c r="Q44" i="19"/>
  <c r="S28" i="20"/>
  <c r="Q20" i="17"/>
  <c r="J22" i="20"/>
  <c r="Q24" i="17"/>
  <c r="P42" i="11"/>
  <c r="S32" i="17"/>
  <c r="S19" i="20"/>
  <c r="S18" i="20"/>
  <c r="Q22" i="17"/>
  <c r="S18" i="18"/>
  <c r="Q39" i="17"/>
  <c r="P42" i="7"/>
  <c r="J20" i="18"/>
  <c r="S29" i="7"/>
  <c r="J32" i="12"/>
  <c r="Q19" i="17"/>
  <c r="J29" i="20"/>
  <c r="J30" i="19"/>
  <c r="J19" i="20"/>
  <c r="J31" i="20"/>
  <c r="J32" i="19"/>
  <c r="S32" i="20"/>
  <c r="Q26" i="17"/>
  <c r="Q35" i="17"/>
  <c r="S31" i="12"/>
  <c r="Q25" i="17"/>
  <c r="J20" i="19"/>
  <c r="S21" i="20"/>
  <c r="Q34" i="17"/>
  <c r="S22" i="18"/>
  <c r="J18" i="20"/>
  <c r="S32" i="18"/>
  <c r="P44" i="5"/>
  <c r="S22" i="19"/>
  <c r="Q38" i="17"/>
  <c r="S31" i="5"/>
  <c r="J27" i="20"/>
  <c r="J26" i="20"/>
  <c r="P43" i="7"/>
  <c r="J22" i="18"/>
  <c r="S32" i="11"/>
  <c r="Q23" i="17"/>
  <c r="S21" i="17"/>
  <c r="P44" i="13"/>
  <c r="J30" i="5"/>
  <c r="S23" i="18"/>
  <c r="J25" i="17"/>
  <c r="J24" i="17"/>
  <c r="J18" i="17"/>
  <c r="S25" i="17"/>
  <c r="J29" i="5"/>
  <c r="S30" i="20"/>
  <c r="J30" i="12"/>
  <c r="S30" i="7"/>
  <c r="J22" i="19"/>
  <c r="J27" i="18"/>
  <c r="Q44" i="20"/>
  <c r="P42" i="12"/>
  <c r="S31" i="18"/>
  <c r="J25" i="19"/>
  <c r="J21" i="19"/>
  <c r="S18" i="19"/>
  <c r="Q33" i="17"/>
  <c r="J29" i="7"/>
  <c r="S18" i="17"/>
  <c r="J32" i="10"/>
  <c r="J31" i="7"/>
  <c r="S23" i="19"/>
  <c r="S29" i="19"/>
  <c r="J23" i="19"/>
  <c r="S32" i="19"/>
  <c r="S29" i="11"/>
  <c r="S29" i="18"/>
  <c r="S27" i="18"/>
  <c r="J29" i="17"/>
  <c r="J31" i="13"/>
  <c r="S28" i="17"/>
  <c r="J20" i="20"/>
  <c r="S32" i="7"/>
  <c r="J28" i="18"/>
  <c r="P43" i="12"/>
  <c r="S29" i="5"/>
  <c r="S23" i="17"/>
  <c r="S22" i="17"/>
  <c r="J29" i="13"/>
  <c r="J30" i="18"/>
  <c r="J26" i="17"/>
  <c r="S32" i="10"/>
  <c r="J28" i="19"/>
  <c r="J25" i="18"/>
  <c r="S21" i="19"/>
  <c r="P44" i="11"/>
  <c r="J25" i="20"/>
  <c r="S27" i="20"/>
  <c r="S24" i="19"/>
  <c r="S31" i="20"/>
  <c r="J30" i="7"/>
  <c r="S22" i="20"/>
  <c r="J27" i="17"/>
  <c r="J28" i="17"/>
  <c r="S29" i="10"/>
  <c r="S20" i="19"/>
  <c r="P43" i="11"/>
  <c r="S20" i="18"/>
  <c r="J19" i="17"/>
  <c r="J31" i="12"/>
  <c r="Q43" i="19"/>
  <c r="J21" i="18"/>
  <c r="J27" i="19"/>
  <c r="Q21" i="17"/>
  <c r="S26" i="18"/>
  <c r="S19" i="19"/>
  <c r="J18" i="19"/>
  <c r="J31" i="5"/>
  <c r="J32" i="11"/>
  <c r="S19" i="17"/>
  <c r="Q40" i="17"/>
  <c r="J21" i="17"/>
  <c r="S30" i="13"/>
  <c r="Q37" i="17"/>
  <c r="S19" i="18"/>
  <c r="S24" i="17"/>
  <c r="S45" i="20" l="1"/>
  <c r="S45" i="19"/>
  <c r="S45" i="18"/>
  <c r="S45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K6" i="16"/>
  <c r="Q42" i="19"/>
  <c r="P41" i="18"/>
  <c r="Q42" i="13"/>
  <c r="Q44" i="7"/>
  <c r="Q30" i="19"/>
  <c r="Q22" i="19"/>
  <c r="P35" i="17"/>
  <c r="Q34" i="19"/>
  <c r="P33" i="18"/>
  <c r="Q23" i="18"/>
  <c r="Q24" i="20"/>
  <c r="Q34" i="18"/>
  <c r="P41" i="20"/>
  <c r="P39" i="19"/>
  <c r="Q38" i="18"/>
  <c r="Q43" i="11"/>
  <c r="P23" i="20"/>
  <c r="P37" i="18"/>
  <c r="Q19" i="19"/>
  <c r="P19" i="17"/>
  <c r="P27" i="20"/>
  <c r="Q27" i="19"/>
  <c r="Q19" i="18"/>
  <c r="Q36" i="19"/>
  <c r="P31" i="17"/>
  <c r="P34" i="19"/>
  <c r="P43" i="19"/>
  <c r="Q42" i="18"/>
  <c r="Q44" i="13"/>
  <c r="Q43" i="5"/>
  <c r="P20" i="20"/>
  <c r="Q28" i="20"/>
  <c r="P37" i="20"/>
  <c r="P29" i="19"/>
  <c r="P20" i="18"/>
  <c r="P31" i="18"/>
  <c r="Q22" i="18"/>
  <c r="P31" i="19"/>
  <c r="P35" i="18"/>
  <c r="Q42" i="20"/>
  <c r="P40" i="19"/>
  <c r="Q39" i="18"/>
  <c r="Q42" i="12"/>
  <c r="Q35" i="18"/>
  <c r="P36" i="19"/>
  <c r="Q37" i="18"/>
  <c r="P23" i="19"/>
  <c r="P25" i="19"/>
  <c r="P19" i="18"/>
  <c r="P39" i="17"/>
  <c r="Q25" i="19"/>
  <c r="Q35" i="20"/>
  <c r="P23" i="18"/>
  <c r="P41" i="19"/>
  <c r="Q43" i="7"/>
  <c r="Q32" i="20"/>
  <c r="Q36" i="18"/>
  <c r="P33" i="20"/>
  <c r="P41" i="17"/>
  <c r="P26" i="17"/>
  <c r="P37" i="17"/>
  <c r="P25" i="17"/>
  <c r="P25" i="18"/>
  <c r="Q43" i="13"/>
  <c r="P34" i="18"/>
  <c r="Q37" i="19"/>
  <c r="P42" i="20"/>
  <c r="Q40" i="19"/>
  <c r="P39" i="18"/>
  <c r="Q44" i="11"/>
  <c r="Q31" i="19"/>
  <c r="Q27" i="20"/>
  <c r="P29" i="17"/>
  <c r="P32" i="19"/>
  <c r="Q29" i="18"/>
  <c r="Q37" i="20"/>
  <c r="Q29" i="20"/>
  <c r="P33" i="17"/>
  <c r="P22" i="19"/>
  <c r="P39" i="20"/>
  <c r="Q44" i="18"/>
  <c r="P42" i="17"/>
  <c r="Q43" i="10"/>
  <c r="Q30" i="18"/>
  <c r="P35" i="20"/>
  <c r="Q29" i="19"/>
  <c r="Q22" i="20"/>
  <c r="P34" i="20"/>
  <c r="Q24" i="19"/>
  <c r="P27" i="17"/>
  <c r="P26" i="19"/>
  <c r="P28" i="18"/>
  <c r="P43" i="20"/>
  <c r="Q41" i="19"/>
  <c r="P40" i="18"/>
  <c r="Q43" i="12"/>
  <c r="Q42" i="7"/>
  <c r="Q33" i="18"/>
  <c r="Q26" i="18"/>
  <c r="Q34" i="20"/>
  <c r="P19" i="20"/>
  <c r="P30" i="19"/>
  <c r="P29" i="18"/>
  <c r="P27" i="19"/>
  <c r="Q28" i="19"/>
  <c r="Q21" i="18"/>
  <c r="P40" i="20"/>
  <c r="Q38" i="19"/>
  <c r="P44" i="17"/>
  <c r="P44" i="10"/>
  <c r="Q23" i="19"/>
  <c r="Q20" i="19"/>
  <c r="Q26" i="19"/>
  <c r="P26" i="20"/>
  <c r="Q23" i="20"/>
  <c r="P36" i="20"/>
  <c r="P37" i="19"/>
  <c r="Q30" i="20"/>
  <c r="P30" i="18"/>
  <c r="P44" i="20"/>
  <c r="Q44" i="12"/>
  <c r="P22" i="18"/>
  <c r="P25" i="20"/>
  <c r="P20" i="17"/>
  <c r="P44" i="18"/>
  <c r="P32" i="17"/>
  <c r="P21" i="19"/>
  <c r="P24" i="19"/>
  <c r="P42" i="19"/>
  <c r="Q42" i="5"/>
  <c r="Q36" i="20"/>
  <c r="Q40" i="20"/>
  <c r="P38" i="19"/>
  <c r="P43" i="17"/>
  <c r="Q44" i="10"/>
  <c r="P24" i="18"/>
  <c r="P29" i="20"/>
  <c r="P21" i="18"/>
  <c r="Q28" i="18"/>
  <c r="P21" i="20"/>
  <c r="P30" i="20"/>
  <c r="P23" i="17"/>
  <c r="Q32" i="18"/>
  <c r="Q24" i="18"/>
  <c r="P44" i="19"/>
  <c r="P42" i="18"/>
  <c r="P38" i="17"/>
  <c r="Q44" i="5"/>
  <c r="Q25" i="18"/>
  <c r="P28" i="20"/>
  <c r="P27" i="18"/>
  <c r="Q31" i="18"/>
  <c r="P30" i="17"/>
  <c r="Q20" i="20"/>
  <c r="P35" i="19"/>
  <c r="P28" i="17"/>
  <c r="Q33" i="20"/>
  <c r="Q41" i="20"/>
  <c r="Q39" i="19"/>
  <c r="P38" i="18"/>
  <c r="Q42" i="11"/>
  <c r="P32" i="18"/>
  <c r="P28" i="19"/>
  <c r="P20" i="19"/>
  <c r="Q21" i="20"/>
  <c r="Q21" i="19"/>
  <c r="Q27" i="18"/>
  <c r="Q33" i="19"/>
  <c r="P24" i="20"/>
  <c r="P33" i="19"/>
  <c r="Q32" i="19"/>
  <c r="P38" i="20"/>
  <c r="P43" i="18"/>
  <c r="P40" i="17"/>
  <c r="Q42" i="10"/>
  <c r="P26" i="18"/>
  <c r="P22" i="17"/>
  <c r="Q26" i="20"/>
  <c r="Q20" i="18"/>
  <c r="P22" i="20"/>
  <c r="Q38" i="20"/>
  <c r="Q43" i="18"/>
  <c r="P42" i="10"/>
  <c r="Q31" i="20"/>
  <c r="P36" i="17"/>
  <c r="P32" i="20"/>
  <c r="Q40" i="18"/>
  <c r="P36" i="18"/>
  <c r="P21" i="17"/>
  <c r="P24" i="17"/>
  <c r="Q39" i="20"/>
  <c r="P43" i="10"/>
  <c r="P34" i="17"/>
  <c r="P31" i="20"/>
  <c r="P19" i="19"/>
  <c r="Q41" i="18"/>
  <c r="Q35" i="19"/>
  <c r="Q19" i="20"/>
  <c r="Q25" i="20"/>
  <c r="R44" i="20" l="1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R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U17" i="16"/>
  <c r="T12" i="16"/>
  <c r="Y18" i="16"/>
  <c r="V13" i="16"/>
  <c r="T13" i="16"/>
  <c r="V12" i="16"/>
  <c r="U5" i="16"/>
  <c r="V8" i="16"/>
  <c r="U14" i="16"/>
  <c r="V7" i="16"/>
  <c r="AA17" i="16"/>
  <c r="Z16" i="16"/>
  <c r="Y16" i="16"/>
  <c r="U16" i="16"/>
  <c r="U15" i="16"/>
  <c r="T10" i="16"/>
  <c r="U12" i="16"/>
  <c r="U9" i="16"/>
  <c r="T14" i="16"/>
  <c r="T5" i="16"/>
  <c r="U11" i="16"/>
  <c r="V9" i="16"/>
  <c r="V6" i="16"/>
  <c r="U8" i="16"/>
  <c r="Y17" i="16"/>
  <c r="U7" i="16"/>
  <c r="V17" i="16"/>
  <c r="AA15" i="16"/>
  <c r="U10" i="16"/>
  <c r="V16" i="16"/>
  <c r="T18" i="16"/>
  <c r="T6" i="16"/>
  <c r="AB14" i="16" l="1"/>
  <c r="AB12" i="16"/>
  <c r="AB13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Z17" i="16"/>
  <c r="V14" i="16"/>
  <c r="T9" i="16"/>
  <c r="Z15" i="16"/>
  <c r="V5" i="16"/>
  <c r="AA18" i="16"/>
  <c r="V15" i="16"/>
  <c r="T17" i="16"/>
  <c r="V10" i="16"/>
  <c r="Y15" i="16"/>
  <c r="T8" i="16"/>
  <c r="V11" i="16"/>
  <c r="T11" i="16"/>
  <c r="AA16" i="16"/>
  <c r="D6" i="16"/>
  <c r="Z18" i="16"/>
  <c r="U18" i="16"/>
  <c r="U13" i="16"/>
  <c r="T7" i="16"/>
  <c r="T16" i="16"/>
  <c r="D5" i="16"/>
  <c r="T15" i="16"/>
  <c r="D9" i="16"/>
  <c r="D7" i="16"/>
  <c r="D10" i="16"/>
  <c r="U6" i="16"/>
  <c r="V18" i="16"/>
  <c r="D8" i="16"/>
  <c r="AB16" i="16" l="1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Q41" i="13"/>
  <c r="J22" i="11"/>
  <c r="J26" i="11"/>
  <c r="J28" i="11"/>
  <c r="J28" i="12"/>
  <c r="J27" i="12"/>
  <c r="Q40" i="13"/>
  <c r="J20" i="11"/>
  <c r="S27" i="11"/>
  <c r="J19" i="13"/>
  <c r="S21" i="13"/>
  <c r="Q40" i="12"/>
  <c r="J27" i="13"/>
  <c r="J22" i="13"/>
  <c r="Q41" i="12"/>
  <c r="J20" i="12"/>
  <c r="J23" i="13"/>
  <c r="J26" i="12"/>
  <c r="J26" i="13"/>
  <c r="S25" i="12"/>
  <c r="S25" i="11"/>
  <c r="J23" i="11"/>
  <c r="J27" i="11"/>
  <c r="J19" i="12"/>
  <c r="S23" i="11"/>
  <c r="S20" i="11"/>
  <c r="J21" i="11"/>
  <c r="S18" i="11"/>
  <c r="S18" i="12"/>
  <c r="S28" i="11"/>
  <c r="Q41" i="11"/>
  <c r="S19" i="11"/>
  <c r="S28" i="12"/>
  <c r="S28" i="13"/>
  <c r="J25" i="13"/>
  <c r="J24" i="12"/>
  <c r="Q40" i="11"/>
  <c r="J18" i="13"/>
  <c r="S22" i="13"/>
  <c r="S20" i="12"/>
  <c r="J25" i="11"/>
  <c r="J23" i="12"/>
  <c r="J18" i="12"/>
  <c r="J20" i="13"/>
  <c r="J22" i="12"/>
  <c r="S27" i="12"/>
  <c r="J24" i="13"/>
  <c r="J19" i="11"/>
  <c r="S26" i="13"/>
  <c r="S21" i="12"/>
  <c r="S26" i="12"/>
  <c r="J21" i="12"/>
  <c r="S25" i="13"/>
  <c r="S23" i="13"/>
  <c r="S22" i="12"/>
  <c r="J24" i="11"/>
  <c r="J21" i="13"/>
  <c r="J25" i="12"/>
  <c r="S19" i="13"/>
  <c r="S22" i="11"/>
  <c r="S24" i="12"/>
  <c r="S19" i="12"/>
  <c r="S27" i="13"/>
  <c r="J28" i="13"/>
  <c r="S18" i="13"/>
  <c r="S23" i="12"/>
  <c r="J18" i="11"/>
  <c r="S21" i="11"/>
  <c r="S20" i="13"/>
  <c r="S26" i="11"/>
  <c r="S24" i="13"/>
  <c r="S24" i="11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45" i="13"/>
  <c r="S45" i="12"/>
  <c r="S45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38" i="12"/>
  <c r="P36" i="13"/>
  <c r="J24" i="10"/>
  <c r="P26" i="11"/>
  <c r="S21" i="5"/>
  <c r="Q34" i="13"/>
  <c r="Q26" i="11"/>
  <c r="Q20" i="11"/>
  <c r="S27" i="5"/>
  <c r="Q23" i="12"/>
  <c r="P33" i="11"/>
  <c r="P39" i="13"/>
  <c r="Q40" i="5"/>
  <c r="J21" i="7"/>
  <c r="J22" i="5"/>
  <c r="P28" i="11"/>
  <c r="J25" i="10"/>
  <c r="Q23" i="11"/>
  <c r="P23" i="13"/>
  <c r="S23" i="5"/>
  <c r="AA14" i="16"/>
  <c r="P32" i="13"/>
  <c r="Q24" i="11"/>
  <c r="S18" i="5"/>
  <c r="P24" i="13"/>
  <c r="S25" i="5"/>
  <c r="P41" i="11"/>
  <c r="P32" i="12"/>
  <c r="Q36" i="11"/>
  <c r="Q33" i="13"/>
  <c r="P37" i="11"/>
  <c r="S25" i="10"/>
  <c r="J19" i="5"/>
  <c r="S24" i="10"/>
  <c r="Q28" i="12"/>
  <c r="S22" i="5"/>
  <c r="S20" i="7"/>
  <c r="Q27" i="12"/>
  <c r="P30" i="12"/>
  <c r="J19" i="10"/>
  <c r="P40" i="11"/>
  <c r="P22" i="11"/>
  <c r="Q31" i="11"/>
  <c r="Q26" i="13"/>
  <c r="Q25" i="12"/>
  <c r="Q27" i="11"/>
  <c r="Q20" i="13"/>
  <c r="P36" i="12"/>
  <c r="J24" i="5"/>
  <c r="S27" i="10"/>
  <c r="S19" i="10"/>
  <c r="Z11" i="16"/>
  <c r="Q37" i="11"/>
  <c r="Q35" i="11"/>
  <c r="Y11" i="16"/>
  <c r="J25" i="5"/>
  <c r="S24" i="7"/>
  <c r="Q39" i="5"/>
  <c r="Q25" i="13"/>
  <c r="J20" i="10"/>
  <c r="S19" i="7"/>
  <c r="P19" i="11"/>
  <c r="Q23" i="13"/>
  <c r="S22" i="7"/>
  <c r="Q35" i="12"/>
  <c r="J25" i="7"/>
  <c r="Q30" i="12"/>
  <c r="P31" i="12"/>
  <c r="J26" i="5"/>
  <c r="P29" i="11"/>
  <c r="P23" i="11"/>
  <c r="Q25" i="11"/>
  <c r="Q36" i="13"/>
  <c r="P20" i="12"/>
  <c r="P27" i="13"/>
  <c r="Q39" i="12"/>
  <c r="P26" i="13"/>
  <c r="P19" i="13"/>
  <c r="J23" i="7"/>
  <c r="J23" i="10"/>
  <c r="P38" i="7"/>
  <c r="S24" i="5"/>
  <c r="P21" i="13"/>
  <c r="S18" i="7"/>
  <c r="Q32" i="11"/>
  <c r="Q39" i="11"/>
  <c r="P23" i="12"/>
  <c r="J27" i="5"/>
  <c r="S18" i="10"/>
  <c r="S26" i="7"/>
  <c r="J28" i="10"/>
  <c r="AA11" i="16"/>
  <c r="P34" i="12"/>
  <c r="S20" i="10"/>
  <c r="P22" i="7"/>
  <c r="J21" i="5"/>
  <c r="P40" i="12"/>
  <c r="P40" i="7"/>
  <c r="S26" i="5"/>
  <c r="Z13" i="16"/>
  <c r="P25" i="12"/>
  <c r="S21" i="10"/>
  <c r="P19" i="12"/>
  <c r="P28" i="12"/>
  <c r="Q36" i="12"/>
  <c r="Q19" i="11"/>
  <c r="P20" i="13"/>
  <c r="J22" i="10"/>
  <c r="Q37" i="13"/>
  <c r="Q24" i="13"/>
  <c r="P41" i="13"/>
  <c r="P38" i="11"/>
  <c r="S27" i="7"/>
  <c r="J21" i="10"/>
  <c r="P37" i="13"/>
  <c r="J26" i="10"/>
  <c r="P30" i="13"/>
  <c r="P29" i="12"/>
  <c r="Q26" i="12"/>
  <c r="Z14" i="16"/>
  <c r="S21" i="7"/>
  <c r="P26" i="12"/>
  <c r="P22" i="13"/>
  <c r="J23" i="5"/>
  <c r="P40" i="13"/>
  <c r="Q38" i="11"/>
  <c r="Q30" i="11"/>
  <c r="Q31" i="12"/>
  <c r="S25" i="7"/>
  <c r="P35" i="11"/>
  <c r="Q32" i="13"/>
  <c r="J24" i="7"/>
  <c r="Q34" i="11"/>
  <c r="P28" i="13"/>
  <c r="P24" i="12"/>
  <c r="J28" i="7"/>
  <c r="Q33" i="12"/>
  <c r="P36" i="11"/>
  <c r="Q30" i="13"/>
  <c r="P32" i="11"/>
  <c r="Q39" i="13"/>
  <c r="S26" i="10"/>
  <c r="Q31" i="13"/>
  <c r="Q21" i="11"/>
  <c r="S20" i="5"/>
  <c r="P22" i="12"/>
  <c r="Y14" i="16"/>
  <c r="Q38" i="12"/>
  <c r="Q19" i="12"/>
  <c r="P20" i="11"/>
  <c r="S23" i="10"/>
  <c r="P24" i="11"/>
  <c r="P25" i="13"/>
  <c r="P38" i="13"/>
  <c r="AA13" i="16"/>
  <c r="Q34" i="12"/>
  <c r="P21" i="12"/>
  <c r="Q21" i="13"/>
  <c r="Q38" i="13"/>
  <c r="P33" i="12"/>
  <c r="P25" i="11"/>
  <c r="Q29" i="11"/>
  <c r="P29" i="13"/>
  <c r="P41" i="7"/>
  <c r="J18" i="10"/>
  <c r="Q32" i="12"/>
  <c r="P35" i="13"/>
  <c r="J18" i="5"/>
  <c r="Q22" i="12"/>
  <c r="S28" i="7"/>
  <c r="P30" i="11"/>
  <c r="P21" i="11"/>
  <c r="S28" i="10"/>
  <c r="J19" i="7"/>
  <c r="P33" i="13"/>
  <c r="Q27" i="13"/>
  <c r="P39" i="12"/>
  <c r="S23" i="7"/>
  <c r="Q28" i="13"/>
  <c r="J18" i="7"/>
  <c r="P27" i="12"/>
  <c r="Q41" i="5"/>
  <c r="Q33" i="11"/>
  <c r="Q22" i="11"/>
  <c r="J22" i="7"/>
  <c r="Y13" i="16"/>
  <c r="AA12" i="16"/>
  <c r="P23" i="7"/>
  <c r="J20" i="7"/>
  <c r="Q29" i="12"/>
  <c r="P37" i="12"/>
  <c r="Q20" i="12"/>
  <c r="P34" i="11"/>
  <c r="S22" i="10"/>
  <c r="Q28" i="11"/>
  <c r="Q21" i="12"/>
  <c r="Q38" i="5"/>
  <c r="J27" i="7"/>
  <c r="P31" i="13"/>
  <c r="Q19" i="13"/>
  <c r="S28" i="5"/>
  <c r="P41" i="12"/>
  <c r="P31" i="11"/>
  <c r="J28" i="5"/>
  <c r="P27" i="11"/>
  <c r="P39" i="11"/>
  <c r="J20" i="5"/>
  <c r="Q22" i="13"/>
  <c r="Z12" i="16"/>
  <c r="P35" i="12"/>
  <c r="P39" i="7"/>
  <c r="P34" i="13"/>
  <c r="Q37" i="12"/>
  <c r="Q24" i="12"/>
  <c r="Q29" i="13"/>
  <c r="Q35" i="13"/>
  <c r="Y12" i="16"/>
  <c r="J26" i="7"/>
  <c r="S19" i="5"/>
  <c r="J27" i="10"/>
  <c r="R41" i="13" l="1"/>
  <c r="I41" i="13" s="1"/>
  <c r="R40" i="13"/>
  <c r="I40" i="13" s="1"/>
  <c r="R39" i="13"/>
  <c r="I39" i="13" s="1"/>
  <c r="R38" i="13"/>
  <c r="I38" i="13" s="1"/>
  <c r="R40" i="12"/>
  <c r="I40" i="12" s="1"/>
  <c r="R41" i="12"/>
  <c r="I41" i="12" s="1"/>
  <c r="R39" i="12"/>
  <c r="I39" i="12" s="1"/>
  <c r="R38" i="12"/>
  <c r="I38" i="12" s="1"/>
  <c r="R41" i="11"/>
  <c r="I41" i="11" s="1"/>
  <c r="R40" i="11"/>
  <c r="I40" i="11" s="1"/>
  <c r="R39" i="11"/>
  <c r="I39" i="11" s="1"/>
  <c r="R38" i="11"/>
  <c r="I38" i="11" s="1"/>
  <c r="H43" i="7"/>
  <c r="H44" i="7" s="1"/>
  <c r="R37" i="1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45" i="10"/>
  <c r="S45" i="5"/>
  <c r="S45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P39" i="10"/>
  <c r="P35" i="5"/>
  <c r="Q35" i="7"/>
  <c r="Q33" i="7"/>
  <c r="P21" i="7"/>
  <c r="Q20" i="5"/>
  <c r="Z10" i="16"/>
  <c r="P24" i="5"/>
  <c r="Q23" i="7"/>
  <c r="P38" i="5"/>
  <c r="Q36" i="5"/>
  <c r="Q26" i="5"/>
  <c r="Q38" i="10"/>
  <c r="Q25" i="7"/>
  <c r="P37" i="5"/>
  <c r="Q28" i="5"/>
  <c r="P21" i="10"/>
  <c r="P29" i="7"/>
  <c r="Q26" i="10"/>
  <c r="Q25" i="5"/>
  <c r="Q36" i="10"/>
  <c r="Y5" i="16"/>
  <c r="AA7" i="16"/>
  <c r="P34" i="10"/>
  <c r="P41" i="10"/>
  <c r="Y8" i="16"/>
  <c r="P33" i="7"/>
  <c r="Q37" i="5"/>
  <c r="Q35" i="10"/>
  <c r="Q34" i="5"/>
  <c r="P30" i="10"/>
  <c r="P29" i="5"/>
  <c r="AA10" i="16"/>
  <c r="P20" i="7"/>
  <c r="Q30" i="10"/>
  <c r="P26" i="5"/>
  <c r="P24" i="7"/>
  <c r="Q41" i="10"/>
  <c r="P34" i="5"/>
  <c r="Z8" i="16"/>
  <c r="AA9" i="16"/>
  <c r="Q32" i="5"/>
  <c r="P32" i="10"/>
  <c r="Q22" i="7"/>
  <c r="Q29" i="10"/>
  <c r="Q24" i="7"/>
  <c r="Y9" i="16"/>
  <c r="P20" i="5"/>
  <c r="P31" i="7"/>
  <c r="P36" i="10"/>
  <c r="AA6" i="16"/>
  <c r="P31" i="5"/>
  <c r="P40" i="5"/>
  <c r="Z6" i="16"/>
  <c r="Q26" i="7"/>
  <c r="P19" i="7"/>
  <c r="P26" i="7"/>
  <c r="Q36" i="7"/>
  <c r="Q21" i="10"/>
  <c r="Q29" i="7"/>
  <c r="P35" i="10"/>
  <c r="P35" i="7"/>
  <c r="Y10" i="16"/>
  <c r="P26" i="10"/>
  <c r="P39" i="5"/>
  <c r="Z9" i="16"/>
  <c r="Q30" i="7"/>
  <c r="P36" i="7"/>
  <c r="Q27" i="7"/>
  <c r="Q24" i="10"/>
  <c r="P28" i="10"/>
  <c r="Q19" i="10"/>
  <c r="P32" i="5"/>
  <c r="P25" i="5"/>
  <c r="P23" i="5"/>
  <c r="P29" i="10"/>
  <c r="Q39" i="10"/>
  <c r="Y6" i="16"/>
  <c r="Q20" i="7"/>
  <c r="Q30" i="5"/>
  <c r="Q22" i="5"/>
  <c r="P30" i="7"/>
  <c r="Q37" i="7"/>
  <c r="P34" i="7"/>
  <c r="Q34" i="7"/>
  <c r="P40" i="10"/>
  <c r="Q32" i="10"/>
  <c r="P28" i="7"/>
  <c r="Z7" i="16"/>
  <c r="P28" i="5"/>
  <c r="P41" i="5"/>
  <c r="Q20" i="10"/>
  <c r="Q21" i="7"/>
  <c r="P30" i="5"/>
  <c r="AA5" i="16"/>
  <c r="Q38" i="7"/>
  <c r="Q28" i="10"/>
  <c r="AA8" i="16"/>
  <c r="P19" i="10"/>
  <c r="Q40" i="10"/>
  <c r="P25" i="10"/>
  <c r="Q35" i="5"/>
  <c r="P38" i="10"/>
  <c r="Q41" i="7"/>
  <c r="Q37" i="10"/>
  <c r="P23" i="10"/>
  <c r="Q31" i="5"/>
  <c r="Q40" i="7"/>
  <c r="Q33" i="5"/>
  <c r="Q25" i="10"/>
  <c r="Q21" i="5"/>
  <c r="P37" i="10"/>
  <c r="P33" i="5"/>
  <c r="Q27" i="5"/>
  <c r="Q19" i="7"/>
  <c r="P22" i="5"/>
  <c r="P20" i="10"/>
  <c r="Q28" i="7"/>
  <c r="Q27" i="10"/>
  <c r="Q39" i="7"/>
  <c r="P32" i="7"/>
  <c r="Q31" i="7"/>
  <c r="P27" i="5"/>
  <c r="P27" i="7"/>
  <c r="Q34" i="10"/>
  <c r="P27" i="10"/>
  <c r="Z5" i="16"/>
  <c r="Q29" i="5"/>
  <c r="P24" i="10"/>
  <c r="Q19" i="5"/>
  <c r="P19" i="5"/>
  <c r="P37" i="7"/>
  <c r="Q31" i="10"/>
  <c r="Y7" i="16"/>
  <c r="Q23" i="5"/>
  <c r="Q33" i="10"/>
  <c r="Q24" i="5"/>
  <c r="P36" i="5"/>
  <c r="P31" i="10"/>
  <c r="P22" i="10"/>
  <c r="P21" i="5"/>
  <c r="Q22" i="10"/>
  <c r="Q23" i="10"/>
  <c r="Q32" i="7"/>
  <c r="P33" i="10"/>
  <c r="P25" i="7"/>
  <c r="R41" i="10" l="1"/>
  <c r="I41" i="10" s="1"/>
  <c r="R40" i="10"/>
  <c r="I40" i="10" s="1"/>
  <c r="R39" i="10"/>
  <c r="I39" i="10" s="1"/>
  <c r="R38" i="10"/>
  <c r="I38" i="10" s="1"/>
  <c r="R41" i="5"/>
  <c r="I41" i="5" s="1"/>
  <c r="R40" i="5"/>
  <c r="I40" i="5" s="1"/>
  <c r="R39" i="5"/>
  <c r="I39" i="5" s="1"/>
  <c r="R38" i="5"/>
  <c r="I38" i="5" s="1"/>
  <c r="R41" i="7"/>
  <c r="I41" i="7" s="1"/>
  <c r="R40" i="7"/>
  <c r="I40" i="7" s="1"/>
  <c r="R39" i="7"/>
  <c r="I39" i="7" s="1"/>
  <c r="R38" i="7"/>
  <c r="I38" i="7" s="1"/>
  <c r="R37" i="7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X16" i="16"/>
  <c r="W11" i="16"/>
  <c r="X13" i="16"/>
  <c r="X17" i="16"/>
  <c r="X11" i="16"/>
  <c r="X18" i="16"/>
  <c r="X14" i="16"/>
  <c r="X12" i="16"/>
  <c r="X15" i="16"/>
  <c r="H29" i="12" l="1"/>
  <c r="I24" i="7"/>
  <c r="I23" i="7"/>
  <c r="I20" i="7"/>
  <c r="I28" i="7"/>
  <c r="I19" i="7"/>
  <c r="I25" i="7"/>
  <c r="I27" i="7"/>
  <c r="I22" i="7"/>
  <c r="I26" i="7"/>
  <c r="I21" i="7"/>
  <c r="X7" i="16"/>
  <c r="W12" i="16"/>
  <c r="X9" i="16"/>
  <c r="X5" i="16"/>
  <c r="X6" i="16"/>
  <c r="W5" i="16"/>
  <c r="X8" i="16"/>
  <c r="X10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13" i="16"/>
  <c r="W6" i="16"/>
  <c r="S6" i="4" l="1"/>
  <c r="S7" i="4" s="1"/>
  <c r="S8" i="4" s="1"/>
  <c r="S9" i="4" s="1"/>
  <c r="S10" i="4" s="1"/>
  <c r="S11" i="4" s="1"/>
  <c r="S12" i="4" s="1"/>
  <c r="S13" i="4" s="1"/>
  <c r="S14" i="4" s="1"/>
  <c r="S15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K6" i="4"/>
  <c r="J6" i="4"/>
  <c r="I6" i="4"/>
  <c r="H6" i="4"/>
  <c r="H31" i="12"/>
  <c r="AK7" i="16"/>
  <c r="C6" i="4"/>
  <c r="E6" i="4"/>
  <c r="F6" i="4"/>
  <c r="G6" i="4"/>
  <c r="B6" i="4"/>
  <c r="P58" i="2"/>
  <c r="O8" i="2"/>
  <c r="O12" i="2"/>
  <c r="S58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W14" i="16"/>
  <c r="W7" i="16"/>
  <c r="T16" i="4" l="1"/>
  <c r="T17" i="4" s="1"/>
  <c r="T18" i="4" s="1"/>
  <c r="T19" i="4" s="1"/>
  <c r="T20" i="4" s="1"/>
  <c r="T21" i="4" s="1"/>
  <c r="T22" i="4" s="1"/>
  <c r="U16" i="4"/>
  <c r="U17" i="4" s="1"/>
  <c r="U18" i="4" s="1"/>
  <c r="U19" i="4" s="1"/>
  <c r="U20" i="4" s="1"/>
  <c r="U21" i="4" s="1"/>
  <c r="U22" i="4" s="1"/>
  <c r="E13" i="16" s="1"/>
  <c r="F13" i="16" s="1"/>
  <c r="R16" i="4"/>
  <c r="R17" i="4" s="1"/>
  <c r="R18" i="4" s="1"/>
  <c r="R19" i="4" s="1"/>
  <c r="R20" i="4" s="1"/>
  <c r="R21" i="4" s="1"/>
  <c r="R22" i="4" s="1"/>
  <c r="S16" i="4"/>
  <c r="S17" i="4" s="1"/>
  <c r="S18" i="4" s="1"/>
  <c r="S19" i="4" s="1"/>
  <c r="S20" i="4" s="1"/>
  <c r="S21" i="4" s="1"/>
  <c r="S22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W5" i="4"/>
  <c r="W6" i="4" s="1"/>
  <c r="W7" i="4" s="1"/>
  <c r="W8" i="4" s="1"/>
  <c r="W9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N8" i="16"/>
  <c r="N6" i="16"/>
  <c r="N10" i="16"/>
  <c r="N5" i="16"/>
  <c r="N9" i="16"/>
  <c r="N7" i="16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W17" i="16"/>
  <c r="W15" i="16"/>
  <c r="W8" i="16"/>
  <c r="V5" i="4"/>
  <c r="W16" i="16"/>
  <c r="W18" i="16"/>
  <c r="P16" i="4" l="1"/>
  <c r="P17" i="4" s="1"/>
  <c r="P18" i="4" s="1"/>
  <c r="P19" i="4" s="1"/>
  <c r="P20" i="4" s="1"/>
  <c r="P21" i="4" s="1"/>
  <c r="P22" i="4" s="1"/>
  <c r="E9" i="16" s="1"/>
  <c r="F9" i="16" s="1"/>
  <c r="X16" i="4"/>
  <c r="X17" i="4" s="1"/>
  <c r="X18" i="4" s="1"/>
  <c r="X19" i="4" s="1"/>
  <c r="X20" i="4" s="1"/>
  <c r="X21" i="4" s="1"/>
  <c r="X22" i="4" s="1"/>
  <c r="M16" i="4"/>
  <c r="M17" i="4" s="1"/>
  <c r="M18" i="4" s="1"/>
  <c r="M19" i="4" s="1"/>
  <c r="M20" i="4" s="1"/>
  <c r="M21" i="4" s="1"/>
  <c r="M22" i="4" s="1"/>
  <c r="Q16" i="4"/>
  <c r="Q17" i="4" s="1"/>
  <c r="Q18" i="4" s="1"/>
  <c r="Q19" i="4" s="1"/>
  <c r="Q20" i="4" s="1"/>
  <c r="Q21" i="4" s="1"/>
  <c r="Q22" i="4" s="1"/>
  <c r="O16" i="4"/>
  <c r="O17" i="4" s="1"/>
  <c r="O18" i="4" s="1"/>
  <c r="O19" i="4" s="1"/>
  <c r="O20" i="4" s="1"/>
  <c r="O21" i="4" s="1"/>
  <c r="O22" i="4" s="1"/>
  <c r="E14" i="16" s="1"/>
  <c r="F14" i="16" s="1"/>
  <c r="L16" i="4"/>
  <c r="L17" i="4" s="1"/>
  <c r="L18" i="4" s="1"/>
  <c r="L19" i="4" s="1"/>
  <c r="L20" i="4" s="1"/>
  <c r="L21" i="4" s="1"/>
  <c r="L22" i="4" s="1"/>
  <c r="N16" i="4"/>
  <c r="N17" i="4" s="1"/>
  <c r="N18" i="4" s="1"/>
  <c r="N19" i="4" s="1"/>
  <c r="N20" i="4" s="1"/>
  <c r="N21" i="4" s="1"/>
  <c r="N22" i="4" s="1"/>
  <c r="G12" i="15"/>
  <c r="G13" i="15"/>
  <c r="W10" i="4"/>
  <c r="AJ5" i="16"/>
  <c r="G11" i="15"/>
  <c r="G10" i="15"/>
  <c r="E12" i="16"/>
  <c r="F12" i="16" s="1"/>
  <c r="E10" i="16"/>
  <c r="F10" i="16" s="1"/>
  <c r="E7" i="16"/>
  <c r="F7" i="16" s="1"/>
  <c r="E6" i="16"/>
  <c r="F6" i="16" s="1"/>
  <c r="V6" i="4"/>
  <c r="W9" i="16"/>
  <c r="E11" i="16" l="1"/>
  <c r="F11" i="16" s="1"/>
  <c r="E8" i="16"/>
  <c r="F8" i="16" s="1"/>
  <c r="W11" i="4"/>
  <c r="AJ6" i="16"/>
  <c r="E5" i="16"/>
  <c r="F5" i="16" s="1"/>
  <c r="Y6" i="4"/>
  <c r="Y5" i="4"/>
  <c r="W10" i="16"/>
  <c r="W12" i="4" l="1"/>
  <c r="AJ7" i="16"/>
  <c r="F15" i="16"/>
  <c r="D10" i="15" s="1"/>
  <c r="C10" i="15"/>
  <c r="C11" i="15"/>
  <c r="C12" i="15"/>
  <c r="W13" i="4" l="1"/>
  <c r="AJ8" i="16"/>
  <c r="D12" i="15"/>
  <c r="D11" i="15"/>
  <c r="V10" i="4"/>
  <c r="V9" i="4"/>
  <c r="W14" i="4" l="1"/>
  <c r="AJ9" i="16"/>
  <c r="Y10" i="4"/>
  <c r="Y9" i="4"/>
  <c r="V8" i="4"/>
  <c r="W15" i="4" l="1"/>
  <c r="AJ10" i="16"/>
  <c r="Y8" i="4"/>
  <c r="V7" i="4"/>
  <c r="W16" i="4" l="1"/>
  <c r="AJ11" i="16"/>
  <c r="Y7" i="4"/>
  <c r="W17" i="4" l="1"/>
  <c r="AJ12" i="16"/>
  <c r="V11" i="4"/>
  <c r="V12" i="4"/>
  <c r="V14" i="4"/>
  <c r="W18" i="4" l="1"/>
  <c r="AJ13" i="16"/>
  <c r="Y12" i="4"/>
  <c r="Y14" i="4"/>
  <c r="Y11" i="4"/>
  <c r="V13" i="4"/>
  <c r="W19" i="4" l="1"/>
  <c r="AJ14" i="16"/>
  <c r="Y13" i="4"/>
  <c r="V15" i="4"/>
  <c r="W20" i="4" l="1"/>
  <c r="AJ15" i="16"/>
  <c r="Y15" i="4"/>
  <c r="W21" i="4" l="1"/>
  <c r="AJ16" i="16"/>
  <c r="V16" i="4"/>
  <c r="W22" i="4" l="1"/>
  <c r="AJ17" i="16"/>
  <c r="Y16" i="4"/>
  <c r="V17" i="4"/>
  <c r="AI5" i="16" l="1"/>
  <c r="AI12" i="16"/>
  <c r="AJ18" i="16"/>
  <c r="G6" i="15"/>
  <c r="F6" i="15"/>
  <c r="Y17" i="4"/>
  <c r="AI13" i="16" s="1"/>
  <c r="V18" i="4"/>
  <c r="AI6" i="16" l="1"/>
  <c r="Y18" i="4"/>
  <c r="AI14" i="16" s="1"/>
  <c r="V19" i="4"/>
  <c r="AI7" i="16" l="1"/>
  <c r="Y19" i="4"/>
  <c r="AI8" i="16" s="1"/>
  <c r="V20" i="4"/>
  <c r="AI15" i="16" l="1"/>
  <c r="Y20" i="4"/>
  <c r="AI16" i="16" s="1"/>
  <c r="V21" i="4"/>
  <c r="AI9" i="16" l="1"/>
  <c r="Y21" i="4"/>
  <c r="V22" i="4"/>
  <c r="AI17" i="16" l="1"/>
  <c r="AI10" i="16"/>
  <c r="Y22" i="4"/>
  <c r="AI18" i="16" l="1"/>
  <c r="AI11" i="16"/>
  <c r="F5" i="15"/>
  <c r="G5" i="15"/>
</calcChain>
</file>

<file path=xl/sharedStrings.xml><?xml version="1.0" encoding="utf-8"?>
<sst xmlns="http://schemas.openxmlformats.org/spreadsheetml/2006/main" count="733" uniqueCount="311">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</sst>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</cellXfs>
  <cellStyles count="2">
    <cellStyle name="Currency" xfId="1" builtinId="4"/>
    <cellStyle name="Normal" xfId="0" builtinId="0"/>
  </cellStyles>
  <dxfs count="2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29453.3</c:v>
                </c:pt>
                <c:pt idx="1">
                  <c:v>40284.264999999999</c:v>
                </c:pt>
                <c:pt idx="2">
                  <c:v>36545.800000000003</c:v>
                </c:pt>
                <c:pt idx="3">
                  <c:v>58472.5</c:v>
                </c:pt>
                <c:pt idx="4">
                  <c:v>35781.300000000003</c:v>
                </c:pt>
                <c:pt idx="5">
                  <c:v>40980.199999999997</c:v>
                </c:pt>
                <c:pt idx="6">
                  <c:v>61530.7</c:v>
                </c:pt>
                <c:pt idx="7">
                  <c:v>41909.9</c:v>
                </c:pt>
                <c:pt idx="8">
                  <c:v>28157.7</c:v>
                </c:pt>
                <c:pt idx="9">
                  <c:v>31636.1</c:v>
                </c:pt>
                <c:pt idx="10">
                  <c:v>44462.2</c:v>
                </c:pt>
                <c:pt idx="11">
                  <c:v>40085.1</c:v>
                </c:pt>
                <c:pt idx="12">
                  <c:v>49876.800000000003</c:v>
                </c:pt>
                <c:pt idx="13">
                  <c:v>22828.7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2144"/>
        <c:axId val="271781752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5.7</c:v>
                </c:pt>
                <c:pt idx="1">
                  <c:v>5.85</c:v>
                </c:pt>
                <c:pt idx="2">
                  <c:v>6.05</c:v>
                </c:pt>
                <c:pt idx="3">
                  <c:v>6.26</c:v>
                </c:pt>
                <c:pt idx="4">
                  <c:v>6.06</c:v>
                </c:pt>
                <c:pt idx="5">
                  <c:v>6.48</c:v>
                </c:pt>
                <c:pt idx="6">
                  <c:v>6.41</c:v>
                </c:pt>
                <c:pt idx="7">
                  <c:v>6.1</c:v>
                </c:pt>
                <c:pt idx="8">
                  <c:v>5.81</c:v>
                </c:pt>
                <c:pt idx="9">
                  <c:v>5.91</c:v>
                </c:pt>
                <c:pt idx="10">
                  <c:v>5.76</c:v>
                </c:pt>
                <c:pt idx="11">
                  <c:v>5.66</c:v>
                </c:pt>
                <c:pt idx="12">
                  <c:v>5.81</c:v>
                </c:pt>
                <c:pt idx="13">
                  <c:v>5.51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81360"/>
        <c:axId val="271783712"/>
      </c:lineChart>
      <c:catAx>
        <c:axId val="2717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3712"/>
        <c:crosses val="autoZero"/>
        <c:auto val="1"/>
        <c:lblAlgn val="ctr"/>
        <c:lblOffset val="100"/>
        <c:noMultiLvlLbl val="0"/>
      </c:catAx>
      <c:valAx>
        <c:axId val="2717837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1360"/>
        <c:crosses val="autoZero"/>
        <c:crossBetween val="between"/>
      </c:valAx>
      <c:valAx>
        <c:axId val="271781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2144"/>
        <c:crosses val="max"/>
        <c:crossBetween val="between"/>
      </c:valAx>
      <c:catAx>
        <c:axId val="27178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1781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5.7</c:v>
                </c:pt>
                <c:pt idx="1">
                  <c:v>5.85</c:v>
                </c:pt>
                <c:pt idx="2">
                  <c:v>6.05</c:v>
                </c:pt>
                <c:pt idx="3">
                  <c:v>6.26</c:v>
                </c:pt>
                <c:pt idx="4">
                  <c:v>6.06</c:v>
                </c:pt>
                <c:pt idx="5">
                  <c:v>6.48</c:v>
                </c:pt>
                <c:pt idx="6">
                  <c:v>6.41</c:v>
                </c:pt>
                <c:pt idx="7">
                  <c:v>6.1</c:v>
                </c:pt>
                <c:pt idx="8">
                  <c:v>5.81</c:v>
                </c:pt>
                <c:pt idx="9">
                  <c:v>5.91</c:v>
                </c:pt>
                <c:pt idx="10">
                  <c:v>5.76</c:v>
                </c:pt>
                <c:pt idx="11">
                  <c:v>5.66</c:v>
                </c:pt>
                <c:pt idx="12">
                  <c:v>5.81</c:v>
                </c:pt>
                <c:pt idx="13">
                  <c:v>5.51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5.6682520521811863</c:v>
                </c:pt>
                <c:pt idx="1">
                  <c:v>5.6864268469630677</c:v>
                </c:pt>
                <c:pt idx="2">
                  <c:v>5.7227841622667608</c:v>
                </c:pt>
                <c:pt idx="3">
                  <c:v>5.776505746040085</c:v>
                </c:pt>
                <c:pt idx="4">
                  <c:v>5.8048551714360768</c:v>
                </c:pt>
                <c:pt idx="5">
                  <c:v>5.872369654292469</c:v>
                </c:pt>
                <c:pt idx="6">
                  <c:v>5.9261326888632224</c:v>
                </c:pt>
                <c:pt idx="7">
                  <c:v>5.9435194199768997</c:v>
                </c:pt>
                <c:pt idx="8">
                  <c:v>5.9301674779792091</c:v>
                </c:pt>
                <c:pt idx="9">
                  <c:v>5.9281507301812884</c:v>
                </c:pt>
                <c:pt idx="10">
                  <c:v>5.9113356571631597</c:v>
                </c:pt>
                <c:pt idx="11">
                  <c:v>5.8862020914468438</c:v>
                </c:pt>
                <c:pt idx="12">
                  <c:v>5.8785818823021589</c:v>
                </c:pt>
                <c:pt idx="13">
                  <c:v>5.841723694071943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84496"/>
        <c:axId val="271784888"/>
      </c:lineChart>
      <c:catAx>
        <c:axId val="2717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4888"/>
        <c:crosses val="autoZero"/>
        <c:auto val="1"/>
        <c:lblAlgn val="ctr"/>
        <c:lblOffset val="100"/>
        <c:noMultiLvlLbl val="0"/>
      </c:catAx>
      <c:valAx>
        <c:axId val="2717848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55.797101449275367</c:v>
                </c:pt>
                <c:pt idx="1">
                  <c:v>58.477508650519027</c:v>
                </c:pt>
                <c:pt idx="2">
                  <c:v>63.851351351351354</c:v>
                </c:pt>
                <c:pt idx="3">
                  <c:v>65.48387096774195</c:v>
                </c:pt>
                <c:pt idx="4">
                  <c:v>64.649681528662427</c:v>
                </c:pt>
                <c:pt idx="5">
                  <c:v>73.134328358208961</c:v>
                </c:pt>
                <c:pt idx="6">
                  <c:v>66.894197952218434</c:v>
                </c:pt>
                <c:pt idx="7">
                  <c:v>58.70967741935484</c:v>
                </c:pt>
                <c:pt idx="8">
                  <c:v>46.416382252559728</c:v>
                </c:pt>
                <c:pt idx="9">
                  <c:v>54.681647940074903</c:v>
                </c:pt>
                <c:pt idx="10">
                  <c:v>46.031746031746032</c:v>
                </c:pt>
                <c:pt idx="11">
                  <c:v>44.44444444444445</c:v>
                </c:pt>
                <c:pt idx="12">
                  <c:v>51.778656126482211</c:v>
                </c:pt>
                <c:pt idx="13">
                  <c:v>47.985347985347985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86456"/>
        <c:axId val="271786064"/>
      </c:lineChart>
      <c:catAx>
        <c:axId val="271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6064"/>
        <c:crosses val="autoZero"/>
        <c:auto val="1"/>
        <c:lblAlgn val="ctr"/>
        <c:lblOffset val="100"/>
        <c:noMultiLvlLbl val="0"/>
      </c:catAx>
      <c:valAx>
        <c:axId val="2717860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5.5407142857142873</c:v>
                </c:pt>
                <c:pt idx="1">
                  <c:v>5.5757142857142856</c:v>
                </c:pt>
                <c:pt idx="2">
                  <c:v>5.6342857142857143</c:v>
                </c:pt>
                <c:pt idx="3">
                  <c:v>5.7028571428571428</c:v>
                </c:pt>
                <c:pt idx="4">
                  <c:v>5.7685714285714287</c:v>
                </c:pt>
                <c:pt idx="5">
                  <c:v>5.8792857142857144</c:v>
                </c:pt>
                <c:pt idx="6">
                  <c:v>5.95</c:v>
                </c:pt>
                <c:pt idx="7">
                  <c:v>5.9885714285714275</c:v>
                </c:pt>
                <c:pt idx="8">
                  <c:v>5.9735714285714279</c:v>
                </c:pt>
                <c:pt idx="9">
                  <c:v>5.9914285714285702</c:v>
                </c:pt>
                <c:pt idx="10">
                  <c:v>5.9771428571428569</c:v>
                </c:pt>
                <c:pt idx="11">
                  <c:v>5.9564285714285718</c:v>
                </c:pt>
                <c:pt idx="12">
                  <c:v>5.9628571428571444</c:v>
                </c:pt>
                <c:pt idx="13">
                  <c:v>5.955000000000001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6.1939177190141477</c:v>
                </c:pt>
                <c:pt idx="1">
                  <c:v>6.2396287512762418</c:v>
                </c:pt>
                <c:pt idx="2">
                  <c:v>6.3113706100291918</c:v>
                </c:pt>
                <c:pt idx="3">
                  <c:v>6.426923802407579</c:v>
                </c:pt>
                <c:pt idx="4">
                  <c:v>6.4374790175830672</c:v>
                </c:pt>
                <c:pt idx="5">
                  <c:v>6.4572111439025486</c:v>
                </c:pt>
                <c:pt idx="6">
                  <c:v>6.5281136433395988</c:v>
                </c:pt>
                <c:pt idx="7">
                  <c:v>6.5251622133689962</c:v>
                </c:pt>
                <c:pt idx="8">
                  <c:v>6.5180603006965905</c:v>
                </c:pt>
                <c:pt idx="9">
                  <c:v>6.507261409161412</c:v>
                </c:pt>
                <c:pt idx="10">
                  <c:v>6.5075957012112244</c:v>
                </c:pt>
                <c:pt idx="11">
                  <c:v>6.5134319352000549</c:v>
                </c:pt>
                <c:pt idx="12">
                  <c:v>6.5100979741851148</c:v>
                </c:pt>
                <c:pt idx="13">
                  <c:v>6.5260853364764877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4.8875108524144268</c:v>
                </c:pt>
                <c:pt idx="1">
                  <c:v>4.9117998201523294</c:v>
                </c:pt>
                <c:pt idx="2">
                  <c:v>4.9572008185422369</c:v>
                </c:pt>
                <c:pt idx="3">
                  <c:v>4.9787904833067067</c:v>
                </c:pt>
                <c:pt idx="4">
                  <c:v>5.0996638395597902</c:v>
                </c:pt>
                <c:pt idx="5">
                  <c:v>5.3013602846688803</c:v>
                </c:pt>
                <c:pt idx="6">
                  <c:v>5.3718863566604016</c:v>
                </c:pt>
                <c:pt idx="7">
                  <c:v>5.4519806437738589</c:v>
                </c:pt>
                <c:pt idx="8">
                  <c:v>5.4290825564462653</c:v>
                </c:pt>
                <c:pt idx="9">
                  <c:v>5.4755957336957284</c:v>
                </c:pt>
                <c:pt idx="10">
                  <c:v>5.4466900130744893</c:v>
                </c:pt>
                <c:pt idx="11">
                  <c:v>5.3994252076570888</c:v>
                </c:pt>
                <c:pt idx="12">
                  <c:v>5.415616311529174</c:v>
                </c:pt>
                <c:pt idx="13">
                  <c:v>5.3839146635235142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70552"/>
        <c:axId val="365475256"/>
      </c:lineChart>
      <c:catAx>
        <c:axId val="3654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5256"/>
        <c:crosses val="autoZero"/>
        <c:auto val="1"/>
        <c:lblAlgn val="ctr"/>
        <c:lblOffset val="100"/>
        <c:noMultiLvlLbl val="0"/>
      </c:catAx>
      <c:valAx>
        <c:axId val="3654752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09/25</c:v>
                </c:pt>
                <c:pt idx="1">
                  <c:v>09/28</c:v>
                </c:pt>
                <c:pt idx="2">
                  <c:v>09/29</c:v>
                </c:pt>
                <c:pt idx="3">
                  <c:v>09/30</c:v>
                </c:pt>
                <c:pt idx="4">
                  <c:v>10/01</c:v>
                </c:pt>
                <c:pt idx="5">
                  <c:v>10/02</c:v>
                </c:pt>
                <c:pt idx="6">
                  <c:v>10/05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43897.299999999996</c:v>
                </c:pt>
                <c:pt idx="1">
                  <c:v>49591.099999999991</c:v>
                </c:pt>
                <c:pt idx="2">
                  <c:v>49591.099999999991</c:v>
                </c:pt>
                <c:pt idx="3">
                  <c:v>49591.099999999991</c:v>
                </c:pt>
                <c:pt idx="4">
                  <c:v>49591.099999999991</c:v>
                </c:pt>
                <c:pt idx="5">
                  <c:v>49591.099999999991</c:v>
                </c:pt>
                <c:pt idx="6">
                  <c:v>49591.099999999991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76432"/>
        <c:axId val="36547682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09/25</c:v>
                </c:pt>
                <c:pt idx="1">
                  <c:v>09/28</c:v>
                </c:pt>
                <c:pt idx="2">
                  <c:v>09/29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96685.4</c:v>
                </c:pt>
                <c:pt idx="1">
                  <c:v>97238.7</c:v>
                </c:pt>
                <c:pt idx="2">
                  <c:v>95902.2</c:v>
                </c:pt>
                <c:pt idx="3">
                  <c:v>98264.2</c:v>
                </c:pt>
                <c:pt idx="4">
                  <c:v>101121.7</c:v>
                </c:pt>
                <c:pt idx="5">
                  <c:v>101114.7</c:v>
                </c:pt>
                <c:pt idx="6">
                  <c:v>101486.7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76432"/>
        <c:axId val="365476824"/>
      </c:lineChart>
      <c:catAx>
        <c:axId val="3654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6824"/>
        <c:crosses val="autoZero"/>
        <c:auto val="1"/>
        <c:lblAlgn val="ctr"/>
        <c:lblOffset val="100"/>
        <c:noMultiLvlLbl val="0"/>
      </c:catAx>
      <c:valAx>
        <c:axId val="3654768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7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ctrlProps/ctrlProp2.xml><?xml version="1.0" encoding="utf-8"?>
<formControlPr xmlns="http://schemas.microsoft.com/office/spreadsheetml/2009/9/main" objectType="Scroll" dx="22" fmlaLink="$V$3" horiz="1" max="12" val="1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161925</xdr:rowOff>
        </xdr:from>
        <xdr:to>
          <xdr:col>8</xdr:col>
          <xdr:colOff>114300</xdr:colOff>
          <xdr:row>29</xdr:row>
          <xdr:rowOff>180975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13</xdr:row>
          <xdr:rowOff>57150</xdr:rowOff>
        </xdr:from>
        <xdr:to>
          <xdr:col>20</xdr:col>
          <xdr:colOff>200025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00000000-0008-0000-0F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58" totalsRowCount="1">
  <autoFilter ref="A4:S57"/>
  <tableColumns count="19">
    <tableColumn id="1" name="Symbol" totalsRowLabel="Total"/>
    <tableColumn id="2" name="Order Date" totalsRowFunction="count"/>
    <tableColumn id="3" name="Transaction Date"/>
    <tableColumn id="4" name="Transactions"/>
    <tableColumn id="5" name="Cancel Reason"/>
    <tableColumn id="6" name="Amount" dataDxfId="254"/>
    <tableColumn id="7" name="Execution_Price" dataDxfId="253"/>
    <tableColumn id="8" name="Month_order" dataDxfId="252">
      <calculatedColumnFormula>VALUE(LEFT(tbl_transaction[[#This Row],[Order Date]],FIND("/",tbl_transaction[[#This Row],[Order Date]])-1))</calculatedColumnFormula>
    </tableColumn>
    <tableColumn id="9" name="Date_order" dataDxfId="251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250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249">
      <calculatedColumnFormula>VALUE(LEFT(tbl_transaction[[#This Row],[Transaction Date]],FIND("/",tbl_transaction[[#This Row],[Transaction Date]])-1))</calculatedColumnFormula>
    </tableColumn>
    <tableColumn id="12" name="Date_Transact" dataDxfId="248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247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246">
      <calculatedColumnFormula>DATE(tbl_transaction[[#This Row],[Year_order]]+2000, tbl_transaction[[#This Row],[Month_order]], tbl_transaction[[#This Row],[Date_order]])</calculatedColumnFormula>
    </tableColumn>
    <tableColumn id="15" name="Transaction_Date" dataDxfId="245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244" totalsRowDxfId="243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242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241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240" totalsRowDxfId="239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45" totalsRowCount="1">
  <autoFilter ref="A4:S44"/>
  <tableColumns count="19">
    <tableColumn id="1" name="Date" totalsRowLabel="Total" dataDxfId="124"/>
    <tableColumn id="2" name="Open" dataDxfId="123"/>
    <tableColumn id="3" name="High" dataDxfId="122"/>
    <tableColumn id="4" name="Low" dataDxfId="121"/>
    <tableColumn id="5" name="Close" dataDxfId="120"/>
    <tableColumn id="6" name="Adj Close" dataDxfId="119"/>
    <tableColumn id="7" name="Volume"/>
    <tableColumn id="8" name="EMA" dataDxfId="118">
      <calculatedColumnFormula>IF(tbl_IBM[[#This Row],[Date]]=$A$5, $F5, EMA_Beta*$H4 + (1-EMA_Beta)*$F5)</calculatedColumnFormula>
    </tableColumn>
    <tableColumn id="9" name="RSI" dataDxfId="117">
      <calculatedColumnFormula>IF(tbl_IBM[[#This Row],[RS]]= "", "", 100-(100/(1+tbl_IBM[[#This Row],[RS]])))</calculatedColumnFormula>
    </tableColumn>
    <tableColumn id="10" name="BB_Mean" dataDxfId="11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15">
      <calculatedColumnFormula>IF(tbl_IBM[[#This Row],[BB_Mean]]="", "", tbl_IBM[[#This Row],[BB_Mean]]+(BB_Width*tbl_IBM[[#This Row],[BB_Stdev]]))</calculatedColumnFormula>
    </tableColumn>
    <tableColumn id="12" name="BB_Lower" dataDxfId="114">
      <calculatedColumnFormula>IF(tbl_IBM[[#This Row],[BB_Mean]]="", "", tbl_IBM[[#This Row],[BB_Mean]]-(BB_Width*tbl_IBM[[#This Row],[BB_Stdev]]))</calculatedColumnFormula>
    </tableColumn>
    <tableColumn id="13" name="Move" dataDxfId="113">
      <calculatedColumnFormula>IF(ROW(tbl_IBM[[#This Row],[Adj Close]])=5, 0, $F5-$F4)</calculatedColumnFormula>
    </tableColumn>
    <tableColumn id="14" name="Upmove" dataDxfId="112">
      <calculatedColumnFormula>MAX(tbl_IBM[[#This Row],[Move]],0)</calculatedColumnFormula>
    </tableColumn>
    <tableColumn id="15" name="Downmove" dataDxfId="111">
      <calculatedColumnFormula>MAX(-tbl_IBM[[#This Row],[Move]],0)</calculatedColumnFormula>
    </tableColumn>
    <tableColumn id="16" name="Avg_Upmove" dataDxfId="1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0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08">
      <calculatedColumnFormula>IF(tbl_IBM[[#This Row],[Avg_Upmove]]="", "", tbl_IBM[[#This Row],[Avg_Upmove]]/tbl_IBM[[#This Row],[Avg_Downmove]])</calculatedColumnFormula>
    </tableColumn>
    <tableColumn id="19" name="BB_Stdev" totalsRowFunction="count" dataDxfId="10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45" totalsRowCount="1">
  <autoFilter ref="A4:S44"/>
  <tableColumns count="19">
    <tableColumn id="1" name="Date" totalsRowLabel="Total" dataDxfId="106"/>
    <tableColumn id="2" name="Open" totalsRowDxfId="105" dataCellStyle="Currency"/>
    <tableColumn id="3" name="High" totalsRowDxfId="104" dataCellStyle="Currency"/>
    <tableColumn id="4" name="Low" totalsRowDxfId="103" dataCellStyle="Currency"/>
    <tableColumn id="5" name="Close" totalsRowDxfId="102" dataCellStyle="Currency"/>
    <tableColumn id="6" name="Adj Close" totalsRowDxfId="101" dataCellStyle="Currency"/>
    <tableColumn id="7" name="Volume"/>
    <tableColumn id="8" name="EMA" dataDxfId="100" totalsRowDxfId="99" dataCellStyle="Currency">
      <calculatedColumnFormula>IF(tbl_ORCL[[#This Row],[Date]]=$A$5, $F5, EMA_Beta*$H4 + (1-EMA_Beta)*$F5)</calculatedColumnFormula>
    </tableColumn>
    <tableColumn id="9" name="RSI" dataDxfId="98" totalsRowDxfId="97" dataCellStyle="Currency">
      <calculatedColumnFormula>IF(tbl_ORCL[[#This Row],[RS]]= "", "", 100-(100/(1+tbl_ORCL[[#This Row],[RS]])))</calculatedColumnFormula>
    </tableColumn>
    <tableColumn id="10" name="BB_Mean" dataDxfId="96" totalsRowDxfId="9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94" totalsRowDxfId="93" dataCellStyle="Currency">
      <calculatedColumnFormula>IF(tbl_ORCL[[#This Row],[BB_Mean]]="", "", tbl_ORCL[[#This Row],[BB_Mean]]+(BB_Width*tbl_ORCL[[#This Row],[BB_Stdev]]))</calculatedColumnFormula>
    </tableColumn>
    <tableColumn id="12" name="BB_Lower" dataDxfId="92" totalsRowDxfId="91" dataCellStyle="Currency">
      <calculatedColumnFormula>IF(tbl_ORCL[[#This Row],[BB_Mean]]="", "", tbl_ORCL[[#This Row],[BB_Mean]]-(BB_Width*tbl_ORCL[[#This Row],[BB_Stdev]]))</calculatedColumnFormula>
    </tableColumn>
    <tableColumn id="13" name="Move" dataDxfId="90" totalsRowDxfId="89" dataCellStyle="Currency">
      <calculatedColumnFormula>IF(ROW(tbl_ORCL[[#This Row],[Adj Close]])=5, 0, $F5-$F4)</calculatedColumnFormula>
    </tableColumn>
    <tableColumn id="14" name="Upmove" dataDxfId="88" totalsRowDxfId="87" dataCellStyle="Currency">
      <calculatedColumnFormula>MAX(tbl_ORCL[[#This Row],[Move]],0)</calculatedColumnFormula>
    </tableColumn>
    <tableColumn id="15" name="Downmove" dataDxfId="86" totalsRowDxfId="85" dataCellStyle="Currency">
      <calculatedColumnFormula>MAX(-tbl_ORCL[[#This Row],[Move]],0)</calculatedColumnFormula>
    </tableColumn>
    <tableColumn id="16" name="Avg_Upmove" dataDxfId="84" totalsRowDxfId="83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2" totalsRowDxfId="81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0" totalsRowDxfId="79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78" totalsRowDxfId="7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45" totalsRowCount="1">
  <autoFilter ref="A4:S44"/>
  <tableColumns count="19">
    <tableColumn id="1" name="Date" totalsRowLabel="Total" dataDxfId="76"/>
    <tableColumn id="2" name="Open" totalsRowDxfId="75" dataCellStyle="Currency"/>
    <tableColumn id="3" name="High" totalsRowDxfId="74" dataCellStyle="Currency"/>
    <tableColumn id="4" name="Low" totalsRowDxfId="73" dataCellStyle="Currency"/>
    <tableColumn id="5" name="Close" totalsRowDxfId="72" dataCellStyle="Currency"/>
    <tableColumn id="6" name="Adj Close" totalsRowDxfId="71" dataCellStyle="Currency"/>
    <tableColumn id="7" name="Volume"/>
    <tableColumn id="8" name="EMA" totalsRowDxfId="70" dataCellStyle="Currency">
      <calculatedColumnFormula>IF(tbl_AKRO[[#This Row],[Date]]=$A$5, $F5, EMA_Beta*$H4 + (1-EMA_Beta)*$F5)</calculatedColumnFormula>
    </tableColumn>
    <tableColumn id="9" name="RSI" dataDxfId="69">
      <calculatedColumnFormula>IF(tbl_AKRO[[#This Row],[RS]]= "", "", 100-(100/(1+tbl_AKRO[[#This Row],[RS]])))</calculatedColumnFormula>
    </tableColumn>
    <tableColumn id="10" name="BB_Mean" totalsRowDxfId="6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67" totalsRowDxfId="66" dataCellStyle="Currency">
      <calculatedColumnFormula>IF(tbl_AKRO[[#This Row],[BB_Mean]]="", "", tbl_AKRO[[#This Row],[BB_Mean]]+(BB_Width*tbl_AKRO[[#This Row],[BB_Stdev]]))</calculatedColumnFormula>
    </tableColumn>
    <tableColumn id="12" name="BB_Lower" dataDxfId="65" totalsRowDxfId="64" dataCellStyle="Currency">
      <calculatedColumnFormula>IF(tbl_AKRO[[#This Row],[BB_Mean]]="", "", tbl_AKRO[[#This Row],[BB_Mean]]-(BB_Width*tbl_AKRO[[#This Row],[BB_Stdev]]))</calculatedColumnFormula>
    </tableColumn>
    <tableColumn id="13" name="Move" dataDxfId="63">
      <calculatedColumnFormula>IF(ROW(tbl_AKRO[[#This Row],[Adj Close]])=5, 0, $F5-$F4)</calculatedColumnFormula>
    </tableColumn>
    <tableColumn id="14" name="Upmove" dataDxfId="62">
      <calculatedColumnFormula>MAX(tbl_AKRO[[#This Row],[Move]],0)</calculatedColumnFormula>
    </tableColumn>
    <tableColumn id="15" name="Downmove" dataDxfId="61">
      <calculatedColumnFormula>MAX(-tbl_AKRO[[#This Row],[Move]],0)</calculatedColumnFormula>
    </tableColumn>
    <tableColumn id="16" name="Avg_Upmove" dataDxfId="6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5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58">
      <calculatedColumnFormula>IF(tbl_AKRO[[#This Row],[Avg_Upmove]]="", "", tbl_AKRO[[#This Row],[Avg_Upmove]]/tbl_AKRO[[#This Row],[Avg_Downmove]])</calculatedColumnFormula>
    </tableColumn>
    <tableColumn id="19" name="BB_Stdev" totalsRowFunction="count" totalsRowDxfId="5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45" totalsRowCount="1">
  <autoFilter ref="A4:S44"/>
  <tableColumns count="19">
    <tableColumn id="1" name="Date" totalsRowLabel="Total" dataDxfId="56"/>
    <tableColumn id="2" name="Open" totalsRowDxfId="55" dataCellStyle="Currency"/>
    <tableColumn id="3" name="High" totalsRowDxfId="54" dataCellStyle="Currency"/>
    <tableColumn id="4" name="Low" totalsRowDxfId="53" dataCellStyle="Currency"/>
    <tableColumn id="5" name="Close" totalsRowDxfId="52" dataCellStyle="Currency"/>
    <tableColumn id="6" name="Adj Close" totalsRowDxfId="51" dataCellStyle="Currency"/>
    <tableColumn id="7" name="Volume"/>
    <tableColumn id="8" name="EMA" totalsRowDxfId="50" dataCellStyle="Currency">
      <calculatedColumnFormula>IF(tbl_FDX[[#This Row],[Date]]=$A$5, $F5, EMA_Beta*$H4 + (1-EMA_Beta)*$F5)</calculatedColumnFormula>
    </tableColumn>
    <tableColumn id="9" name="RSI" dataDxfId="49">
      <calculatedColumnFormula>IF(tbl_FDX[[#This Row],[RS]]= "", "", 100-(100/(1+tbl_FDX[[#This Row],[RS]])))</calculatedColumnFormula>
    </tableColumn>
    <tableColumn id="10" name="BB_Mean" totalsRowDxfId="4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47" dataCellStyle="Currency">
      <calculatedColumnFormula>IF(tbl_FDX[[#This Row],[BB_Mean]]="", "", tbl_FDX[[#This Row],[BB_Mean]]+(BB_Width*tbl_FDX[[#This Row],[BB_Stdev]]))</calculatedColumnFormula>
    </tableColumn>
    <tableColumn id="12" name="BB_Lower" dataDxfId="46" totalsRowDxfId="45" dataCellStyle="Currency">
      <calculatedColumnFormula>IF(tbl_FDX[[#This Row],[BB_Mean]]="", "", tbl_FDX[[#This Row],[BB_Mean]]-(BB_Width*tbl_FDX[[#This Row],[BB_Stdev]]))</calculatedColumnFormula>
    </tableColumn>
    <tableColumn id="13" name="Move" dataDxfId="44">
      <calculatedColumnFormula>IF(ROW(tbl_FDX[[#This Row],[Adj Close]])=5, 0, $F5-$F4)</calculatedColumnFormula>
    </tableColumn>
    <tableColumn id="14" name="Upmove" dataDxfId="43">
      <calculatedColumnFormula>MAX(tbl_FDX[[#This Row],[Move]],0)</calculatedColumnFormula>
    </tableColumn>
    <tableColumn id="15" name="Downmove" dataDxfId="42">
      <calculatedColumnFormula>MAX(-tbl_FDX[[#This Row],[Move]],0)</calculatedColumnFormula>
    </tableColumn>
    <tableColumn id="16" name="Avg_Upmove" dataDxfId="4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9">
      <calculatedColumnFormula>IF(tbl_FDX[[#This Row],[Avg_Upmove]]="", "", tbl_FDX[[#This Row],[Avg_Upmove]]/tbl_FDX[[#This Row],[Avg_Downmove]])</calculatedColumnFormula>
    </tableColumn>
    <tableColumn id="19" name="BB_Stdev" totalsRowFunction="count" totalsRowDxfId="3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45" totalsRowCount="1">
  <autoFilter ref="A4:S44"/>
  <tableColumns count="19">
    <tableColumn id="1" name="Date" totalsRowLabel="Total" dataDxfId="37"/>
    <tableColumn id="2" name="Open"/>
    <tableColumn id="3" name="High"/>
    <tableColumn id="4" name="Low"/>
    <tableColumn id="5" name="Close"/>
    <tableColumn id="6" name="Adj Close"/>
    <tableColumn id="7" name="Volume"/>
    <tableColumn id="8" name="EMA" totalsRowDxfId="36" dataCellStyle="Currency">
      <calculatedColumnFormula>IF(tbl_NKLA[[#This Row],[Date]]=$A$5, $F5, EMA_Beta*$H4 + (1-EMA_Beta)*$F5)</calculatedColumnFormula>
    </tableColumn>
    <tableColumn id="9" name="RSI" dataDxfId="35">
      <calculatedColumnFormula>IF(tbl_NKLA[[#This Row],[RS]]= "", "", 100-(100/(1+tbl_NKLA[[#This Row],[RS]])))</calculatedColumnFormula>
    </tableColumn>
    <tableColumn id="10" name="BB_Mean" totalsRowDxfId="3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33" dataCellStyle="Currency">
      <calculatedColumnFormula>IF(tbl_NKLA[[#This Row],[BB_Mean]]="", "", tbl_NKLA[[#This Row],[BB_Mean]]+(BB_Width*tbl_NKLA[[#This Row],[BB_Stdev]]))</calculatedColumnFormula>
    </tableColumn>
    <tableColumn id="12" name="BB_Lower" totalsRowDxfId="32" dataCellStyle="Currency">
      <calculatedColumnFormula>IF(tbl_NKLA[[#This Row],[BB_Mean]]="", "", tbl_NKLA[[#This Row],[BB_Mean]]-(BB_Width*tbl_NKLA[[#This Row],[BB_Stdev]]))</calculatedColumnFormula>
    </tableColumn>
    <tableColumn id="13" name="Move" dataDxfId="31">
      <calculatedColumnFormula>IF(ROW(tbl_NKLA[[#This Row],[Adj Close]])=5, 0, $F5-$F4)</calculatedColumnFormula>
    </tableColumn>
    <tableColumn id="14" name="Upmove" dataDxfId="30">
      <calculatedColumnFormula>MAX(tbl_NKLA[[#This Row],[Move]],0)</calculatedColumnFormula>
    </tableColumn>
    <tableColumn id="15" name="Downmove" dataDxfId="29">
      <calculatedColumnFormula>MAX(-tbl_NKLA[[#This Row],[Move]],0)</calculatedColumnFormula>
    </tableColumn>
    <tableColumn id="16" name="Avg_Upmove" dataDxfId="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6">
      <calculatedColumnFormula>IF(tbl_NKLA[[#This Row],[Avg_Upmove]]="", "", tbl_NKLA[[#This Row],[Avg_Upmove]]/tbl_NKLA[[#This Row],[Avg_Downmove]])</calculatedColumnFormula>
    </tableColumn>
    <tableColumn id="19" name="BB_Stdev" totalsRowFunction="count" totalsRowDxfId="2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45" totalsRowCount="1">
  <autoFilter ref="A4:S44"/>
  <tableColumns count="19">
    <tableColumn id="1" name="Date" totalsRowLabel="Total" dataDxfId="24"/>
    <tableColumn id="2" name="Open" totalsRowDxfId="23" dataCellStyle="Currency"/>
    <tableColumn id="3" name="High" totalsRowDxfId="22" dataCellStyle="Currency"/>
    <tableColumn id="4" name="Low" totalsRowDxfId="21" dataCellStyle="Currency"/>
    <tableColumn id="5" name="Close" totalsRowDxfId="20" dataCellStyle="Currency"/>
    <tableColumn id="6" name="Adj Close" totalsRowDxfId="19" dataCellStyle="Currency"/>
    <tableColumn id="7" name="Volume"/>
    <tableColumn id="8" name="EMA" totalsRowDxfId="18" dataCellStyle="Currency">
      <calculatedColumnFormula>IF(tbl_SPXS[[#This Row],[Date]]=$A$5, $F5, EMA_Beta*$H4 + (1-EMA_Beta)*$F5)</calculatedColumnFormula>
    </tableColumn>
    <tableColumn id="9" name="RSI" dataDxfId="17">
      <calculatedColumnFormula>IF(tbl_SPXS[[#This Row],[RS]]= "", "", 100-(100/(1+tbl_SPXS[[#This Row],[RS]])))</calculatedColumnFormula>
    </tableColumn>
    <tableColumn id="10" name="BB_Mean" totalsRowDxfId="1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5" dataCellStyle="Currency">
      <calculatedColumnFormula>IF(tbl_SPXS[[#This Row],[BB_Mean]]="", "", tbl_SPXS[[#This Row],[BB_Mean]]+(BB_Width*tbl_SPXS[[#This Row],[BB_Stdev]]))</calculatedColumnFormula>
    </tableColumn>
    <tableColumn id="12" name="BB_Lower" totalsRowDxfId="14" dataCellStyle="Currency">
      <calculatedColumnFormula>IF(tbl_SPXS[[#This Row],[BB_Mean]]="", "", tbl_SPXS[[#This Row],[BB_Mean]]-(BB_Width*tbl_SPXS[[#This Row],[BB_Stdev]]))</calculatedColumnFormula>
    </tableColumn>
    <tableColumn id="13" name="Move" dataDxfId="13">
      <calculatedColumnFormula>IF(ROW(tbl_SPXS[[#This Row],[Adj Close]])=5, 0, $F5-$F4)</calculatedColumnFormula>
    </tableColumn>
    <tableColumn id="14" name="Upmove" dataDxfId="12">
      <calculatedColumnFormula>MAX(tbl_SPXS[[#This Row],[Move]],0)</calculatedColumnFormula>
    </tableColumn>
    <tableColumn id="15" name="Downmove" dataDxfId="11">
      <calculatedColumnFormula>MAX(-tbl_SPXS[[#This Row],[Move]],0)</calculatedColumnFormula>
    </tableColumn>
    <tableColumn id="16" name="Avg_Upmove" dataDxfId="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">
      <calculatedColumnFormula>IF(tbl_SPXS[[#This Row],[Avg_Upmove]]="", "", tbl_SPXS[[#This Row],[Avg_Upmove]]/tbl_SPXS[[#This Row],[Avg_Downmove]])</calculatedColumnFormula>
    </tableColumn>
    <tableColumn id="19" name="BB_Stdev" totalsRowFunction="count" totalsRowDxfId="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bl_holdings" displayName="tbl_holdings" ref="B4:F15" totalsRowCount="1">
  <autoFilter ref="B4:F14"/>
  <tableColumns count="5">
    <tableColumn id="1" name="Index" totalsRowLabel="Total"/>
    <tableColumn id="2" name="Stock">
      <calculatedColumnFormula>INDEX(Symbol,B5)</calculatedColumnFormula>
    </tableColumn>
    <tableColumn id="3" name="Current Price">
      <calculatedColumnFormula>INDEX(INDIRECT("tbl_"&amp;C5),COUNT(INDIRECT("tbl_"&amp;C5&amp;"[Date]")), MATCH("Adj close", Price_Header,0))</calculatedColumnFormula>
    </tableColumn>
    <tableColumn id="4" name="# Holdings">
      <calculatedColumnFormula>INDEX(tbl_position[], COUNT(tbl_position[Date]), MATCH("Shares_"&amp;C5, pos_header,0))</calculatedColumnFormula>
    </tableColumn>
    <tableColumn id="5" name="Total" totalsRowFunction="sum" dataDxfId="6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bl_transsummary" displayName="tbl_transsummary" ref="J4:P10" totalsRowShown="0">
  <autoFilter ref="J4:P10"/>
  <tableColumns count="7">
    <tableColumn id="1" name="Index"/>
    <tableColumn id="2" name="Start" dataDxfId="5">
      <calculatedColumnFormula>K4+7</calculatedColumnFormula>
    </tableColumn>
    <tableColumn id="3" name="End" dataDxfId="4">
      <calculatedColumnFormula>L4+7</calculatedColumnFormula>
    </tableColumn>
    <tableColumn id="4" name="BUY" dataDxfId="3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2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1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0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3" totalsRowShown="0" headerRowDxfId="238">
  <autoFilter ref="A3:A13"/>
  <tableColumns count="1">
    <tableColumn id="1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237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236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Y23" totalsRowCount="1">
  <autoFilter ref="A4:Y22"/>
  <tableColumns count="25">
    <tableColumn id="1" name="Date" totalsRowLabel="Total" dataDxfId="235"/>
    <tableColumn id="2" name="Price_AAPL" totalsRowFunction="count" dataCellStyle="Currency">
      <calculatedColumnFormula>VLOOKUP(tbl_position[[#This Row],[Date]], tbl_AAPL[], 5, 0)</calculatedColumnFormula>
    </tableColumn>
    <tableColumn id="3" name="Price_RIOT" dataDxfId="234" dataCellStyle="Currency">
      <calculatedColumnFormula>VLOOKUP(tbl_position[[#This Row],[Date]], tbl_RIOT[], 5, 0)</calculatedColumnFormula>
    </tableColumn>
    <tableColumn id="4" name="Price_HD" totalsRowDxfId="233" dataCellStyle="Currency">
      <calculatedColumnFormula>VLOOKUP(tbl_position[[#This Row],[Date]], tbl_HD[], 5, 0)</calculatedColumnFormula>
    </tableColumn>
    <tableColumn id="5" name="Price_WMT" dataDxfId="232" dataCellStyle="Currency">
      <calculatedColumnFormula>VLOOKUP(tbl_position[[#This Row],[Date]], tbl_WMT[], 5, 0)</calculatedColumnFormula>
    </tableColumn>
    <tableColumn id="6" name="Price_IBM" dataDxfId="231" dataCellStyle="Currency">
      <calculatedColumnFormula>VLOOKUP(tbl_position[[#This Row],[Date]], tbl_IBM[], 5, 0)</calculatedColumnFormula>
    </tableColumn>
    <tableColumn id="7" name="Price_ORCL" dataDxfId="230" dataCellStyle="Currency">
      <calculatedColumnFormula>VLOOKUP(tbl_position[[#This Row],[Date]], tbl_ORCL[], 5, 0)</calculatedColumnFormula>
    </tableColumn>
    <tableColumn id="20" name="Price_AKRO" dataDxfId="229" dataCellStyle="Currency">
      <calculatedColumnFormula>VLOOKUP(tbl_position[[#This Row],[Date]], tbl_AKRO[], 5, 0)</calculatedColumnFormula>
    </tableColumn>
    <tableColumn id="19" name="Price_FDX" dataDxfId="228" dataCellStyle="Currency">
      <calculatedColumnFormula>VLOOKUP(tbl_position[[#This Row],[Date]], tbl_FDX[], 5, 0)</calculatedColumnFormula>
    </tableColumn>
    <tableColumn id="21" name="Price_NKLA" dataDxfId="227" dataCellStyle="Currency">
      <calculatedColumnFormula>VLOOKUP(tbl_position[[#This Row],[Date]], tbl_NKLA[], 5, 0)</calculatedColumnFormula>
    </tableColumn>
    <tableColumn id="22" name="Price_SPXS" dataDxfId="226" dataCellStyle="Currency">
      <calculatedColumnFormula>VLOOKUP(tbl_position[[#This Row],[Date]], tbl_SPXS[], 5, 0)</calculatedColumnFormula>
    </tableColumn>
    <tableColumn id="8" name="Shares_AAPL" dataDxfId="225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name="Shares_RIOT" dataDxfId="224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name="Shares_HD" dataDxfId="223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name="Shares_WMT" dataDxfId="222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name="Shares_IBM" dataDxfId="221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name="Shares_ORCL" dataDxfId="220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name="Shares_AKRO" dataDxfId="219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name="Shares_FDX" dataDxfId="218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name="Shares_NKLA" dataDxfId="217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name="Shares_SPXS" dataDxfId="216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name="Cash_Holding" dataDxfId="215" totalsRowDxfId="214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name="Liabilities_Holding" dataDxfId="213">
      <calculatedColumnFormula>SUMIFS(tbl_transaction[Net_Debt_Change], tbl_transaction[Transaction_Date],tbl_position[[#This Row],[Date]])+IF(tbl_position[[#This Row],[Date]]=$A$5, 0, $X4)</calculatedColumnFormula>
    </tableColumn>
    <tableColumn id="18" name="Total_Net_Asset" dataDxfId="212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45" totalsRowCount="1">
  <autoFilter ref="A4:S44"/>
  <tableColumns count="19">
    <tableColumn id="1" name="Date" totalsRowLabel="Total" dataDxfId="211"/>
    <tableColumn id="2" name="Open" dataDxfId="210"/>
    <tableColumn id="3" name="High" dataDxfId="209"/>
    <tableColumn id="4" name="Low" dataDxfId="208"/>
    <tableColumn id="5" name="Close" dataDxfId="207"/>
    <tableColumn id="6" name="Adj Close" dataDxfId="206"/>
    <tableColumn id="7" name="Volume"/>
    <tableColumn id="8" name="EMA" totalsRowDxfId="205" dataCellStyle="Currency">
      <calculatedColumnFormula>IF(tbl_HD[[#This Row],[Date]]=$A$5, $F5, EMA_Beta*$H4 + (1-EMA_Beta)*$F5)</calculatedColumnFormula>
    </tableColumn>
    <tableColumn id="9" name="RSI" dataDxfId="204">
      <calculatedColumnFormula>IF(tbl_HD[[#This Row],[RS]]= "", "", 100-(100/(1+tbl_HD[[#This Row],[RS]])))</calculatedColumnFormula>
    </tableColumn>
    <tableColumn id="10" name="BB_Mean" totalsRowDxfId="20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02" totalsRowDxfId="201" dataCellStyle="Currency">
      <calculatedColumnFormula>IF(tbl_HD[[#This Row],[BB_Mean]]="", "", tbl_HD[[#This Row],[BB_Mean]]+(BB_Width*tbl_HD[[#This Row],[BB_Stdev]]))</calculatedColumnFormula>
    </tableColumn>
    <tableColumn id="12" name="BB_Lower" dataDxfId="200" totalsRowDxfId="199" dataCellStyle="Currency">
      <calculatedColumnFormula>IF(tbl_HD[[#This Row],[BB_Mean]]="", "", tbl_HD[[#This Row],[BB_Mean]]-(BB_Width*tbl_HD[[#This Row],[BB_Stdev]]))</calculatedColumnFormula>
    </tableColumn>
    <tableColumn id="13" name="Move" dataDxfId="198">
      <calculatedColumnFormula>IF(ROW(tbl_HD[[#This Row],[Adj Close]])=5, 0, $F5-$F4)</calculatedColumnFormula>
    </tableColumn>
    <tableColumn id="14" name="Upmove" dataDxfId="197">
      <calculatedColumnFormula>MAX(tbl_HD[[#This Row],[Move]],0)</calculatedColumnFormula>
    </tableColumn>
    <tableColumn id="15" name="Downmove" dataDxfId="196">
      <calculatedColumnFormula>MAX(-tbl_HD[[#This Row],[Move]],0)</calculatedColumnFormula>
    </tableColumn>
    <tableColumn id="16" name="Avg_Upmove" dataDxfId="19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9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93">
      <calculatedColumnFormula>IF(tbl_HD[[#This Row],[Avg_Upmove]]="", "", tbl_HD[[#This Row],[Avg_Upmove]]/tbl_HD[[#This Row],[Avg_Downmove]])</calculatedColumnFormula>
    </tableColumn>
    <tableColumn id="19" name="BB_Stdev" totalsRowFunction="count" totalsRowDxfId="19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45" totalsRowCount="1">
  <autoFilter ref="A4:S44"/>
  <tableColumns count="19">
    <tableColumn id="1" name="Date" totalsRowLabel="Total" dataDxfId="191"/>
    <tableColumn id="2" name="Open" totalsRowDxfId="190" dataCellStyle="Currency"/>
    <tableColumn id="3" name="High" totalsRowDxfId="189" dataCellStyle="Currency"/>
    <tableColumn id="4" name="Low" totalsRowDxfId="188" dataCellStyle="Currency"/>
    <tableColumn id="5" name="Close" totalsRowDxfId="187" dataCellStyle="Currency"/>
    <tableColumn id="6" name="Adj Close" totalsRowDxfId="186" dataCellStyle="Currency"/>
    <tableColumn id="7" name="Volume"/>
    <tableColumn id="8" name="EMA" dataDxfId="185" totalsRowDxfId="184" dataCellStyle="Currency">
      <calculatedColumnFormula>IF(tbl_AAPL[[#This Row],[Date]]=$A$5, $F5, EMA_Beta*$H4 + (1-EMA_Beta)*$F5)</calculatedColumnFormula>
    </tableColumn>
    <tableColumn id="9" name="RSI" dataDxfId="183" totalsRowDxfId="182" dataCellStyle="Currency">
      <calculatedColumnFormula>IF(tbl_AAPL[[#This Row],[RS]]= "", "", 100-(100/(1+tbl_AAPL[[#This Row],[RS]])))</calculatedColumnFormula>
    </tableColumn>
    <tableColumn id="10" name="BB_Mean" dataDxfId="181" totalsRowDxfId="18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79" totalsRowDxfId="178" dataCellStyle="Currency">
      <calculatedColumnFormula>IF(tbl_AAPL[[#This Row],[BB_Mean]]="", "", tbl_AAPL[[#This Row],[BB_Mean]]+(BB_Width*tbl_AAPL[[#This Row],[BB_Stdev]]))</calculatedColumnFormula>
    </tableColumn>
    <tableColumn id="12" name="BB_Lower" dataDxfId="177" totalsRowDxfId="176" dataCellStyle="Currency">
      <calculatedColumnFormula>IF(tbl_AAPL[[#This Row],[BB_Mean]]="", "", tbl_AAPL[[#This Row],[BB_Mean]]-(BB_Width*tbl_AAPL[[#This Row],[BB_Stdev]]))</calculatedColumnFormula>
    </tableColumn>
    <tableColumn id="13" name="Move" dataDxfId="175" totalsRowDxfId="174" dataCellStyle="Currency">
      <calculatedColumnFormula>IF(ROW(tbl_AAPL[[#This Row],[Adj Close]])=5, 0, $F5-$F4)</calculatedColumnFormula>
    </tableColumn>
    <tableColumn id="14" name="Upmove" dataDxfId="173" totalsRowDxfId="172" dataCellStyle="Currency">
      <calculatedColumnFormula>MAX(tbl_AAPL[[#This Row],[Move]],0)</calculatedColumnFormula>
    </tableColumn>
    <tableColumn id="15" name="Downmove" dataDxfId="171" totalsRowDxfId="170" dataCellStyle="Currency">
      <calculatedColumnFormula>MAX(-tbl_AAPL[[#This Row],[Move]],0)</calculatedColumnFormula>
    </tableColumn>
    <tableColumn id="16" name="Avg_Upmove" dataDxfId="169" totalsRowDxfId="16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67" totalsRowDxfId="166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65" totalsRowDxfId="164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163" totalsRowDxfId="16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45" totalsRowCount="1">
  <autoFilter ref="A4:S44"/>
  <tableColumns count="19">
    <tableColumn id="1" name="Date" totalsRowLabel="Total" dataDxfId="161"/>
    <tableColumn id="2" name="Open" dataDxfId="160"/>
    <tableColumn id="3" name="High" dataDxfId="159"/>
    <tableColumn id="4" name="Low" dataDxfId="158"/>
    <tableColumn id="5" name="Close" dataDxfId="157"/>
    <tableColumn id="6" name="Adj Close" dataDxfId="156"/>
    <tableColumn id="7" name="Volume"/>
    <tableColumn id="8" name="EMA" dataDxfId="155">
      <calculatedColumnFormula>IF(tbl_WMT[[#This Row],[Date]]=$A$5, $F5, EMA_Beta*$H4 + (1-EMA_Beta)*$F5)</calculatedColumnFormula>
    </tableColumn>
    <tableColumn id="9" name="RSI" dataDxfId="154" totalsRowDxfId="153" dataCellStyle="Currency">
      <calculatedColumnFormula>IF(tbl_WMT[[#This Row],[RS]]= "", "", 100-(100/(1+tbl_WMT[[#This Row],[RS]])))</calculatedColumnFormula>
    </tableColumn>
    <tableColumn id="10" name="BB_Mean" dataDxfId="15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51">
      <calculatedColumnFormula>IF(tbl_WMT[[#This Row],[BB_Mean]]="", "", tbl_WMT[[#This Row],[BB_Mean]]+(BB_Width*tbl_WMT[[#This Row],[BB_Stdev]]))</calculatedColumnFormula>
    </tableColumn>
    <tableColumn id="12" name="BB_Lower" dataDxfId="150">
      <calculatedColumnFormula>IF(tbl_WMT[[#This Row],[BB_Mean]]="", "", tbl_WMT[[#This Row],[BB_Mean]]-(BB_Width*tbl_WMT[[#This Row],[BB_Stdev]]))</calculatedColumnFormula>
    </tableColumn>
    <tableColumn id="13" name="Move" dataDxfId="149">
      <calculatedColumnFormula>IF(ROW(tbl_WMT[[#This Row],[Adj Close]])=5, 0, $F5-$F4)</calculatedColumnFormula>
    </tableColumn>
    <tableColumn id="14" name="Upmove" dataDxfId="148">
      <calculatedColumnFormula>MAX(tbl_WMT[[#This Row],[Move]],0)</calculatedColumnFormula>
    </tableColumn>
    <tableColumn id="15" name="Downmove" dataDxfId="147">
      <calculatedColumnFormula>MAX(-tbl_WMT[[#This Row],[Move]],0)</calculatedColumnFormula>
    </tableColumn>
    <tableColumn id="16" name="Avg_Upmove" dataDxfId="14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4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44">
      <calculatedColumnFormula>IF(tbl_WMT[[#This Row],[Avg_Upmove]]="", "", tbl_WMT[[#This Row],[Avg_Upmove]]/tbl_WMT[[#This Row],[Avg_Downmove]])</calculatedColumnFormula>
    </tableColumn>
    <tableColumn id="19" name="BB_Stdev" totalsRowFunction="count" dataDxfId="14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45" totalsRowCount="1">
  <autoFilter ref="A4:S44"/>
  <tableColumns count="19">
    <tableColumn id="1" name="Date" totalsRowLabel="Total" dataDxfId="142"/>
    <tableColumn id="2" name="Open" dataDxfId="141"/>
    <tableColumn id="3" name="High" dataDxfId="140"/>
    <tableColumn id="4" name="Low" dataDxfId="139"/>
    <tableColumn id="5" name="Close" dataDxfId="138"/>
    <tableColumn id="6" name="Adj Close" dataDxfId="137"/>
    <tableColumn id="7" name="Volume"/>
    <tableColumn id="8" name="EMA" dataDxfId="136">
      <calculatedColumnFormula>IF(tbl_RIOT[[#This Row],[Date]]=$A$5, $F5, EMA_Beta*$H4 + (1-EMA_Beta)*$F5)</calculatedColumnFormula>
    </tableColumn>
    <tableColumn id="9" name="RSI" dataDxfId="135">
      <calculatedColumnFormula>IF(tbl_RIOT[[#This Row],[RS]]= "", "", 100-(100/(1+tbl_RIOT[[#This Row],[RS]])))</calculatedColumnFormula>
    </tableColumn>
    <tableColumn id="10" name="BB_Mean" dataDxfId="13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33">
      <calculatedColumnFormula>IF(tbl_RIOT[[#This Row],[BB_Mean]]="", "", tbl_RIOT[[#This Row],[BB_Mean]]+(BB_Width*tbl_RIOT[[#This Row],[BB_Stdev]]))</calculatedColumnFormula>
    </tableColumn>
    <tableColumn id="12" name="BB_Lower" dataDxfId="132">
      <calculatedColumnFormula>IF(tbl_RIOT[[#This Row],[BB_Mean]]="", "", tbl_RIOT[[#This Row],[BB_Mean]]-(BB_Width*tbl_RIOT[[#This Row],[BB_Stdev]]))</calculatedColumnFormula>
    </tableColumn>
    <tableColumn id="13" name="Move" dataDxfId="131">
      <calculatedColumnFormula>IF(ROW(tbl_RIOT[[#This Row],[Adj Close]])=5, 0, $F5-$F4)</calculatedColumnFormula>
    </tableColumn>
    <tableColumn id="14" name="Upmove" dataDxfId="130">
      <calculatedColumnFormula>MAX(tbl_RIOT[[#This Row],[Move]],0)</calculatedColumnFormula>
    </tableColumn>
    <tableColumn id="15" name="Downmove" dataDxfId="129">
      <calculatedColumnFormula>MAX(-tbl_RIOT[[#This Row],[Move]],0)</calculatedColumnFormula>
    </tableColumn>
    <tableColumn id="16" name="Avg_Upmove" dataDxfId="1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26">
      <calculatedColumnFormula>IF(tbl_RIOT[[#This Row],[Avg_Upmove]]="", "", tbl_RIOT[[#This Row],[Avg_Upmove]]/tbl_RIOT[[#This Row],[Avg_Downmove]])</calculatedColumnFormula>
    </tableColumn>
    <tableColumn id="19" name="BB_Stdev" totalsRowFunction="count" dataDxfId="12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workbookViewId="0">
      <selection activeCell="G36" sqref="G36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110" zoomScaleNormal="110" workbookViewId="0">
      <selection activeCell="G45" sqref="G4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2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2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2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2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2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2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2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2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2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2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2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25">
      <c r="A45" t="s">
        <v>162</v>
      </c>
      <c r="S45">
        <f ca="1">SUBTOTAL(103,tbl_IBM[BB_Stdev])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44" sqref="A44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2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2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2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2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2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2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2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2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2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2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2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2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SUBTOTAL(103,tbl_ORCL[BB_Stdev])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E45" sqref="E4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2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2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2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2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2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2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2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2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2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2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2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2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2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SUBTOTAL(103,tbl_AKRO[BB_Stdev])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C45" sqref="C4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2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2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2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2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2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2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2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2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2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2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2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2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2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SUBTOTAL(103,tbl_FDX[BB_Stdev])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45" sqref="A4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2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2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2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2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2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2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2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2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2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2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2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2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25">
      <c r="A45" t="s">
        <v>162</v>
      </c>
      <c r="H45" s="61"/>
      <c r="J45" s="61"/>
      <c r="K45" s="61"/>
      <c r="L45" s="61"/>
      <c r="S45" s="61">
        <f ca="1">SUBTOTAL(103,tbl_NKLA[BB_Stdev])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G9" sqref="G9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254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2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2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2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2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2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2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2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2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2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2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2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2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2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SUBTOTAL(103,tbl_SPXS[BB_Stdev])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zoomScale="95" zoomScaleNormal="55" workbookViewId="0">
      <selection activeCell="G3" sqref="G3"/>
    </sheetView>
  </sheetViews>
  <sheetFormatPr defaultColWidth="9.140625"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5.28515625" style="67" customWidth="1"/>
    <col min="7" max="7" width="17.42578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288</v>
      </c>
      <c r="C3" s="69"/>
      <c r="D3" s="68"/>
      <c r="E3" s="68"/>
      <c r="F3" s="72" t="s">
        <v>195</v>
      </c>
      <c r="G3" s="89">
        <f>DATE(2020, 10, 5)</f>
        <v>44109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12</v>
      </c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101486.7</v>
      </c>
      <c r="G5" s="70">
        <f ca="1">INDEX(tbl_position[], COUNT(tbl_position[Date]), MATCH("Total_Net_Asset", pos_header,0))-INDEX(tbl_position[], COUNT(tbl_position[Date])-1, MATCH("Total_Net_Asset", pos_header,0))</f>
        <v>372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49591.099999999991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NKLA</v>
      </c>
      <c r="D10" s="107">
        <f ca="1">LARGE(tbl_holdings[Total], 1)/tbl_holdings[[#Totals],[Total]]</f>
        <v>0.28349812605711988</v>
      </c>
      <c r="E10" s="75"/>
      <c r="F10" s="108" t="s">
        <v>190</v>
      </c>
      <c r="G10" s="109">
        <f>INDEX(tbl_transsummary[], _xlfn.FLOOR.MATH(($G$3-DATE(2020, 9, 9))/7)+1, 4)</f>
        <v>0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HD</v>
      </c>
      <c r="D11" s="94">
        <f ca="1">LARGE(tbl_holdings[Total], 2)/tbl_holdings[[#Totals],[Total]]</f>
        <v>0.21019454731053808</v>
      </c>
      <c r="E11" s="75"/>
      <c r="F11" s="112" t="s">
        <v>191</v>
      </c>
      <c r="G11" s="113">
        <f>INDEX(tbl_transsummary[], _xlfn.FLOOR.MATH(($G$3-DATE(2020, 9, 9))/7)+1, 5)</f>
        <v>0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FDX</v>
      </c>
      <c r="D12" s="95">
        <f ca="1">LARGE(tbl_holdings[Total], 3)/tbl_holdings[[#Totals],[Total]]</f>
        <v>0.19313905922851668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275</v>
      </c>
      <c r="C18" s="68"/>
      <c r="D18" s="68"/>
      <c r="E18" s="68"/>
      <c r="F18" s="68"/>
      <c r="G18" s="124" t="s">
        <v>240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44096</v>
      </c>
      <c r="C21" s="119">
        <f t="shared" ref="C21:C30" ca="1" si="1">INDEX(INDIRECT("tbl_"&amp;$G$18), COUNT(Date_List)-20+$I$18+A21, MATCH("Open", Price_Header,0))</f>
        <v>6.15</v>
      </c>
      <c r="D21" s="119">
        <f t="shared" ref="D21:D30" ca="1" si="2">INDEX(INDIRECT("tbl_"&amp;$G$18), COUNT(Date_List)-20+$I$18+A21, MATCH("High", Price_Header,0))</f>
        <v>6.31</v>
      </c>
      <c r="E21" s="119">
        <f t="shared" ref="E21:E30" ca="1" si="3">INDEX(INDIRECT("tbl_"&amp;$G$18), COUNT(Date_List)-20+$I$18+A21, MATCH("low", Price_Header,0))</f>
        <v>6.02</v>
      </c>
      <c r="F21" s="119">
        <f t="shared" ref="F21:F30" ca="1" si="4">INDEX(INDIRECT("tbl_"&amp;$G$18), COUNT(Date_List)-20+$I$18+A21, MATCH("Close", Price_Header,0))</f>
        <v>6.06</v>
      </c>
      <c r="G21" s="119">
        <f t="shared" ref="G21:G30" ca="1" si="5">INDEX(INDIRECT("tbl_"&amp;$G$18), COUNT(Date_List)-20+$I$18+A21, MATCH("adj close", Price_Header,0))</f>
        <v>6.06</v>
      </c>
      <c r="H21" s="121">
        <f t="shared" ref="H21:H30" ca="1" si="6">INDEX(INDIRECT("tbl_"&amp;$G$18), COUNT(Date_List)-20+$I$18+A21, MATCH("volume", Price_Header,0))/1000</f>
        <v>35781.300000000003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44097</v>
      </c>
      <c r="C22" s="119">
        <f t="shared" ca="1" si="1"/>
        <v>6.01</v>
      </c>
      <c r="D22" s="119">
        <f t="shared" ca="1" si="2"/>
        <v>6.5</v>
      </c>
      <c r="E22" s="119">
        <f t="shared" ca="1" si="3"/>
        <v>6</v>
      </c>
      <c r="F22" s="119">
        <f t="shared" ca="1" si="4"/>
        <v>6.48</v>
      </c>
      <c r="G22" s="119">
        <f t="shared" ca="1" si="5"/>
        <v>6.48</v>
      </c>
      <c r="H22" s="121">
        <f t="shared" ca="1" si="6"/>
        <v>40980.199999999997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44098</v>
      </c>
      <c r="C23" s="119">
        <f t="shared" ca="1" si="1"/>
        <v>6.57</v>
      </c>
      <c r="D23" s="119">
        <f t="shared" ca="1" si="2"/>
        <v>6.65</v>
      </c>
      <c r="E23" s="119">
        <f t="shared" ca="1" si="3"/>
        <v>6.22</v>
      </c>
      <c r="F23" s="119">
        <f t="shared" ca="1" si="4"/>
        <v>6.41</v>
      </c>
      <c r="G23" s="119">
        <f t="shared" ca="1" si="5"/>
        <v>6.41</v>
      </c>
      <c r="H23" s="121">
        <f t="shared" ca="1" si="6"/>
        <v>61530.7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44099</v>
      </c>
      <c r="C24" s="119">
        <f t="shared" ca="1" si="1"/>
        <v>6.48</v>
      </c>
      <c r="D24" s="119">
        <f t="shared" ca="1" si="2"/>
        <v>6.53</v>
      </c>
      <c r="E24" s="119">
        <f t="shared" ca="1" si="3"/>
        <v>6.06</v>
      </c>
      <c r="F24" s="119">
        <f t="shared" ca="1" si="4"/>
        <v>6.1</v>
      </c>
      <c r="G24" s="119">
        <f t="shared" ca="1" si="5"/>
        <v>6.1</v>
      </c>
      <c r="H24" s="121">
        <f t="shared" ca="1" si="6"/>
        <v>41909.9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44102</v>
      </c>
      <c r="C25" s="119">
        <f t="shared" ca="1" si="1"/>
        <v>5.85</v>
      </c>
      <c r="D25" s="119">
        <f t="shared" ca="1" si="2"/>
        <v>5.92</v>
      </c>
      <c r="E25" s="119">
        <f t="shared" ca="1" si="3"/>
        <v>5.76</v>
      </c>
      <c r="F25" s="119">
        <f t="shared" ca="1" si="4"/>
        <v>5.81</v>
      </c>
      <c r="G25" s="119">
        <f t="shared" ca="1" si="5"/>
        <v>5.81</v>
      </c>
      <c r="H25" s="121">
        <f t="shared" ca="1" si="6"/>
        <v>28157.7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44103</v>
      </c>
      <c r="C26" s="119">
        <f t="shared" ca="1" si="1"/>
        <v>5.81</v>
      </c>
      <c r="D26" s="119">
        <f t="shared" ca="1" si="2"/>
        <v>5.94</v>
      </c>
      <c r="E26" s="119">
        <f t="shared" ca="1" si="3"/>
        <v>5.78</v>
      </c>
      <c r="F26" s="119">
        <f t="shared" ca="1" si="4"/>
        <v>5.91</v>
      </c>
      <c r="G26" s="119">
        <f t="shared" ca="1" si="5"/>
        <v>5.91</v>
      </c>
      <c r="H26" s="121">
        <f t="shared" ca="1" si="6"/>
        <v>31636.1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44104</v>
      </c>
      <c r="C27" s="119">
        <f t="shared" ca="1" si="1"/>
        <v>5.87</v>
      </c>
      <c r="D27" s="119">
        <f t="shared" ca="1" si="2"/>
        <v>5.88</v>
      </c>
      <c r="E27" s="119">
        <f t="shared" ca="1" si="3"/>
        <v>5.59</v>
      </c>
      <c r="F27" s="119">
        <f t="shared" ca="1" si="4"/>
        <v>5.76</v>
      </c>
      <c r="G27" s="119">
        <f t="shared" ca="1" si="5"/>
        <v>5.76</v>
      </c>
      <c r="H27" s="121">
        <f t="shared" ca="1" si="6"/>
        <v>44462.2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44105</v>
      </c>
      <c r="C28" s="119">
        <f t="shared" ca="1" si="1"/>
        <v>5.62</v>
      </c>
      <c r="D28" s="119">
        <f t="shared" ca="1" si="2"/>
        <v>5.76</v>
      </c>
      <c r="E28" s="119">
        <f t="shared" ca="1" si="3"/>
        <v>5.57</v>
      </c>
      <c r="F28" s="119">
        <f t="shared" ca="1" si="4"/>
        <v>5.66</v>
      </c>
      <c r="G28" s="119">
        <f t="shared" ca="1" si="5"/>
        <v>5.66</v>
      </c>
      <c r="H28" s="121">
        <f t="shared" ca="1" si="6"/>
        <v>40085.1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44106</v>
      </c>
      <c r="C29" s="119">
        <f t="shared" ca="1" si="1"/>
        <v>5.92</v>
      </c>
      <c r="D29" s="119">
        <f t="shared" ca="1" si="2"/>
        <v>5.95</v>
      </c>
      <c r="E29" s="119">
        <f t="shared" ca="1" si="3"/>
        <v>5.71</v>
      </c>
      <c r="F29" s="119">
        <f t="shared" ca="1" si="4"/>
        <v>5.81</v>
      </c>
      <c r="G29" s="119">
        <f t="shared" ca="1" si="5"/>
        <v>5.81</v>
      </c>
      <c r="H29" s="121">
        <f t="shared" ca="1" si="6"/>
        <v>49876.800000000003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44109</v>
      </c>
      <c r="C30" s="120">
        <f t="shared" ca="1" si="1"/>
        <v>5.7</v>
      </c>
      <c r="D30" s="120">
        <f t="shared" ca="1" si="2"/>
        <v>5.7</v>
      </c>
      <c r="E30" s="120">
        <f t="shared" ca="1" si="3"/>
        <v>5.5</v>
      </c>
      <c r="F30" s="120">
        <f t="shared" ca="1" si="4"/>
        <v>5.51</v>
      </c>
      <c r="G30" s="120">
        <f t="shared" ca="1" si="5"/>
        <v>5.51</v>
      </c>
      <c r="H30" s="122">
        <f t="shared" ca="1" si="6"/>
        <v>22828.7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180975</xdr:colOff>
                    <xdr:row>13</xdr:row>
                    <xdr:rowOff>57150</xdr:rowOff>
                  </from>
                  <to>
                    <xdr:col>20</xdr:col>
                    <xdr:colOff>200025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topLeftCell="P1" workbookViewId="0">
      <selection activeCell="AE27" sqref="AE27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9.7109375" bestFit="1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5.710937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212</v>
      </c>
      <c r="J2" s="51" t="s">
        <v>213</v>
      </c>
      <c r="T2" t="s">
        <v>183</v>
      </c>
      <c r="U2" s="51" t="str">
        <f>Dashboard!G18</f>
        <v>SPXS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116.5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5825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44090</v>
      </c>
      <c r="U5" s="63">
        <f ca="1">INDEX(INDIRECT("tbl_"&amp;$U$2), COUNT(Date_List)-$W$2+$S5, MATCH("Adj Close", Price_Header,0))</f>
        <v>5.7</v>
      </c>
      <c r="V5" s="19">
        <f t="shared" ref="V5:V18" ca="1" si="1">INDEX(INDIRECT("tbl_"&amp;$U$2), COUNT(Date_List)-$W$2+$S5, MATCH("volume", Price_Header,0))/1000</f>
        <v>29453.3</v>
      </c>
      <c r="W5" s="63">
        <f t="shared" ref="W5:W18" ca="1" si="2">INDEX(INDIRECT("tbl_"&amp;$U$2), COUNT(Date_List)-$W$2+$S5, MATCH("EMA", Price_Header,0))</f>
        <v>5.6682520521811863</v>
      </c>
      <c r="X5" s="64">
        <f t="shared" ref="X5:X18" ca="1" si="3">INDEX(INDIRECT("tbl_"&amp;$U$2), COUNT(Date_List)-$W$2+$S5, MATCH("RSI", Price_Header,0))</f>
        <v>55.797101449275367</v>
      </c>
      <c r="Y5" s="63">
        <f t="shared" ref="Y5:Y18" ca="1" si="4">INDEX(INDIRECT("tbl_"&amp;$U$2), COUNT(Date_List)-$W$2+$S5, MATCH("BB_Mean", Price_Header,0))</f>
        <v>5.5407142857142873</v>
      </c>
      <c r="Z5" s="63">
        <f t="shared" ref="Z5:Z18" ca="1" si="5">INDEX(INDIRECT("tbl_"&amp;$U$2), COUNT(Date_List)-$W$2+$S5, MATCH("BB_upper", Price_Header,0))</f>
        <v>6.1939177190141477</v>
      </c>
      <c r="AA5" s="63">
        <f t="shared" ref="AA5:AA18" ca="1" si="6">INDEX(INDIRECT("tbl_"&amp;$U$2), COUNT(Date_List)-$W$2+$S5, MATCH("BB_lower", Price_Header,0))</f>
        <v>4.8875108524144268</v>
      </c>
      <c r="AB5" s="19" t="str">
        <f ca="1">TEXT(T5, "mm/dd")</f>
        <v>09/16</v>
      </c>
      <c r="AC5" s="19">
        <v>70</v>
      </c>
      <c r="AD5" s="20">
        <v>30</v>
      </c>
      <c r="AG5">
        <f>0+Dashboard!V3</f>
        <v>12</v>
      </c>
      <c r="AH5" s="8">
        <f>IF(AG5=0, DATE(2020, 9, 9),INDEX(tbl_position[], AG5, MATCH("DATE", pos_header, 0)))</f>
        <v>44099</v>
      </c>
      <c r="AI5" s="126">
        <f ca="1">IF(AG5=0, 100000, INDEX(tbl_position[Total_Net_Asset], AG5))</f>
        <v>96685.4</v>
      </c>
      <c r="AJ5" s="126">
        <f>IF(AG5=0, 100000, INDEX(tbl_position[Cash_Holding], AG5))</f>
        <v>43897.299999999996</v>
      </c>
      <c r="AK5" t="str">
        <f>TEXT(AH5, "mm/dd")</f>
        <v>09/25</v>
      </c>
    </row>
    <row r="6" spans="2:37" x14ac:dyDescent="0.2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29.89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2989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44091</v>
      </c>
      <c r="U6" s="53">
        <f t="shared" ref="U6:U18" ca="1" si="9">INDEX(INDIRECT("tbl_"&amp;$U$2), COUNT(Date_List)-$W$2+$S6, MATCH("Adj Close", Price_Header,0))</f>
        <v>5.85</v>
      </c>
      <c r="V6" s="21">
        <f t="shared" ca="1" si="1"/>
        <v>40284.264999999999</v>
      </c>
      <c r="W6" s="53">
        <f t="shared" ca="1" si="2"/>
        <v>5.6864268469630677</v>
      </c>
      <c r="X6" s="54">
        <f t="shared" ca="1" si="3"/>
        <v>58.477508650519027</v>
      </c>
      <c r="Y6" s="53">
        <f t="shared" ca="1" si="4"/>
        <v>5.5757142857142856</v>
      </c>
      <c r="Z6" s="53">
        <f t="shared" ca="1" si="5"/>
        <v>6.2396287512762418</v>
      </c>
      <c r="AA6" s="53">
        <f t="shared" ca="1" si="6"/>
        <v>4.9117998201523294</v>
      </c>
      <c r="AB6" s="21" t="str">
        <f t="shared" ref="AB6:AB18" ca="1" si="10">TEXT(T6, "mm/dd")</f>
        <v>09/17</v>
      </c>
      <c r="AC6" s="21">
        <v>70</v>
      </c>
      <c r="AD6" s="15">
        <v>30</v>
      </c>
      <c r="AG6" s="47">
        <f>1+Dashboard!V3</f>
        <v>13</v>
      </c>
      <c r="AH6" s="8">
        <f>IF(AG6=0, DATE(2020, 9, 9),INDEX(tbl_position[], AG6, MATCH("DATE", pos_header, 0)))</f>
        <v>44102</v>
      </c>
      <c r="AI6" s="126">
        <f ca="1">IF(AG6=0, 100000, INDEX(tbl_position[Total_Net_Asset], AG6))</f>
        <v>97238.7</v>
      </c>
      <c r="AJ6" s="126">
        <f>IF(AG6=0, 100000, INDEX(tbl_position[Cash_Holding], AG6))</f>
        <v>49591.099999999991</v>
      </c>
      <c r="AK6" t="str">
        <f>TEXT(AH6, "mm/dd")</f>
        <v>09/28</v>
      </c>
    </row>
    <row r="7" spans="2:37" x14ac:dyDescent="0.25">
      <c r="B7">
        <v>3</v>
      </c>
      <c r="C7" t="str">
        <f t="shared" si="0"/>
        <v>FDX</v>
      </c>
      <c r="D7">
        <f t="shared" ca="1" si="7"/>
        <v>259.20999999999998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12960.499999999998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44092</v>
      </c>
      <c r="U7" s="53">
        <f t="shared" ca="1" si="9"/>
        <v>6.05</v>
      </c>
      <c r="V7" s="21">
        <f t="shared" ca="1" si="1"/>
        <v>36545.800000000003</v>
      </c>
      <c r="W7" s="53">
        <f t="shared" ca="1" si="2"/>
        <v>5.7227841622667608</v>
      </c>
      <c r="X7" s="54">
        <f t="shared" ca="1" si="3"/>
        <v>63.851351351351354</v>
      </c>
      <c r="Y7" s="53">
        <f t="shared" ca="1" si="4"/>
        <v>5.6342857142857143</v>
      </c>
      <c r="Z7" s="53">
        <f t="shared" ca="1" si="5"/>
        <v>6.3113706100291918</v>
      </c>
      <c r="AA7" s="53">
        <f t="shared" ca="1" si="6"/>
        <v>4.9572008185422369</v>
      </c>
      <c r="AB7" s="21" t="str">
        <f t="shared" ca="1" si="10"/>
        <v>09/18</v>
      </c>
      <c r="AC7" s="21">
        <v>70</v>
      </c>
      <c r="AD7" s="15">
        <v>30</v>
      </c>
      <c r="AG7" s="47">
        <f>2+Dashboard!V3</f>
        <v>14</v>
      </c>
      <c r="AH7" s="8">
        <f>IF(AG7=0, DATE(2020, 9, 9),INDEX(tbl_position[], AG7, MATCH("DATE", pos_header, 0)))</f>
        <v>44103</v>
      </c>
      <c r="AI7" s="126">
        <f ca="1">IF(AG7=0, 100000, INDEX(tbl_position[Total_Net_Asset], AG7))</f>
        <v>95902.2</v>
      </c>
      <c r="AJ7" s="126">
        <f>IF(AG7=0, 100000, INDEX(tbl_position[Cash_Holding], AG7))</f>
        <v>49591.099999999991</v>
      </c>
      <c r="AK7" t="str">
        <f>TEXT(AH7, "mm/dd")</f>
        <v>09/29</v>
      </c>
    </row>
    <row r="8" spans="2:37" x14ac:dyDescent="0.25">
      <c r="B8">
        <v>4</v>
      </c>
      <c r="C8" t="str">
        <f t="shared" si="0"/>
        <v>HD</v>
      </c>
      <c r="D8">
        <f t="shared" ca="1" si="7"/>
        <v>282.10000000000002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14105.000000000002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44095</v>
      </c>
      <c r="U8" s="53">
        <f t="shared" ca="1" si="9"/>
        <v>6.26</v>
      </c>
      <c r="V8" s="21">
        <f t="shared" ca="1" si="1"/>
        <v>58472.5</v>
      </c>
      <c r="W8" s="53">
        <f t="shared" ca="1" si="2"/>
        <v>5.776505746040085</v>
      </c>
      <c r="X8" s="54">
        <f t="shared" ca="1" si="3"/>
        <v>65.48387096774195</v>
      </c>
      <c r="Y8" s="53">
        <f t="shared" ca="1" si="4"/>
        <v>5.7028571428571428</v>
      </c>
      <c r="Z8" s="53">
        <f t="shared" ca="1" si="5"/>
        <v>6.426923802407579</v>
      </c>
      <c r="AA8" s="53">
        <f t="shared" ca="1" si="6"/>
        <v>4.9787904833067067</v>
      </c>
      <c r="AB8" s="21" t="str">
        <f t="shared" ca="1" si="10"/>
        <v>09/21</v>
      </c>
      <c r="AC8" s="21">
        <v>70</v>
      </c>
      <c r="AD8" s="15">
        <v>30</v>
      </c>
      <c r="AG8" s="47">
        <f>3+Dashboard!V3</f>
        <v>15</v>
      </c>
      <c r="AH8" s="8">
        <f>IF(AG8=0, DATE(2020, 9, 9),INDEX(tbl_position[], AG8, MATCH("DATE", pos_header, 0)))</f>
        <v>44104</v>
      </c>
      <c r="AI8" s="126">
        <f ca="1">IF(AG8=0, 100000, INDEX(tbl_position[Total_Net_Asset], AG8))</f>
        <v>98264.2</v>
      </c>
      <c r="AJ8" s="126">
        <f>IF(AG8=0, 100000, INDEX(tbl_position[Cash_Holding], AG8))</f>
        <v>49591.099999999991</v>
      </c>
      <c r="AK8" t="str">
        <f t="shared" ref="AK8:AK18" si="13">TEXT(AH8, "mm/dd")</f>
        <v>09/30</v>
      </c>
    </row>
    <row r="9" spans="2:37" x14ac:dyDescent="0.25">
      <c r="B9">
        <v>5</v>
      </c>
      <c r="C9" t="str">
        <f t="shared" si="0"/>
        <v>IBM</v>
      </c>
      <c r="D9">
        <f t="shared" ca="1" si="7"/>
        <v>122.01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12201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44096</v>
      </c>
      <c r="U9" s="53">
        <f t="shared" ca="1" si="9"/>
        <v>6.06</v>
      </c>
      <c r="V9" s="21">
        <f t="shared" ca="1" si="1"/>
        <v>35781.300000000003</v>
      </c>
      <c r="W9" s="53">
        <f t="shared" ca="1" si="2"/>
        <v>5.8048551714360768</v>
      </c>
      <c r="X9" s="54">
        <f t="shared" ca="1" si="3"/>
        <v>64.649681528662427</v>
      </c>
      <c r="Y9" s="53">
        <f t="shared" ca="1" si="4"/>
        <v>5.7685714285714287</v>
      </c>
      <c r="Z9" s="53">
        <f t="shared" ca="1" si="5"/>
        <v>6.4374790175830672</v>
      </c>
      <c r="AA9" s="53">
        <f t="shared" ca="1" si="6"/>
        <v>5.0996638395597902</v>
      </c>
      <c r="AB9" s="21" t="str">
        <f t="shared" ca="1" si="10"/>
        <v>09/22</v>
      </c>
      <c r="AC9" s="21">
        <v>70</v>
      </c>
      <c r="AD9" s="15">
        <v>30</v>
      </c>
      <c r="AG9" s="47">
        <f>4+Dashboard!V3</f>
        <v>16</v>
      </c>
      <c r="AH9" s="8">
        <f>IF(AG9=0, DATE(2020, 9, 9),INDEX(tbl_position[], AG9, MATCH("DATE", pos_header, 0)))</f>
        <v>44105</v>
      </c>
      <c r="AI9" s="126">
        <f ca="1">IF(AG9=0, 100000, INDEX(tbl_position[Total_Net_Asset], AG9))</f>
        <v>101121.7</v>
      </c>
      <c r="AJ9" s="126">
        <f>IF(AG9=0, 100000, INDEX(tbl_position[Cash_Holding], AG9))</f>
        <v>49591.099999999991</v>
      </c>
      <c r="AK9" t="str">
        <f t="shared" si="13"/>
        <v>10/01</v>
      </c>
    </row>
    <row r="10" spans="2:37" x14ac:dyDescent="0.25">
      <c r="B10">
        <v>6</v>
      </c>
      <c r="C10" t="str">
        <f t="shared" si="0"/>
        <v>NKLA</v>
      </c>
      <c r="D10">
        <f t="shared" ca="1" si="7"/>
        <v>23.78</v>
      </c>
      <c r="E10">
        <f>INDEX(tbl_position[], COUNT(tbl_position[Date]), MATCH("Shares_"&amp;C10, pos_header,0))</f>
        <v>800</v>
      </c>
      <c r="F10">
        <f ca="1">tbl_holdings[[#This Row],[Current Price]]*tbl_holdings[[#This Row],['# Holdings]]</f>
        <v>19024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44097</v>
      </c>
      <c r="U10" s="53">
        <f t="shared" ca="1" si="9"/>
        <v>6.48</v>
      </c>
      <c r="V10" s="21">
        <f t="shared" ca="1" si="1"/>
        <v>40980.199999999997</v>
      </c>
      <c r="W10" s="53">
        <f t="shared" ca="1" si="2"/>
        <v>5.872369654292469</v>
      </c>
      <c r="X10" s="54">
        <f t="shared" ca="1" si="3"/>
        <v>73.134328358208961</v>
      </c>
      <c r="Y10" s="53">
        <f t="shared" ca="1" si="4"/>
        <v>5.8792857142857144</v>
      </c>
      <c r="Z10" s="53">
        <f t="shared" ca="1" si="5"/>
        <v>6.4572111439025486</v>
      </c>
      <c r="AA10" s="53">
        <f t="shared" ca="1" si="6"/>
        <v>5.3013602846688803</v>
      </c>
      <c r="AB10" s="21" t="str">
        <f t="shared" ca="1" si="10"/>
        <v>09/23</v>
      </c>
      <c r="AC10" s="21">
        <v>70</v>
      </c>
      <c r="AD10" s="15">
        <v>30</v>
      </c>
      <c r="AG10" s="47">
        <f>5+Dashboard!V3</f>
        <v>17</v>
      </c>
      <c r="AH10" s="8">
        <f>IF(AG10=0, DATE(2020, 9, 9),INDEX(tbl_position[], AG10, MATCH("DATE", pos_header, 0)))</f>
        <v>44106</v>
      </c>
      <c r="AI10" s="126">
        <f ca="1">IF(AG10=0, 100000, INDEX(tbl_position[Total_Net_Asset], AG10))</f>
        <v>101114.7</v>
      </c>
      <c r="AJ10" s="126">
        <f>IF(AG10=0, 100000, INDEX(tbl_position[Cash_Holding], AG10))</f>
        <v>49591.099999999991</v>
      </c>
      <c r="AK10" t="str">
        <f t="shared" si="13"/>
        <v>10/02</v>
      </c>
    </row>
    <row r="11" spans="2:37" x14ac:dyDescent="0.2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59.56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44098</v>
      </c>
      <c r="U11" s="53">
        <f t="shared" ca="1" si="9"/>
        <v>6.41</v>
      </c>
      <c r="V11" s="21">
        <f t="shared" ca="1" si="1"/>
        <v>61530.7</v>
      </c>
      <c r="W11" s="53">
        <f t="shared" ca="1" si="2"/>
        <v>5.9261326888632224</v>
      </c>
      <c r="X11" s="54">
        <f t="shared" ca="1" si="3"/>
        <v>66.894197952218434</v>
      </c>
      <c r="Y11" s="53">
        <f t="shared" ca="1" si="4"/>
        <v>5.95</v>
      </c>
      <c r="Z11" s="53">
        <f t="shared" ca="1" si="5"/>
        <v>6.5281136433395988</v>
      </c>
      <c r="AA11" s="53">
        <f t="shared" ca="1" si="6"/>
        <v>5.3718863566604016</v>
      </c>
      <c r="AB11" s="21" t="str">
        <f t="shared" ca="1" si="10"/>
        <v>09/24</v>
      </c>
      <c r="AC11" s="21">
        <v>70</v>
      </c>
      <c r="AD11" s="15">
        <v>30</v>
      </c>
      <c r="AG11" s="47">
        <f>6+Dashboard!V3</f>
        <v>18</v>
      </c>
      <c r="AH11" s="8">
        <f>IF(AG11=0, DATE(2020, 9, 9),INDEX(tbl_position[], AG11, MATCH("DATE", pos_header, 0)))</f>
        <v>44109</v>
      </c>
      <c r="AI11" s="126">
        <f ca="1">IF(AG11=0, 100000, INDEX(tbl_position[Total_Net_Asset], AG11))</f>
        <v>101486.7</v>
      </c>
      <c r="AJ11" s="126">
        <f>IF(AG11=0, 100000, INDEX(tbl_position[Cash_Holding], AG11))</f>
        <v>49591.099999999991</v>
      </c>
      <c r="AK11" t="str">
        <f t="shared" si="13"/>
        <v>10/05</v>
      </c>
    </row>
    <row r="12" spans="2:37" x14ac:dyDescent="0.2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2.66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44099</v>
      </c>
      <c r="U12" s="53">
        <f t="shared" ca="1" si="9"/>
        <v>6.1</v>
      </c>
      <c r="V12" s="21">
        <f t="shared" ca="1" si="1"/>
        <v>41909.9</v>
      </c>
      <c r="W12" s="53">
        <f t="shared" ca="1" si="2"/>
        <v>5.9435194199768997</v>
      </c>
      <c r="X12" s="54">
        <f t="shared" ca="1" si="3"/>
        <v>58.70967741935484</v>
      </c>
      <c r="Y12" s="53">
        <f t="shared" ca="1" si="4"/>
        <v>5.9885714285714275</v>
      </c>
      <c r="Z12" s="53">
        <f t="shared" ca="1" si="5"/>
        <v>6.5251622133689962</v>
      </c>
      <c r="AA12" s="53">
        <f t="shared" ca="1" si="6"/>
        <v>5.4519806437738589</v>
      </c>
      <c r="AB12" s="21" t="str">
        <f t="shared" ca="1" si="10"/>
        <v>09/25</v>
      </c>
      <c r="AC12" s="21">
        <v>70</v>
      </c>
      <c r="AD12" s="15">
        <v>30</v>
      </c>
      <c r="AG12" s="47">
        <v>12</v>
      </c>
      <c r="AH12" s="8">
        <f>IF(AG12=0, DATE(2020, 9, 9),INDEX(tbl_position[], AG12, MATCH("DATE", pos_header, 0)))</f>
        <v>44099</v>
      </c>
      <c r="AI12" s="126">
        <f ca="1">IF(AG12=0, 100000, INDEX(tbl_position[Total_Net_Asset], AG12))</f>
        <v>96685.4</v>
      </c>
      <c r="AJ12" s="126">
        <f>IF(AG12=0, 100000, INDEX(tbl_position[Cash_Holding], AG12))</f>
        <v>43897.299999999996</v>
      </c>
      <c r="AK12" t="str">
        <f t="shared" si="13"/>
        <v>09/25</v>
      </c>
    </row>
    <row r="13" spans="2:37" x14ac:dyDescent="0.2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5.51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8"/>
        <v>44102</v>
      </c>
      <c r="U13" s="53">
        <f t="shared" ca="1" si="9"/>
        <v>5.81</v>
      </c>
      <c r="V13" s="21">
        <f t="shared" ca="1" si="1"/>
        <v>28157.7</v>
      </c>
      <c r="W13" s="53">
        <f t="shared" ca="1" si="2"/>
        <v>5.9301674779792091</v>
      </c>
      <c r="X13" s="54">
        <f t="shared" ca="1" si="3"/>
        <v>46.416382252559728</v>
      </c>
      <c r="Y13" s="53">
        <f t="shared" ca="1" si="4"/>
        <v>5.9735714285714279</v>
      </c>
      <c r="Z13" s="53">
        <f t="shared" ca="1" si="5"/>
        <v>6.5180603006965905</v>
      </c>
      <c r="AA13" s="53">
        <f t="shared" ca="1" si="6"/>
        <v>5.4290825564462653</v>
      </c>
      <c r="AB13" s="21" t="str">
        <f t="shared" ca="1" si="10"/>
        <v>09/28</v>
      </c>
      <c r="AC13" s="21">
        <v>70</v>
      </c>
      <c r="AD13" s="15">
        <v>30</v>
      </c>
      <c r="AG13" s="47">
        <v>13</v>
      </c>
      <c r="AH13" s="8">
        <f>IF(AG13=0, DATE(2020, 9, 9),INDEX(tbl_position[], AG13, MATCH("DATE", pos_header, 0)))</f>
        <v>44102</v>
      </c>
      <c r="AI13" s="126">
        <f ca="1">IF(AG13=0, 100000, INDEX(tbl_position[Total_Net_Asset], AG13))</f>
        <v>97238.7</v>
      </c>
      <c r="AJ13" s="126">
        <f>IF(AG13=0, 100000, INDEX(tbl_position[Cash_Holding], AG13))</f>
        <v>49591.099999999991</v>
      </c>
      <c r="AK13" t="str">
        <f t="shared" si="13"/>
        <v>09/28</v>
      </c>
    </row>
    <row r="14" spans="2:37" x14ac:dyDescent="0.2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141.80000000000001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44103</v>
      </c>
      <c r="U14" s="53">
        <f t="shared" ca="1" si="9"/>
        <v>5.91</v>
      </c>
      <c r="V14" s="21">
        <f t="shared" ca="1" si="1"/>
        <v>31636.1</v>
      </c>
      <c r="W14" s="53">
        <f t="shared" ca="1" si="2"/>
        <v>5.9281507301812884</v>
      </c>
      <c r="X14" s="54">
        <f t="shared" ca="1" si="3"/>
        <v>54.681647940074903</v>
      </c>
      <c r="Y14" s="53">
        <f t="shared" ca="1" si="4"/>
        <v>5.9914285714285702</v>
      </c>
      <c r="Z14" s="53">
        <f t="shared" ca="1" si="5"/>
        <v>6.507261409161412</v>
      </c>
      <c r="AA14" s="53">
        <f t="shared" ca="1" si="6"/>
        <v>5.4755957336957284</v>
      </c>
      <c r="AB14" s="21" t="str">
        <f t="shared" ca="1" si="10"/>
        <v>09/29</v>
      </c>
      <c r="AC14" s="21">
        <v>70</v>
      </c>
      <c r="AD14" s="15">
        <v>30</v>
      </c>
      <c r="AG14" s="47">
        <v>14</v>
      </c>
      <c r="AH14" s="8">
        <f>IF(AG14=0, DATE(2020, 9, 9),INDEX(tbl_position[], AG14, MATCH("DATE", pos_header, 0)))</f>
        <v>44103</v>
      </c>
      <c r="AI14" s="126">
        <f ca="1">IF(AG14=0, 100000, INDEX(tbl_position[Total_Net_Asset], AG14))</f>
        <v>95902.2</v>
      </c>
      <c r="AJ14" s="126">
        <f>IF(AG14=0, 100000, INDEX(tbl_position[Cash_Holding], AG14))</f>
        <v>49591.099999999991</v>
      </c>
      <c r="AK14" t="str">
        <f t="shared" si="13"/>
        <v>09/29</v>
      </c>
    </row>
    <row r="15" spans="2:37" x14ac:dyDescent="0.25">
      <c r="B15" t="s">
        <v>162</v>
      </c>
      <c r="F15">
        <f ca="1">SUBTOTAL(109,tbl_holdings[Total])</f>
        <v>67104.5</v>
      </c>
      <c r="S15" s="14">
        <v>11</v>
      </c>
      <c r="T15" s="52">
        <f t="shared" ca="1" si="8"/>
        <v>44104</v>
      </c>
      <c r="U15" s="53">
        <f t="shared" ca="1" si="9"/>
        <v>5.76</v>
      </c>
      <c r="V15" s="21">
        <f t="shared" ca="1" si="1"/>
        <v>44462.2</v>
      </c>
      <c r="W15" s="53">
        <f t="shared" ca="1" si="2"/>
        <v>5.9113356571631597</v>
      </c>
      <c r="X15" s="54">
        <f t="shared" ca="1" si="3"/>
        <v>46.031746031746032</v>
      </c>
      <c r="Y15" s="53">
        <f t="shared" ca="1" si="4"/>
        <v>5.9771428571428569</v>
      </c>
      <c r="Z15" s="53">
        <f t="shared" ca="1" si="5"/>
        <v>6.5075957012112244</v>
      </c>
      <c r="AA15" s="53">
        <f t="shared" ca="1" si="6"/>
        <v>5.4466900130744893</v>
      </c>
      <c r="AB15" s="21" t="str">
        <f t="shared" ca="1" si="10"/>
        <v>09/30</v>
      </c>
      <c r="AC15" s="21">
        <v>70</v>
      </c>
      <c r="AD15" s="15">
        <v>30</v>
      </c>
      <c r="AG15" s="47">
        <v>15</v>
      </c>
      <c r="AH15" s="8">
        <f>IF(AG15=0, DATE(2020, 9, 9),INDEX(tbl_position[], AG15, MATCH("DATE", pos_header, 0)))</f>
        <v>44104</v>
      </c>
      <c r="AI15" s="126">
        <f ca="1">IF(AG15=0, 100000, INDEX(tbl_position[Total_Net_Asset], AG15))</f>
        <v>98264.2</v>
      </c>
      <c r="AJ15" s="126">
        <f>IF(AG15=0, 100000, INDEX(tbl_position[Cash_Holding], AG15))</f>
        <v>49591.099999999991</v>
      </c>
      <c r="AK15" t="str">
        <f t="shared" si="13"/>
        <v>09/30</v>
      </c>
    </row>
    <row r="16" spans="2:37" x14ac:dyDescent="0.25">
      <c r="S16" s="14">
        <v>12</v>
      </c>
      <c r="T16" s="52">
        <f t="shared" ca="1" si="8"/>
        <v>44105</v>
      </c>
      <c r="U16" s="53">
        <f t="shared" ca="1" si="9"/>
        <v>5.66</v>
      </c>
      <c r="V16" s="21">
        <f t="shared" ca="1" si="1"/>
        <v>40085.1</v>
      </c>
      <c r="W16" s="53">
        <f t="shared" ca="1" si="2"/>
        <v>5.8862020914468438</v>
      </c>
      <c r="X16" s="54">
        <f t="shared" ca="1" si="3"/>
        <v>44.44444444444445</v>
      </c>
      <c r="Y16" s="53">
        <f t="shared" ca="1" si="4"/>
        <v>5.9564285714285718</v>
      </c>
      <c r="Z16" s="53">
        <f t="shared" ca="1" si="5"/>
        <v>6.5134319352000549</v>
      </c>
      <c r="AA16" s="53">
        <f t="shared" ca="1" si="6"/>
        <v>5.3994252076570888</v>
      </c>
      <c r="AB16" s="21" t="str">
        <f t="shared" ca="1" si="10"/>
        <v>10/01</v>
      </c>
      <c r="AC16" s="21">
        <v>70</v>
      </c>
      <c r="AD16" s="15">
        <v>30</v>
      </c>
      <c r="AG16" s="47">
        <v>16</v>
      </c>
      <c r="AH16" s="8">
        <f>IF(AG16=0, DATE(2020, 9, 9),INDEX(tbl_position[], AG16, MATCH("DATE", pos_header, 0)))</f>
        <v>44105</v>
      </c>
      <c r="AI16" s="126">
        <f ca="1">IF(AG16=0, 100000, INDEX(tbl_position[Total_Net_Asset], AG16))</f>
        <v>101121.7</v>
      </c>
      <c r="AJ16" s="126">
        <f>IF(AG16=0, 100000, INDEX(tbl_position[Cash_Holding], AG16))</f>
        <v>49591.099999999991</v>
      </c>
      <c r="AK16" t="str">
        <f t="shared" si="13"/>
        <v>10/01</v>
      </c>
    </row>
    <row r="17" spans="18:37" x14ac:dyDescent="0.25">
      <c r="S17" s="14">
        <v>13</v>
      </c>
      <c r="T17" s="52">
        <f t="shared" ca="1" si="8"/>
        <v>44106</v>
      </c>
      <c r="U17" s="53">
        <f t="shared" ca="1" si="9"/>
        <v>5.81</v>
      </c>
      <c r="V17" s="21">
        <f t="shared" ca="1" si="1"/>
        <v>49876.800000000003</v>
      </c>
      <c r="W17" s="53">
        <f t="shared" ca="1" si="2"/>
        <v>5.8785818823021589</v>
      </c>
      <c r="X17" s="54">
        <f t="shared" ca="1" si="3"/>
        <v>51.778656126482211</v>
      </c>
      <c r="Y17" s="53">
        <f t="shared" ca="1" si="4"/>
        <v>5.9628571428571444</v>
      </c>
      <c r="Z17" s="53">
        <f t="shared" ca="1" si="5"/>
        <v>6.5100979741851148</v>
      </c>
      <c r="AA17" s="53">
        <f t="shared" ca="1" si="6"/>
        <v>5.415616311529174</v>
      </c>
      <c r="AB17" s="21" t="str">
        <f t="shared" ca="1" si="10"/>
        <v>10/02</v>
      </c>
      <c r="AC17" s="21">
        <v>70</v>
      </c>
      <c r="AD17" s="15">
        <v>30</v>
      </c>
      <c r="AG17" s="47">
        <v>17</v>
      </c>
      <c r="AH17" s="8">
        <f>IF(AG17=0, DATE(2020, 9, 9),INDEX(tbl_position[], AG17, MATCH("DATE", pos_header, 0)))</f>
        <v>44106</v>
      </c>
      <c r="AI17" s="126">
        <f ca="1">IF(AG17=0, 100000, INDEX(tbl_position[Total_Net_Asset], AG17))</f>
        <v>101114.7</v>
      </c>
      <c r="AJ17" s="126">
        <f>IF(AG17=0, 100000, INDEX(tbl_position[Cash_Holding], AG17))</f>
        <v>49591.099999999991</v>
      </c>
      <c r="AK17" t="str">
        <f t="shared" si="13"/>
        <v>10/02</v>
      </c>
    </row>
    <row r="18" spans="18:37" ht="15.75" thickBot="1" x14ac:dyDescent="0.3">
      <c r="S18" s="16">
        <v>14</v>
      </c>
      <c r="T18" s="55">
        <f t="shared" ca="1" si="8"/>
        <v>44109</v>
      </c>
      <c r="U18" s="56">
        <f t="shared" ca="1" si="9"/>
        <v>5.51</v>
      </c>
      <c r="V18" s="22">
        <f t="shared" ca="1" si="1"/>
        <v>22828.7</v>
      </c>
      <c r="W18" s="56">
        <f t="shared" ca="1" si="2"/>
        <v>5.841723694071943</v>
      </c>
      <c r="X18" s="57">
        <f t="shared" ca="1" si="3"/>
        <v>47.985347985347985</v>
      </c>
      <c r="Y18" s="56">
        <f t="shared" ca="1" si="4"/>
        <v>5.955000000000001</v>
      </c>
      <c r="Z18" s="56">
        <f t="shared" ca="1" si="5"/>
        <v>6.5260853364764877</v>
      </c>
      <c r="AA18" s="56">
        <f t="shared" ca="1" si="6"/>
        <v>5.3839146635235142</v>
      </c>
      <c r="AB18" s="22" t="str">
        <f t="shared" ca="1" si="10"/>
        <v>10/05</v>
      </c>
      <c r="AC18" s="22">
        <v>70</v>
      </c>
      <c r="AD18" s="17">
        <v>30</v>
      </c>
      <c r="AG18" s="47">
        <v>18</v>
      </c>
      <c r="AH18" s="8">
        <f>IF(AG18=0, DATE(2020, 9, 9),INDEX(tbl_position[], AG18, MATCH("DATE", pos_header, 0)))</f>
        <v>44109</v>
      </c>
      <c r="AI18" s="126">
        <f ca="1">IF(AG18=0, 100000, INDEX(tbl_position[Total_Net_Asset], AG18))</f>
        <v>101486.7</v>
      </c>
      <c r="AJ18" s="126">
        <f>IF(AG18=0, 100000, INDEX(tbl_position[Cash_Holding], AG18))</f>
        <v>49591.099999999991</v>
      </c>
      <c r="AK18" t="str">
        <f t="shared" si="13"/>
        <v>10/05</v>
      </c>
    </row>
    <row r="19" spans="18:37" x14ac:dyDescent="0.2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7" x14ac:dyDescent="0.2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"/>
  <sheetViews>
    <sheetView workbookViewId="0">
      <selection activeCell="M28" sqref="M28"/>
    </sheetView>
  </sheetViews>
  <sheetFormatPr defaultRowHeight="15" x14ac:dyDescent="0.25"/>
  <sheetData>
    <row r="3" spans="2:17" ht="15.75" x14ac:dyDescent="0.2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7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H16" sqref="H16"/>
    </sheetView>
  </sheetViews>
  <sheetFormatPr defaultRowHeight="15" x14ac:dyDescent="0.25"/>
  <sheetData>
    <row r="2" spans="1:1" x14ac:dyDescent="0.25">
      <c r="A2" s="1" t="s">
        <v>305</v>
      </c>
    </row>
    <row r="4" spans="1:1" x14ac:dyDescent="0.25">
      <c r="A4" t="s">
        <v>306</v>
      </c>
    </row>
    <row r="5" spans="1:1" x14ac:dyDescent="0.25">
      <c r="A5" t="s">
        <v>307</v>
      </c>
    </row>
    <row r="6" spans="1:1" x14ac:dyDescent="0.25">
      <c r="A6" t="s">
        <v>308</v>
      </c>
    </row>
    <row r="7" spans="1:1" x14ac:dyDescent="0.25">
      <c r="A7" t="s">
        <v>309</v>
      </c>
    </row>
    <row r="8" spans="1:1" x14ac:dyDescent="0.25">
      <c r="A8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topLeftCell="A31"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257</v>
      </c>
    </row>
    <row r="4" spans="1:10" x14ac:dyDescent="0.25">
      <c r="A4" t="s">
        <v>258</v>
      </c>
    </row>
    <row r="6" spans="1:10" ht="15.75" x14ac:dyDescent="0.25">
      <c r="A6" s="7" t="s">
        <v>259</v>
      </c>
    </row>
    <row r="7" spans="1:10" x14ac:dyDescent="0.25">
      <c r="A7" t="s">
        <v>260</v>
      </c>
    </row>
    <row r="9" spans="1:10" x14ac:dyDescent="0.25">
      <c r="A9" s="66" t="s">
        <v>261</v>
      </c>
    </row>
    <row r="10" spans="1:10" x14ac:dyDescent="0.25">
      <c r="A10" t="s">
        <v>262</v>
      </c>
    </row>
    <row r="11" spans="1:10" x14ac:dyDescent="0.25">
      <c r="B11" t="s">
        <v>263</v>
      </c>
    </row>
    <row r="12" spans="1:10" x14ac:dyDescent="0.25">
      <c r="A12" t="s">
        <v>264</v>
      </c>
    </row>
    <row r="13" spans="1:10" x14ac:dyDescent="0.25">
      <c r="B13" t="s">
        <v>267</v>
      </c>
    </row>
    <row r="14" spans="1:10" x14ac:dyDescent="0.25">
      <c r="A14" t="s">
        <v>265</v>
      </c>
    </row>
    <row r="15" spans="1:10" x14ac:dyDescent="0.25">
      <c r="B15" t="s">
        <v>266</v>
      </c>
    </row>
    <row r="17" spans="1:2" ht="15.75" x14ac:dyDescent="0.25">
      <c r="A17" s="7" t="s">
        <v>268</v>
      </c>
    </row>
    <row r="18" spans="1:2" x14ac:dyDescent="0.25">
      <c r="A18" t="s">
        <v>284</v>
      </c>
    </row>
    <row r="20" spans="1:2" x14ac:dyDescent="0.25">
      <c r="A20" s="66" t="s">
        <v>261</v>
      </c>
    </row>
    <row r="21" spans="1:2" x14ac:dyDescent="0.25">
      <c r="A21" t="s">
        <v>269</v>
      </c>
    </row>
    <row r="22" spans="1:2" x14ac:dyDescent="0.25">
      <c r="B22" t="s">
        <v>270</v>
      </c>
    </row>
    <row r="23" spans="1:2" x14ac:dyDescent="0.25">
      <c r="A23" t="s">
        <v>272</v>
      </c>
    </row>
    <row r="26" spans="1:2" ht="15.75" x14ac:dyDescent="0.25">
      <c r="A26" s="7" t="s">
        <v>271</v>
      </c>
    </row>
    <row r="27" spans="1:2" x14ac:dyDescent="0.25">
      <c r="A27" t="s">
        <v>285</v>
      </c>
    </row>
    <row r="28" spans="1:2" x14ac:dyDescent="0.25">
      <c r="A28" s="66" t="s">
        <v>261</v>
      </c>
    </row>
    <row r="29" spans="1:2" x14ac:dyDescent="0.25">
      <c r="A29" t="s">
        <v>273</v>
      </c>
    </row>
    <row r="30" spans="1:2" x14ac:dyDescent="0.25">
      <c r="A30" t="s">
        <v>274</v>
      </c>
    </row>
    <row r="31" spans="1:2" x14ac:dyDescent="0.25">
      <c r="A31" t="s">
        <v>276</v>
      </c>
    </row>
    <row r="33" spans="1:1" ht="15.75" x14ac:dyDescent="0.25">
      <c r="A33" s="7" t="s">
        <v>277</v>
      </c>
    </row>
    <row r="34" spans="1:1" x14ac:dyDescent="0.25">
      <c r="A34" t="s">
        <v>286</v>
      </c>
    </row>
    <row r="35" spans="1:1" x14ac:dyDescent="0.25">
      <c r="A35" s="66" t="s">
        <v>261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3" spans="1:1" x14ac:dyDescent="0.2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1" workbookViewId="0">
      <selection activeCell="A56" sqref="A56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2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2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2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2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2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2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2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2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2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2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2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2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25">
      <c r="A58" t="s">
        <v>162</v>
      </c>
      <c r="B58">
        <f>SUBTOTAL(103,tbl_transaction[Order Date])</f>
        <v>53</v>
      </c>
      <c r="P58" s="11">
        <f>SUBTOTAL(109,tbl_transaction[Net_Cash_Change])</f>
        <v>-50408.900000000009</v>
      </c>
      <c r="S58" s="47">
        <f>SUBTOTAL(109,tbl_transaction[Stock Holding Change])</f>
        <v>1150</v>
      </c>
    </row>
  </sheetData>
  <dataValidations count="3">
    <dataValidation type="list" allowBlank="1" showInputMessage="1" showErrorMessage="1" sqref="D5:D57">
      <formula1>Transactions</formula1>
    </dataValidation>
    <dataValidation type="list" allowBlank="1" showInputMessage="1" showErrorMessage="1" sqref="A5:A57">
      <formula1>Symbol</formula1>
    </dataValidation>
    <dataValidation type="whole" allowBlank="1" showInputMessage="1" showErrorMessage="1" sqref="F5:F57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A13" sqref="A13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217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240</v>
      </c>
    </row>
    <row r="13" spans="1:9" x14ac:dyDescent="0.2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A7" sqref="A7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9" width="13.140625" customWidth="1"/>
    <col min="10" max="10" width="13.42578125" customWidth="1"/>
    <col min="11" max="11" width="13.140625" customWidth="1"/>
    <col min="12" max="12" width="14.5703125" customWidth="1"/>
    <col min="13" max="13" width="15.5703125" customWidth="1"/>
    <col min="14" max="14" width="12.5703125" customWidth="1"/>
    <col min="15" max="15" width="16.7109375" customWidth="1"/>
    <col min="16" max="16" width="15.5703125" customWidth="1"/>
    <col min="17" max="21" width="16.42578125" customWidth="1"/>
    <col min="22" max="22" width="16.85546875" customWidth="1"/>
    <col min="23" max="23" width="15.42578125" customWidth="1"/>
    <col min="24" max="24" width="15.85546875" customWidth="1"/>
    <col min="25" max="25" width="17.42578125" customWidth="1"/>
  </cols>
  <sheetData>
    <row r="1" spans="1:25" ht="21" x14ac:dyDescent="0.35">
      <c r="A1" s="41" t="s">
        <v>126</v>
      </c>
      <c r="B1" s="41"/>
      <c r="C1" s="41"/>
      <c r="D1" s="41"/>
      <c r="E1" s="41"/>
    </row>
    <row r="2" spans="1:25" ht="15.75" x14ac:dyDescent="0.25">
      <c r="A2" t="s">
        <v>127</v>
      </c>
    </row>
    <row r="4" spans="1:25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2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$L10)</f>
        <v>50</v>
      </c>
      <c r="M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$M10)</f>
        <v>0</v>
      </c>
      <c r="N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$P10)</f>
        <v>100</v>
      </c>
      <c r="Q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$U10)</f>
        <v>0</v>
      </c>
      <c r="V11" s="10">
        <f ca="1" xml:space="preserve"> SUMPRODUCT(INDIRECT(ADDRESS(ROW(V11), 2)):INDIRECT(ADDRESS(ROW(V11), MATCH("Shares_AAPL", pos_header,0)-1)), INDIRECT(ADDRESS(ROW(V11), MATCH("Shares_AAPL", pos_header,0))): INDIRECT(ADDRESS(ROW(V11), MATCH("Shares_Holding", pos_header,0)-1)))</f>
        <v>35077.5</v>
      </c>
      <c r="W11" s="10">
        <f>SUMIFS(tbl_transaction[Net_Cash_Change], tbl_transaction[Transaction_Date],tbl_position[[#This Row],[Date]])+IF(tbl_position[[#This Row],[Date]]=$A$5, 100000, $W10)</f>
        <v>63351.7</v>
      </c>
      <c r="X11" s="11">
        <f>SUMIFS(tbl_transaction[Net_Debt_Change], tbl_transaction[Transaction_Date],tbl_position[[#This Row],[Date]])+IF(tbl_position[[#This Row],[Date]]=$A$5, 0, $X10)</f>
        <v>-407.10000000000036</v>
      </c>
      <c r="Y11" s="48">
        <f ca="1">tbl_position[[#This Row],[Shares_Holding]]+tbl_position[[#This Row],[Cash_Holding]]-tbl_position[[#This Row],[Liabilities_Holding]]</f>
        <v>98836.3</v>
      </c>
    </row>
    <row r="12" spans="1:25" x14ac:dyDescent="0.2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$L11)</f>
        <v>50</v>
      </c>
      <c r="M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$M11)</f>
        <v>0</v>
      </c>
      <c r="N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$P11)</f>
        <v>100</v>
      </c>
      <c r="Q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$U11)</f>
        <v>4000</v>
      </c>
      <c r="V12" s="10">
        <f ca="1" xml:space="preserve"> SUMPRODUCT(INDIRECT(ADDRESS(ROW(V12), 2)):INDIRECT(ADDRESS(ROW(V12), MATCH("Shares_AAPL", pos_header,0)-1)), INDIRECT(ADDRESS(ROW(V12), MATCH("Shares_AAPL", pos_header,0))): INDIRECT(ADDRESS(ROW(V12), MATCH("Shares_Holding", pos_header,0)-1)))</f>
        <v>59681.5</v>
      </c>
      <c r="W12" s="10">
        <f>SUMIFS(tbl_transaction[Net_Cash_Change], tbl_transaction[Transaction_Date],tbl_position[[#This Row],[Date]])+IF(tbl_position[[#This Row],[Date]]=$A$5, 100000, $W11)</f>
        <v>37751.699999999997</v>
      </c>
      <c r="X12" s="11">
        <f>SUMIFS(tbl_transaction[Net_Debt_Change], tbl_transaction[Transaction_Date],tbl_position[[#This Row],[Date]])+IF(tbl_position[[#This Row],[Date]]=$A$5, 0, $X11)</f>
        <v>-407.10000000000036</v>
      </c>
      <c r="Y12" s="48">
        <f ca="1">tbl_position[[#This Row],[Shares_Holding]]+tbl_position[[#This Row],[Cash_Holding]]-tbl_position[[#This Row],[Liabilities_Holding]]</f>
        <v>97840.3</v>
      </c>
    </row>
    <row r="13" spans="1:25" x14ac:dyDescent="0.2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$L12)</f>
        <v>50</v>
      </c>
      <c r="M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$M12)</f>
        <v>0</v>
      </c>
      <c r="N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$P12)</f>
        <v>100</v>
      </c>
      <c r="Q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$U12)</f>
        <v>2000</v>
      </c>
      <c r="V13" s="10">
        <f ca="1" xml:space="preserve"> SUMPRODUCT(INDIRECT(ADDRESS(ROW(V13), 2)):INDIRECT(ADDRESS(ROW(V13), MATCH("Shares_AAPL", pos_header,0)-1)), INDIRECT(ADDRESS(ROW(V13), MATCH("Shares_AAPL", pos_header,0))): INDIRECT(ADDRESS(ROW(V13), MATCH("Shares_Holding", pos_header,0)-1)))</f>
        <v>46691</v>
      </c>
      <c r="W13" s="10">
        <f>SUMIFS(tbl_transaction[Net_Cash_Change], tbl_transaction[Transaction_Date],tbl_position[[#This Row],[Date]])+IF(tbl_position[[#This Row],[Date]]=$A$5, 100000, $W12)</f>
        <v>50051.7</v>
      </c>
      <c r="X13" s="11">
        <f>SUMIFS(tbl_transaction[Net_Debt_Change], tbl_transaction[Transaction_Date],tbl_position[[#This Row],[Date]])+IF(tbl_position[[#This Row],[Date]]=$A$5, 0, $X12)</f>
        <v>-407.10000000000036</v>
      </c>
      <c r="Y13" s="48">
        <f ca="1">tbl_position[[#This Row],[Shares_Holding]]+tbl_position[[#This Row],[Cash_Holding]]-tbl_position[[#This Row],[Liabilities_Holding]]</f>
        <v>97149.8</v>
      </c>
    </row>
    <row r="14" spans="1:25" x14ac:dyDescent="0.2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$L13)</f>
        <v>50</v>
      </c>
      <c r="M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$M13)</f>
        <v>0</v>
      </c>
      <c r="N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$P13)</f>
        <v>100</v>
      </c>
      <c r="Q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$U13)</f>
        <v>980</v>
      </c>
      <c r="V14" s="10">
        <f ca="1" xml:space="preserve"> SUMPRODUCT(INDIRECT(ADDRESS(ROW(V14), 2)):INDIRECT(ADDRESS(ROW(V14), MATCH("Shares_AAPL", pos_header,0)-1)), INDIRECT(ADDRESS(ROW(V14), MATCH("Shares_AAPL", pos_header,0))): INDIRECT(ADDRESS(ROW(V14), MATCH("Shares_Holding", pos_header,0)-1)))</f>
        <v>52182.9</v>
      </c>
      <c r="W14" s="10">
        <f>SUMIFS(tbl_transaction[Net_Cash_Change], tbl_transaction[Transaction_Date],tbl_position[[#This Row],[Date]])+IF(tbl_position[[#This Row],[Date]]=$A$5, 100000, $W13)</f>
        <v>43897.299999999996</v>
      </c>
      <c r="X14" s="11">
        <f>SUMIFS(tbl_transaction[Net_Debt_Change], tbl_transaction[Transaction_Date],tbl_position[[#This Row],[Date]])+IF(tbl_position[[#This Row],[Date]]=$A$5, 0, $X13)</f>
        <v>-407.10000000000036</v>
      </c>
      <c r="Y14" s="48">
        <f ca="1">tbl_position[[#This Row],[Shares_Holding]]+tbl_position[[#This Row],[Cash_Holding]]-tbl_position[[#This Row],[Liabilities_Holding]]</f>
        <v>96487.3</v>
      </c>
    </row>
    <row r="15" spans="1:25" x14ac:dyDescent="0.2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$L14)</f>
        <v>50</v>
      </c>
      <c r="M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$M14)</f>
        <v>0</v>
      </c>
      <c r="N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$P14)</f>
        <v>100</v>
      </c>
      <c r="Q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$T14)</f>
        <v>500</v>
      </c>
      <c r="U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$U14)</f>
        <v>980</v>
      </c>
      <c r="V15" s="10">
        <f ca="1" xml:space="preserve"> SUMPRODUCT(INDIRECT(ADDRESS(ROW(V15), 2)):INDIRECT(ADDRESS(ROW(V15), MATCH("Shares_AAPL", pos_header,0)-1)), INDIRECT(ADDRESS(ROW(V15), MATCH("Shares_AAPL", pos_header,0))): INDIRECT(ADDRESS(ROW(V15), MATCH("Shares_Holding", pos_header,0)-1)))</f>
        <v>61622.8</v>
      </c>
      <c r="W15" s="10">
        <f>SUMIFS(tbl_transaction[Net_Cash_Change], tbl_transaction[Transaction_Date],tbl_position[[#This Row],[Date]])+IF(tbl_position[[#This Row],[Date]]=$A$5, 100000, $W14)</f>
        <v>43897.299999999996</v>
      </c>
      <c r="X15" s="11">
        <f>SUMIFS(tbl_transaction[Net_Debt_Change], tbl_transaction[Transaction_Date],tbl_position[[#This Row],[Date]])+IF(tbl_position[[#This Row],[Date]]=$A$5, 0, $X14)</f>
        <v>9577.9</v>
      </c>
      <c r="Y15" s="48">
        <f ca="1">tbl_position[[#This Row],[Shares_Holding]]+tbl_position[[#This Row],[Cash_Holding]]-tbl_position[[#This Row],[Liabilities_Holding]]</f>
        <v>95942.200000000012</v>
      </c>
    </row>
    <row r="16" spans="1:25" x14ac:dyDescent="0.2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$L15)</f>
        <v>50</v>
      </c>
      <c r="M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$M15)</f>
        <v>0</v>
      </c>
      <c r="N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$N15)</f>
        <v>50</v>
      </c>
      <c r="O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$O15)</f>
        <v>0</v>
      </c>
      <c r="P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$P15)</f>
        <v>100</v>
      </c>
      <c r="Q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$Q15)</f>
        <v>0</v>
      </c>
      <c r="R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$R15)</f>
        <v>100</v>
      </c>
      <c r="S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$S15)</f>
        <v>50</v>
      </c>
      <c r="T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$T15)</f>
        <v>500</v>
      </c>
      <c r="U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$U15)</f>
        <v>980</v>
      </c>
      <c r="V16" s="10">
        <f ca="1" xml:space="preserve"> SUMPRODUCT(INDIRECT(ADDRESS(ROW(V16), 2)):INDIRECT(ADDRESS(ROW(V16), MATCH("Shares_AAPL", pos_header,0)-1)), INDIRECT(ADDRESS(ROW(V16), MATCH("Shares_AAPL", pos_header,0))): INDIRECT(ADDRESS(ROW(V16), MATCH("Shares_Holding", pos_header,0)-1)))</f>
        <v>62366</v>
      </c>
      <c r="W16" s="129">
        <f>SUMIFS(tbl_transaction[Net_Cash_Change], tbl_transaction[Transaction_Date],tbl_position[[#This Row],[Date]])+IF(tbl_position[[#This Row],[Date]]=$A$5, 100000, $W15)</f>
        <v>43897.299999999996</v>
      </c>
      <c r="X16" s="11">
        <f>SUMIFS(tbl_transaction[Net_Debt_Change], tbl_transaction[Transaction_Date],tbl_position[[#This Row],[Date]])+IF(tbl_position[[#This Row],[Date]]=$A$5, 0, $X15)</f>
        <v>9577.9</v>
      </c>
      <c r="Y16" s="48">
        <f ca="1">tbl_position[[#This Row],[Shares_Holding]]+tbl_position[[#This Row],[Cash_Holding]]-tbl_position[[#This Row],[Liabilities_Holding]]</f>
        <v>96685.4</v>
      </c>
    </row>
    <row r="17" spans="1:25" x14ac:dyDescent="0.2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$L16)</f>
        <v>50</v>
      </c>
      <c r="M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$M16)</f>
        <v>0</v>
      </c>
      <c r="N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$N16)</f>
        <v>50</v>
      </c>
      <c r="O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$O16)</f>
        <v>0</v>
      </c>
      <c r="P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$P16)</f>
        <v>100</v>
      </c>
      <c r="Q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$Q16)</f>
        <v>0</v>
      </c>
      <c r="R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$R16)</f>
        <v>100</v>
      </c>
      <c r="S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$S16)</f>
        <v>50</v>
      </c>
      <c r="T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$T16)</f>
        <v>800</v>
      </c>
      <c r="U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$U16)</f>
        <v>0</v>
      </c>
      <c r="V17" s="10">
        <f ca="1" xml:space="preserve"> SUMPRODUCT(INDIRECT(ADDRESS(ROW(V17), 2)):INDIRECT(ADDRESS(ROW(V17), MATCH("Shares_AAPL", pos_header,0)-1)), INDIRECT(ADDRESS(ROW(V17), MATCH("Shares_AAPL", pos_header,0))): INDIRECT(ADDRESS(ROW(V17), MATCH("Shares_Holding", pos_header,0)-1)))</f>
        <v>62856.5</v>
      </c>
      <c r="W17" s="129">
        <f>SUMIFS(tbl_transaction[Net_Cash_Change], tbl_transaction[Transaction_Date],tbl_position[[#This Row],[Date]])+IF(tbl_position[[#This Row],[Date]]=$A$5, 100000, $W16)</f>
        <v>49591.099999999991</v>
      </c>
      <c r="X17" s="11">
        <f>SUMIFS(tbl_transaction[Net_Debt_Change], tbl_transaction[Transaction_Date],tbl_position[[#This Row],[Date]])+IF(tbl_position[[#This Row],[Date]]=$A$5, 0, $X16)</f>
        <v>15208.9</v>
      </c>
      <c r="Y17" s="48">
        <f ca="1">tbl_position[[#This Row],[Shares_Holding]]+tbl_position[[#This Row],[Cash_Holding]]-tbl_position[[#This Row],[Liabilities_Holding]]</f>
        <v>97238.7</v>
      </c>
    </row>
    <row r="18" spans="1:25" x14ac:dyDescent="0.2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$L17)</f>
        <v>50</v>
      </c>
      <c r="M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$M17)</f>
        <v>0</v>
      </c>
      <c r="N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$N17)</f>
        <v>50</v>
      </c>
      <c r="O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$O17)</f>
        <v>0</v>
      </c>
      <c r="P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$P17)</f>
        <v>100</v>
      </c>
      <c r="Q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$Q17)</f>
        <v>0</v>
      </c>
      <c r="R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$R17)</f>
        <v>100</v>
      </c>
      <c r="S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$S17)</f>
        <v>50</v>
      </c>
      <c r="T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$T17)</f>
        <v>800</v>
      </c>
      <c r="U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$U17)</f>
        <v>0</v>
      </c>
      <c r="V18" s="10">
        <f ca="1" xml:space="preserve"> SUMPRODUCT(INDIRECT(ADDRESS(ROW(V18), 2)):INDIRECT(ADDRESS(ROW(V18), MATCH("Shares_AAPL", pos_header,0)-1)), INDIRECT(ADDRESS(ROW(V18), MATCH("Shares_AAPL", pos_header,0))): INDIRECT(ADDRESS(ROW(V18), MATCH("Shares_Holding", pos_header,0)-1)))</f>
        <v>61520</v>
      </c>
      <c r="W18" s="129">
        <f>SUMIFS(tbl_transaction[Net_Cash_Change], tbl_transaction[Transaction_Date],tbl_position[[#This Row],[Date]])+IF(tbl_position[[#This Row],[Date]]=$A$5, 100000, $W17)</f>
        <v>49591.099999999991</v>
      </c>
      <c r="X18" s="11">
        <f>SUMIFS(tbl_transaction[Net_Debt_Change], tbl_transaction[Transaction_Date],tbl_position[[#This Row],[Date]])+IF(tbl_position[[#This Row],[Date]]=$A$5, 0, $X17)</f>
        <v>15208.9</v>
      </c>
      <c r="Y18" s="48">
        <f ca="1">tbl_position[[#This Row],[Shares_Holding]]+tbl_position[[#This Row],[Cash_Holding]]-tbl_position[[#This Row],[Liabilities_Holding]]</f>
        <v>95902.2</v>
      </c>
    </row>
    <row r="19" spans="1:25" x14ac:dyDescent="0.2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$L18)</f>
        <v>50</v>
      </c>
      <c r="M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$M18)</f>
        <v>0</v>
      </c>
      <c r="N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$N18)</f>
        <v>50</v>
      </c>
      <c r="O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$O18)</f>
        <v>0</v>
      </c>
      <c r="P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$P18)</f>
        <v>100</v>
      </c>
      <c r="Q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$Q18)</f>
        <v>0</v>
      </c>
      <c r="R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$R18)</f>
        <v>100</v>
      </c>
      <c r="S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$S18)</f>
        <v>50</v>
      </c>
      <c r="T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$T18)</f>
        <v>800</v>
      </c>
      <c r="U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$U18)</f>
        <v>0</v>
      </c>
      <c r="V19" s="10">
        <f ca="1" xml:space="preserve"> SUMPRODUCT(INDIRECT(ADDRESS(ROW(V19), 2)):INDIRECT(ADDRESS(ROW(V19), MATCH("Shares_AAPL", pos_header,0)-1)), INDIRECT(ADDRESS(ROW(V19), MATCH("Shares_AAPL", pos_header,0))): INDIRECT(ADDRESS(ROW(V19), MATCH("Shares_Holding", pos_header,0)-1)))</f>
        <v>63882</v>
      </c>
      <c r="W19" s="129">
        <f>SUMIFS(tbl_transaction[Net_Cash_Change], tbl_transaction[Transaction_Date],tbl_position[[#This Row],[Date]])+IF(tbl_position[[#This Row],[Date]]=$A$5, 100000, $W18)</f>
        <v>49591.099999999991</v>
      </c>
      <c r="X19" s="11">
        <f>SUMIFS(tbl_transaction[Net_Debt_Change], tbl_transaction[Transaction_Date],tbl_position[[#This Row],[Date]])+IF(tbl_position[[#This Row],[Date]]=$A$5, 0, $X18)</f>
        <v>15208.9</v>
      </c>
      <c r="Y19" s="48">
        <f ca="1">tbl_position[[#This Row],[Shares_Holding]]+tbl_position[[#This Row],[Cash_Holding]]-tbl_position[[#This Row],[Liabilities_Holding]]</f>
        <v>98264.2</v>
      </c>
    </row>
    <row r="20" spans="1:25" x14ac:dyDescent="0.2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$L19)</f>
        <v>50</v>
      </c>
      <c r="M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$M19)</f>
        <v>0</v>
      </c>
      <c r="N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$N19)</f>
        <v>50</v>
      </c>
      <c r="O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$O19)</f>
        <v>0</v>
      </c>
      <c r="P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$P19)</f>
        <v>100</v>
      </c>
      <c r="Q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$Q19)</f>
        <v>0</v>
      </c>
      <c r="R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$R19)</f>
        <v>100</v>
      </c>
      <c r="S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$S19)</f>
        <v>50</v>
      </c>
      <c r="T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$T19)</f>
        <v>800</v>
      </c>
      <c r="U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$U19)</f>
        <v>0</v>
      </c>
      <c r="V20" s="10">
        <f ca="1" xml:space="preserve"> SUMPRODUCT(INDIRECT(ADDRESS(ROW(V20), 2)):INDIRECT(ADDRESS(ROW(V20), MATCH("Shares_AAPL", pos_header,0)-1)), INDIRECT(ADDRESS(ROW(V20), MATCH("Shares_AAPL", pos_header,0))): INDIRECT(ADDRESS(ROW(V20), MATCH("Shares_Holding", pos_header,0)-1)))</f>
        <v>66739.5</v>
      </c>
      <c r="W20" s="129">
        <f>SUMIFS(tbl_transaction[Net_Cash_Change], tbl_transaction[Transaction_Date],tbl_position[[#This Row],[Date]])+IF(tbl_position[[#This Row],[Date]]=$A$5, 100000, $W19)</f>
        <v>49591.099999999991</v>
      </c>
      <c r="X20" s="11">
        <f>SUMIFS(tbl_transaction[Net_Debt_Change], tbl_transaction[Transaction_Date],tbl_position[[#This Row],[Date]])+IF(tbl_position[[#This Row],[Date]]=$A$5, 0, $X19)</f>
        <v>15208.9</v>
      </c>
      <c r="Y20" s="48">
        <f ca="1">tbl_position[[#This Row],[Shares_Holding]]+tbl_position[[#This Row],[Cash_Holding]]-tbl_position[[#This Row],[Liabilities_Holding]]</f>
        <v>101121.7</v>
      </c>
    </row>
    <row r="21" spans="1:25" x14ac:dyDescent="0.2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$L20)</f>
        <v>50</v>
      </c>
      <c r="M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$M20)</f>
        <v>0</v>
      </c>
      <c r="N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$N20)</f>
        <v>50</v>
      </c>
      <c r="O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$O20)</f>
        <v>0</v>
      </c>
      <c r="P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$P20)</f>
        <v>100</v>
      </c>
      <c r="Q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$Q20)</f>
        <v>0</v>
      </c>
      <c r="R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$R20)</f>
        <v>100</v>
      </c>
      <c r="S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$S20)</f>
        <v>50</v>
      </c>
      <c r="T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$T20)</f>
        <v>800</v>
      </c>
      <c r="U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$U20)</f>
        <v>0</v>
      </c>
      <c r="V21" s="10">
        <f ca="1" xml:space="preserve"> SUMPRODUCT(INDIRECT(ADDRESS(ROW(V21), 2)):INDIRECT(ADDRESS(ROW(V21), MATCH("Shares_AAPL", pos_header,0)-1)), INDIRECT(ADDRESS(ROW(V21), MATCH("Shares_AAPL", pos_header,0))): INDIRECT(ADDRESS(ROW(V21), MATCH("Shares_Holding", pos_header,0)-1)))</f>
        <v>66732.5</v>
      </c>
      <c r="W21" s="129">
        <f>SUMIFS(tbl_transaction[Net_Cash_Change], tbl_transaction[Transaction_Date],tbl_position[[#This Row],[Date]])+IF(tbl_position[[#This Row],[Date]]=$A$5, 100000, $W20)</f>
        <v>49591.099999999991</v>
      </c>
      <c r="X21" s="11">
        <f>SUMIFS(tbl_transaction[Net_Debt_Change], tbl_transaction[Transaction_Date],tbl_position[[#This Row],[Date]])+IF(tbl_position[[#This Row],[Date]]=$A$5, 0, $X20)</f>
        <v>15208.9</v>
      </c>
      <c r="Y21" s="48">
        <f ca="1">tbl_position[[#This Row],[Shares_Holding]]+tbl_position[[#This Row],[Cash_Holding]]-tbl_position[[#This Row],[Liabilities_Holding]]</f>
        <v>101114.7</v>
      </c>
    </row>
    <row r="22" spans="1:25" x14ac:dyDescent="0.2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$L21)</f>
        <v>50</v>
      </c>
      <c r="M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$M21)</f>
        <v>0</v>
      </c>
      <c r="N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$N21)</f>
        <v>50</v>
      </c>
      <c r="O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$O21)</f>
        <v>0</v>
      </c>
      <c r="P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$P21)</f>
        <v>100</v>
      </c>
      <c r="Q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$Q21)</f>
        <v>0</v>
      </c>
      <c r="R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$R21)</f>
        <v>100</v>
      </c>
      <c r="S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$S21)</f>
        <v>50</v>
      </c>
      <c r="T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$T21)</f>
        <v>800</v>
      </c>
      <c r="U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$U21)</f>
        <v>0</v>
      </c>
      <c r="V22" s="10">
        <f ca="1" xml:space="preserve"> SUMPRODUCT(INDIRECT(ADDRESS(ROW(V22), 2)):INDIRECT(ADDRESS(ROW(V22), MATCH("Shares_AAPL", pos_header,0)-1)), INDIRECT(ADDRESS(ROW(V22), MATCH("Shares_AAPL", pos_header,0))): INDIRECT(ADDRESS(ROW(V22), MATCH("Shares_Holding", pos_header,0)-1)))</f>
        <v>67104.5</v>
      </c>
      <c r="W22" s="129">
        <f>SUMIFS(tbl_transaction[Net_Cash_Change], tbl_transaction[Transaction_Date],tbl_position[[#This Row],[Date]])+IF(tbl_position[[#This Row],[Date]]=$A$5, 100000, $W21)</f>
        <v>49591.099999999991</v>
      </c>
      <c r="X22" s="11">
        <f>SUMIFS(tbl_transaction[Net_Debt_Change], tbl_transaction[Transaction_Date],tbl_position[[#This Row],[Date]])+IF(tbl_position[[#This Row],[Date]]=$A$5, 0, $X21)</f>
        <v>15208.9</v>
      </c>
      <c r="Y22" s="48">
        <f ca="1">tbl_position[[#This Row],[Shares_Holding]]+tbl_position[[#This Row],[Cash_Holding]]-tbl_position[[#This Row],[Liabilities_Holding]]</f>
        <v>101486.7</v>
      </c>
    </row>
    <row r="23" spans="1:25" x14ac:dyDescent="0.25">
      <c r="A23" t="s">
        <v>162</v>
      </c>
      <c r="B23">
        <f>SUBTOTAL(103,tbl_position[Price_AAPL])</f>
        <v>18</v>
      </c>
      <c r="D23" s="46"/>
      <c r="W23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S40" sqref="S40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2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2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2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2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2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2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2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2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2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2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2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25">
      <c r="A45" t="s">
        <v>162</v>
      </c>
      <c r="H45" s="61"/>
      <c r="J45" s="61"/>
      <c r="K45" s="61"/>
      <c r="L45" s="61"/>
      <c r="S45" s="61">
        <f ca="1">SUBTOTAL(103,tbl_HD[BB_Stdev])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G21" sqref="G21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2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2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2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2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2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2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2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2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2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2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2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2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SUBTOTAL(103,tbl_AAPL[BB_Stdev])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111" workbookViewId="0">
      <selection activeCell="Q24" sqref="Q24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2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2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2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2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2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2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2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2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2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2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2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25">
      <c r="A45" t="s">
        <v>162</v>
      </c>
      <c r="I45" s="61"/>
      <c r="S45">
        <f ca="1">SUBTOTAL(103,tbl_WMT[BB_Stdev])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110" zoomScaleNormal="110" workbookViewId="0">
      <selection activeCell="A44" sqref="A44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2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2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2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2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2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2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2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2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2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2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2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25">
      <c r="A45" t="s">
        <v>162</v>
      </c>
      <c r="S45">
        <f ca="1">SUBTOTAL(103,tbl_RIOT[BB_Stdev])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Format Control</vt:lpstr>
      <vt:lpstr>New Stock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2020-10-07T00:58:20Z</dcterms:modified>
</cp:coreProperties>
</file>