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 firstSheet="9" activeTab="20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AMD" sheetId="25" r:id="rId16"/>
    <sheet name="CVX" sheetId="26" r:id="rId17"/>
    <sheet name="QCOM" sheetId="28" r:id="rId18"/>
    <sheet name="F" sheetId="29" r:id="rId19"/>
    <sheet name="Dashboard" sheetId="15" r:id="rId20"/>
    <sheet name="Dashboard_backend" sheetId="16" r:id="rId21"/>
    <sheet name="Format Control" sheetId="22" r:id="rId22"/>
    <sheet name="New Stock" sheetId="23" r:id="rId23"/>
  </sheets>
  <definedNames>
    <definedName name="Adj_Close_HD" localSheetId="15">tbl_HD[Adj Close]</definedName>
    <definedName name="Adj_Close_HD" localSheetId="16">tbl_HD[Adj Close]</definedName>
    <definedName name="Adj_Close_HD" localSheetId="18">tbl_HD[Adj Close]</definedName>
    <definedName name="Adj_Close_HD" localSheetId="17">tbl_HD[Adj Close]</definedName>
    <definedName name="Adj_Close_HD">tbl_HD[Adj Close]</definedName>
    <definedName name="BB_Periods">Lookup!$I$5</definedName>
    <definedName name="BB_Width">Lookup!$I$6</definedName>
    <definedName name="Date_List" localSheetId="15">tbl_HD[Date]</definedName>
    <definedName name="Date_List" localSheetId="16">tbl_HD[Date]</definedName>
    <definedName name="Date_List" localSheetId="18">tbl_HD[Date]</definedName>
    <definedName name="Date_List" localSheetId="17">tbl_HD[Date]</definedName>
    <definedName name="Date_List">tbl_HD[Date]</definedName>
    <definedName name="EMA_Beta">Lookup!$I$3</definedName>
    <definedName name="Metrics">Lookup!$E$4:$E$6</definedName>
    <definedName name="pos_header" localSheetId="15">tbl_position[#Headers]</definedName>
    <definedName name="pos_header" localSheetId="16">tbl_position[#Headers]</definedName>
    <definedName name="pos_header" localSheetId="18">tbl_position[#Headers]</definedName>
    <definedName name="pos_header" localSheetId="17">tbl_position[#Headers]</definedName>
    <definedName name="pos_header">tbl_position[#Headers]</definedName>
    <definedName name="Price_AAPL" localSheetId="15">tbl_AAPL[Adj Close]</definedName>
    <definedName name="Price_AAPL" localSheetId="16">tbl_AAPL[Adj Close]</definedName>
    <definedName name="Price_AAPL" localSheetId="18">tbl_AAPL[Adj Close]</definedName>
    <definedName name="Price_AAPL" localSheetId="17">tbl_AAPL[Adj Close]</definedName>
    <definedName name="Price_AAPL">tbl_AAPL[Adj Close]</definedName>
    <definedName name="Price_HD" localSheetId="15">tbl_HD[Adj Close]</definedName>
    <definedName name="Price_HD" localSheetId="16">tbl_HD[Adj Close]</definedName>
    <definedName name="Price_HD" localSheetId="18">tbl_HD[Adj Close]</definedName>
    <definedName name="Price_HD" localSheetId="17">tbl_HD[Adj Close]</definedName>
    <definedName name="Price_HD">tbl_HD[Adj Close]</definedName>
    <definedName name="Price_Header" localSheetId="15">tbl_HD[#Headers]</definedName>
    <definedName name="Price_Header" localSheetId="16">tbl_HD[#Headers]</definedName>
    <definedName name="Price_Header" localSheetId="18">tbl_HD[#Headers]</definedName>
    <definedName name="Price_Header" localSheetId="17">tbl_HD[#Headers]</definedName>
    <definedName name="Price_Header">tbl_HD[#Headers]</definedName>
    <definedName name="RSI_Periods">Lookup!$I$4</definedName>
    <definedName name="Symbol" localSheetId="15">tbl_symbol[Symbol]</definedName>
    <definedName name="Symbol" localSheetId="16">tbl_symbol[Symbol]</definedName>
    <definedName name="Symbol" localSheetId="18">tbl_symbol[Symbol]</definedName>
    <definedName name="Symbol" localSheetId="17">tbl_symbol[Symbol]</definedName>
    <definedName name="Symbol">tbl_symbol[Symbol]</definedName>
    <definedName name="Test" localSheetId="15">IF(#REF!="HD", AMD!Price_HD, AMD!Price_AAPL)</definedName>
    <definedName name="Test" localSheetId="16">IF(#REF!="HD", CVX!Price_HD, CVX!Price_AAPL)</definedName>
    <definedName name="Test" localSheetId="18">IF(#REF!="HD", F!Price_HD, F!Price_AAPL)</definedName>
    <definedName name="Test" localSheetId="17">IF(#REF!="HD", QCOM!Price_HD, QCOM!Price_AAPL)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6" l="1"/>
  <c r="L11" i="16"/>
  <c r="M11" i="16"/>
  <c r="N11" i="16"/>
  <c r="O11" i="16"/>
  <c r="P11" i="16"/>
  <c r="J10" i="29"/>
  <c r="L10" i="29" s="1"/>
  <c r="J11" i="29"/>
  <c r="J12" i="29"/>
  <c r="J13" i="29"/>
  <c r="K13" i="29" s="1"/>
  <c r="J14" i="29"/>
  <c r="L14" i="29" s="1"/>
  <c r="J15" i="29"/>
  <c r="J16" i="29"/>
  <c r="J17" i="29"/>
  <c r="K17" i="29" s="1"/>
  <c r="K10" i="29"/>
  <c r="K12" i="29"/>
  <c r="K16" i="29"/>
  <c r="L12" i="29"/>
  <c r="L16" i="29"/>
  <c r="M10" i="29"/>
  <c r="M11" i="29"/>
  <c r="M12" i="29"/>
  <c r="M13" i="29"/>
  <c r="M14" i="29"/>
  <c r="M15" i="29"/>
  <c r="O15" i="29" s="1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O31" i="29" s="1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O47" i="29" s="1"/>
  <c r="M48" i="29"/>
  <c r="M49" i="29"/>
  <c r="M50" i="29"/>
  <c r="M51" i="29"/>
  <c r="M52" i="29"/>
  <c r="M53" i="29"/>
  <c r="M54" i="29"/>
  <c r="N10" i="29"/>
  <c r="N13" i="29"/>
  <c r="N14" i="29"/>
  <c r="N17" i="29"/>
  <c r="N18" i="29"/>
  <c r="N21" i="29"/>
  <c r="N22" i="29"/>
  <c r="N25" i="29"/>
  <c r="N26" i="29"/>
  <c r="N29" i="29"/>
  <c r="N30" i="29"/>
  <c r="N33" i="29"/>
  <c r="N34" i="29"/>
  <c r="N37" i="29"/>
  <c r="N38" i="29"/>
  <c r="N41" i="29"/>
  <c r="N42" i="29"/>
  <c r="N45" i="29"/>
  <c r="N46" i="29"/>
  <c r="N49" i="29"/>
  <c r="N50" i="29"/>
  <c r="N53" i="29"/>
  <c r="N54" i="29"/>
  <c r="O10" i="29"/>
  <c r="O13" i="29"/>
  <c r="O14" i="29"/>
  <c r="O17" i="29"/>
  <c r="O18" i="29"/>
  <c r="O21" i="29"/>
  <c r="O22" i="29"/>
  <c r="O25" i="29"/>
  <c r="O26" i="29"/>
  <c r="O29" i="29"/>
  <c r="O30" i="29"/>
  <c r="O33" i="29"/>
  <c r="O34" i="29"/>
  <c r="O37" i="29"/>
  <c r="O38" i="29"/>
  <c r="O41" i="29"/>
  <c r="O42" i="29"/>
  <c r="O45" i="29"/>
  <c r="O46" i="29"/>
  <c r="O49" i="29"/>
  <c r="O50" i="29"/>
  <c r="O53" i="29"/>
  <c r="O54" i="29"/>
  <c r="P10" i="29"/>
  <c r="P11" i="29"/>
  <c r="R11" i="29" s="1"/>
  <c r="I11" i="29" s="1"/>
  <c r="P12" i="29"/>
  <c r="R12" i="29" s="1"/>
  <c r="I12" i="29" s="1"/>
  <c r="P13" i="29"/>
  <c r="R13" i="29" s="1"/>
  <c r="I13" i="29" s="1"/>
  <c r="P14" i="29"/>
  <c r="P15" i="29"/>
  <c r="R15" i="29" s="1"/>
  <c r="I15" i="29" s="1"/>
  <c r="P16" i="29"/>
  <c r="R16" i="29" s="1"/>
  <c r="I16" i="29" s="1"/>
  <c r="P17" i="29"/>
  <c r="R17" i="29" s="1"/>
  <c r="I17" i="29" s="1"/>
  <c r="P18" i="29"/>
  <c r="Q10" i="29"/>
  <c r="Q11" i="29"/>
  <c r="Q12" i="29"/>
  <c r="Q13" i="29"/>
  <c r="Q14" i="29"/>
  <c r="Q15" i="29"/>
  <c r="Q16" i="29"/>
  <c r="Q17" i="29"/>
  <c r="Q18" i="29"/>
  <c r="R10" i="29"/>
  <c r="I10" i="29" s="1"/>
  <c r="R14" i="29"/>
  <c r="I14" i="29" s="1"/>
  <c r="R18" i="29"/>
  <c r="I18" i="29" s="1"/>
  <c r="S10" i="29"/>
  <c r="S11" i="29"/>
  <c r="S12" i="29"/>
  <c r="S13" i="29"/>
  <c r="S14" i="29"/>
  <c r="S15" i="29"/>
  <c r="S16" i="29"/>
  <c r="S17" i="29"/>
  <c r="J10" i="28"/>
  <c r="L10" i="28" s="1"/>
  <c r="J11" i="28"/>
  <c r="J12" i="28"/>
  <c r="L12" i="28" s="1"/>
  <c r="J13" i="28"/>
  <c r="K13" i="28" s="1"/>
  <c r="J14" i="28"/>
  <c r="K14" i="28" s="1"/>
  <c r="J15" i="28"/>
  <c r="J16" i="28"/>
  <c r="K16" i="28" s="1"/>
  <c r="J17" i="28"/>
  <c r="K17" i="28" s="1"/>
  <c r="K10" i="28"/>
  <c r="M10" i="28"/>
  <c r="N10" i="28" s="1"/>
  <c r="M11" i="28"/>
  <c r="M12" i="28"/>
  <c r="M13" i="28"/>
  <c r="M14" i="28"/>
  <c r="N14" i="28" s="1"/>
  <c r="M15" i="28"/>
  <c r="M16" i="28"/>
  <c r="M17" i="28"/>
  <c r="M18" i="28"/>
  <c r="N18" i="28" s="1"/>
  <c r="M19" i="28"/>
  <c r="M20" i="28"/>
  <c r="M21" i="28"/>
  <c r="M22" i="28"/>
  <c r="N22" i="28" s="1"/>
  <c r="M23" i="28"/>
  <c r="M24" i="28"/>
  <c r="M25" i="28"/>
  <c r="M26" i="28"/>
  <c r="N26" i="28" s="1"/>
  <c r="M27" i="28"/>
  <c r="M28" i="28"/>
  <c r="M29" i="28"/>
  <c r="M30" i="28"/>
  <c r="N30" i="28" s="1"/>
  <c r="M31" i="28"/>
  <c r="M32" i="28"/>
  <c r="M33" i="28"/>
  <c r="M34" i="28"/>
  <c r="N34" i="28" s="1"/>
  <c r="M35" i="28"/>
  <c r="M36" i="28"/>
  <c r="M37" i="28"/>
  <c r="M38" i="28"/>
  <c r="N38" i="28" s="1"/>
  <c r="M39" i="28"/>
  <c r="M40" i="28"/>
  <c r="M41" i="28"/>
  <c r="M42" i="28"/>
  <c r="N42" i="28" s="1"/>
  <c r="M43" i="28"/>
  <c r="M44" i="28"/>
  <c r="M45" i="28"/>
  <c r="M46" i="28"/>
  <c r="N46" i="28" s="1"/>
  <c r="M47" i="28"/>
  <c r="M48" i="28"/>
  <c r="M49" i="28"/>
  <c r="M50" i="28"/>
  <c r="N50" i="28" s="1"/>
  <c r="M51" i="28"/>
  <c r="M52" i="28"/>
  <c r="M53" i="28"/>
  <c r="M54" i="28"/>
  <c r="N54" i="28" s="1"/>
  <c r="N11" i="28"/>
  <c r="N13" i="28"/>
  <c r="N15" i="28"/>
  <c r="N17" i="28"/>
  <c r="N19" i="28"/>
  <c r="N21" i="28"/>
  <c r="N23" i="28"/>
  <c r="N25" i="28"/>
  <c r="N27" i="28"/>
  <c r="N29" i="28"/>
  <c r="N31" i="28"/>
  <c r="N33" i="28"/>
  <c r="N35" i="28"/>
  <c r="N37" i="28"/>
  <c r="N39" i="28"/>
  <c r="N41" i="28"/>
  <c r="N43" i="28"/>
  <c r="N45" i="28"/>
  <c r="N47" i="28"/>
  <c r="N49" i="28"/>
  <c r="N51" i="28"/>
  <c r="N53" i="28"/>
  <c r="O10" i="28"/>
  <c r="O11" i="28"/>
  <c r="O13" i="28"/>
  <c r="O14" i="28"/>
  <c r="O15" i="28"/>
  <c r="O17" i="28"/>
  <c r="O18" i="28"/>
  <c r="O19" i="28"/>
  <c r="O21" i="28"/>
  <c r="O22" i="28"/>
  <c r="O23" i="28"/>
  <c r="O25" i="28"/>
  <c r="O26" i="28"/>
  <c r="O27" i="28"/>
  <c r="O29" i="28"/>
  <c r="O30" i="28"/>
  <c r="O31" i="28"/>
  <c r="O33" i="28"/>
  <c r="O34" i="28"/>
  <c r="O35" i="28"/>
  <c r="O37" i="28"/>
  <c r="O38" i="28"/>
  <c r="O39" i="28"/>
  <c r="O41" i="28"/>
  <c r="O42" i="28"/>
  <c r="O43" i="28"/>
  <c r="O45" i="28"/>
  <c r="O46" i="28"/>
  <c r="O47" i="28"/>
  <c r="O49" i="28"/>
  <c r="O50" i="28"/>
  <c r="O51" i="28"/>
  <c r="O53" i="28"/>
  <c r="O54" i="28"/>
  <c r="P10" i="28"/>
  <c r="R10" i="28" s="1"/>
  <c r="I10" i="28" s="1"/>
  <c r="P11" i="28"/>
  <c r="R11" i="28" s="1"/>
  <c r="I11" i="28" s="1"/>
  <c r="P12" i="28"/>
  <c r="P13" i="28"/>
  <c r="R13" i="28" s="1"/>
  <c r="I13" i="28" s="1"/>
  <c r="P14" i="28"/>
  <c r="R14" i="28" s="1"/>
  <c r="I14" i="28" s="1"/>
  <c r="P15" i="28"/>
  <c r="R15" i="28" s="1"/>
  <c r="I15" i="28" s="1"/>
  <c r="P16" i="28"/>
  <c r="R16" i="28" s="1"/>
  <c r="I16" i="28" s="1"/>
  <c r="P17" i="28"/>
  <c r="R17" i="28" s="1"/>
  <c r="I17" i="28" s="1"/>
  <c r="P18" i="28"/>
  <c r="R18" i="28" s="1"/>
  <c r="I18" i="28" s="1"/>
  <c r="Q10" i="28"/>
  <c r="Q11" i="28"/>
  <c r="Q12" i="28"/>
  <c r="Q13" i="28"/>
  <c r="Q14" i="28"/>
  <c r="Q15" i="28"/>
  <c r="Q16" i="28"/>
  <c r="Q17" i="28"/>
  <c r="Q18" i="28"/>
  <c r="R12" i="28"/>
  <c r="I12" i="28" s="1"/>
  <c r="S10" i="28"/>
  <c r="S11" i="28"/>
  <c r="S12" i="28"/>
  <c r="S13" i="28"/>
  <c r="S14" i="28"/>
  <c r="S15" i="28"/>
  <c r="S16" i="28"/>
  <c r="S17" i="28"/>
  <c r="J11" i="26"/>
  <c r="L11" i="26" s="1"/>
  <c r="J12" i="26"/>
  <c r="J13" i="26"/>
  <c r="K13" i="26" s="1"/>
  <c r="J14" i="26"/>
  <c r="K14" i="26" s="1"/>
  <c r="J15" i="26"/>
  <c r="L15" i="26" s="1"/>
  <c r="J16" i="26"/>
  <c r="J17" i="26"/>
  <c r="K17" i="26" s="1"/>
  <c r="M11" i="26"/>
  <c r="O11" i="26" s="1"/>
  <c r="M12" i="26"/>
  <c r="O12" i="26" s="1"/>
  <c r="M13" i="26"/>
  <c r="M14" i="26"/>
  <c r="M15" i="26"/>
  <c r="N15" i="26" s="1"/>
  <c r="M16" i="26"/>
  <c r="O16" i="26" s="1"/>
  <c r="M17" i="26"/>
  <c r="M18" i="26"/>
  <c r="M19" i="26"/>
  <c r="O19" i="26" s="1"/>
  <c r="M20" i="26"/>
  <c r="O20" i="26" s="1"/>
  <c r="M21" i="26"/>
  <c r="M22" i="26"/>
  <c r="M23" i="26"/>
  <c r="N23" i="26" s="1"/>
  <c r="M24" i="26"/>
  <c r="O24" i="26" s="1"/>
  <c r="M25" i="26"/>
  <c r="M26" i="26"/>
  <c r="M27" i="26"/>
  <c r="O27" i="26" s="1"/>
  <c r="M28" i="26"/>
  <c r="O28" i="26" s="1"/>
  <c r="M29" i="26"/>
  <c r="M30" i="26"/>
  <c r="M31" i="26"/>
  <c r="N31" i="26" s="1"/>
  <c r="M32" i="26"/>
  <c r="O32" i="26" s="1"/>
  <c r="M33" i="26"/>
  <c r="M34" i="26"/>
  <c r="M35" i="26"/>
  <c r="O35" i="26" s="1"/>
  <c r="M36" i="26"/>
  <c r="O36" i="26" s="1"/>
  <c r="M37" i="26"/>
  <c r="M38" i="26"/>
  <c r="M39" i="26"/>
  <c r="N39" i="26" s="1"/>
  <c r="M40" i="26"/>
  <c r="O40" i="26" s="1"/>
  <c r="M41" i="26"/>
  <c r="M42" i="26"/>
  <c r="M43" i="26"/>
  <c r="O43" i="26" s="1"/>
  <c r="M44" i="26"/>
  <c r="O44" i="26" s="1"/>
  <c r="M45" i="26"/>
  <c r="M46" i="26"/>
  <c r="M47" i="26"/>
  <c r="N47" i="26" s="1"/>
  <c r="M48" i="26"/>
  <c r="O48" i="26" s="1"/>
  <c r="M49" i="26"/>
  <c r="M50" i="26"/>
  <c r="M51" i="26"/>
  <c r="O51" i="26" s="1"/>
  <c r="M52" i="26"/>
  <c r="O52" i="26" s="1"/>
  <c r="M53" i="26"/>
  <c r="M54" i="26"/>
  <c r="N11" i="26"/>
  <c r="N12" i="26"/>
  <c r="N14" i="26"/>
  <c r="N16" i="26"/>
  <c r="N18" i="26"/>
  <c r="N20" i="26"/>
  <c r="N22" i="26"/>
  <c r="N24" i="26"/>
  <c r="N26" i="26"/>
  <c r="N27" i="26"/>
  <c r="N28" i="26"/>
  <c r="N30" i="26"/>
  <c r="N32" i="26"/>
  <c r="N34" i="26"/>
  <c r="N38" i="26"/>
  <c r="N40" i="26"/>
  <c r="N42" i="26"/>
  <c r="N43" i="26"/>
  <c r="N44" i="26"/>
  <c r="N46" i="26"/>
  <c r="N48" i="26"/>
  <c r="N50" i="26"/>
  <c r="N54" i="26"/>
  <c r="O14" i="26"/>
  <c r="O18" i="26"/>
  <c r="O22" i="26"/>
  <c r="O26" i="26"/>
  <c r="O30" i="26"/>
  <c r="O34" i="26"/>
  <c r="O38" i="26"/>
  <c r="O42" i="26"/>
  <c r="O46" i="26"/>
  <c r="O50" i="26"/>
  <c r="O54" i="26"/>
  <c r="P11" i="26"/>
  <c r="P12" i="26"/>
  <c r="P13" i="26"/>
  <c r="P14" i="26"/>
  <c r="R14" i="26" s="1"/>
  <c r="I14" i="26" s="1"/>
  <c r="P15" i="26"/>
  <c r="R15" i="26" s="1"/>
  <c r="I15" i="26" s="1"/>
  <c r="P16" i="26"/>
  <c r="R16" i="26" s="1"/>
  <c r="I16" i="26" s="1"/>
  <c r="P17" i="26"/>
  <c r="R17" i="26" s="1"/>
  <c r="I17" i="26" s="1"/>
  <c r="P18" i="26"/>
  <c r="R18" i="26" s="1"/>
  <c r="I18" i="26" s="1"/>
  <c r="Q11" i="26"/>
  <c r="Q12" i="26"/>
  <c r="Q13" i="26"/>
  <c r="Q14" i="26"/>
  <c r="Q15" i="26"/>
  <c r="Q16" i="26"/>
  <c r="Q17" i="26"/>
  <c r="Q18" i="26"/>
  <c r="R11" i="26"/>
  <c r="I11" i="26" s="1"/>
  <c r="R12" i="26"/>
  <c r="I12" i="26" s="1"/>
  <c r="R13" i="26"/>
  <c r="I13" i="26" s="1"/>
  <c r="S11" i="26"/>
  <c r="S12" i="26"/>
  <c r="S13" i="26"/>
  <c r="S14" i="26"/>
  <c r="S15" i="26"/>
  <c r="S16" i="26"/>
  <c r="S17" i="26"/>
  <c r="J14" i="25"/>
  <c r="L14" i="25" s="1"/>
  <c r="J15" i="25"/>
  <c r="K15" i="25" s="1"/>
  <c r="J16" i="25"/>
  <c r="K16" i="25" s="1"/>
  <c r="J17" i="25"/>
  <c r="K17" i="25" s="1"/>
  <c r="M14" i="25"/>
  <c r="M15" i="25"/>
  <c r="M16" i="25"/>
  <c r="N16" i="25" s="1"/>
  <c r="M17" i="25"/>
  <c r="M18" i="25"/>
  <c r="O18" i="25" s="1"/>
  <c r="M19" i="25"/>
  <c r="O19" i="25" s="1"/>
  <c r="M20" i="25"/>
  <c r="N20" i="25" s="1"/>
  <c r="M21" i="25"/>
  <c r="M22" i="25"/>
  <c r="O22" i="25" s="1"/>
  <c r="M23" i="25"/>
  <c r="M24" i="25"/>
  <c r="N24" i="25" s="1"/>
  <c r="M25" i="25"/>
  <c r="M26" i="25"/>
  <c r="N26" i="25" s="1"/>
  <c r="M27" i="25"/>
  <c r="M28" i="25"/>
  <c r="N28" i="25" s="1"/>
  <c r="M29" i="25"/>
  <c r="M30" i="25"/>
  <c r="M31" i="25"/>
  <c r="M32" i="25"/>
  <c r="N32" i="25" s="1"/>
  <c r="M33" i="25"/>
  <c r="M34" i="25"/>
  <c r="O34" i="25" s="1"/>
  <c r="M35" i="25"/>
  <c r="O35" i="25" s="1"/>
  <c r="M36" i="25"/>
  <c r="N36" i="25" s="1"/>
  <c r="M37" i="25"/>
  <c r="M38" i="25"/>
  <c r="O38" i="25" s="1"/>
  <c r="M39" i="25"/>
  <c r="M40" i="25"/>
  <c r="N40" i="25" s="1"/>
  <c r="M41" i="25"/>
  <c r="M42" i="25"/>
  <c r="N42" i="25" s="1"/>
  <c r="M43" i="25"/>
  <c r="M44" i="25"/>
  <c r="N44" i="25" s="1"/>
  <c r="M45" i="25"/>
  <c r="M46" i="25"/>
  <c r="M47" i="25"/>
  <c r="M48" i="25"/>
  <c r="N48" i="25" s="1"/>
  <c r="M49" i="25"/>
  <c r="M50" i="25"/>
  <c r="O50" i="25" s="1"/>
  <c r="M51" i="25"/>
  <c r="O51" i="25" s="1"/>
  <c r="M52" i="25"/>
  <c r="N52" i="25" s="1"/>
  <c r="M53" i="25"/>
  <c r="M54" i="25"/>
  <c r="O54" i="25" s="1"/>
  <c r="N14" i="25"/>
  <c r="N17" i="25"/>
  <c r="N18" i="25"/>
  <c r="N21" i="25"/>
  <c r="N25" i="25"/>
  <c r="N29" i="25"/>
  <c r="N30" i="25"/>
  <c r="N33" i="25"/>
  <c r="N34" i="25"/>
  <c r="N37" i="25"/>
  <c r="N41" i="25"/>
  <c r="N45" i="25"/>
  <c r="N46" i="25"/>
  <c r="N49" i="25"/>
  <c r="N50" i="25"/>
  <c r="N53" i="25"/>
  <c r="O14" i="25"/>
  <c r="O16" i="25"/>
  <c r="O17" i="25"/>
  <c r="O20" i="25"/>
  <c r="O21" i="25"/>
  <c r="O24" i="25"/>
  <c r="O25" i="25"/>
  <c r="O26" i="25"/>
  <c r="O28" i="25"/>
  <c r="O29" i="25"/>
  <c r="O30" i="25"/>
  <c r="O32" i="25"/>
  <c r="O33" i="25"/>
  <c r="O36" i="25"/>
  <c r="O37" i="25"/>
  <c r="O40" i="25"/>
  <c r="O41" i="25"/>
  <c r="O42" i="25"/>
  <c r="O44" i="25"/>
  <c r="O45" i="25"/>
  <c r="O46" i="25"/>
  <c r="O48" i="25"/>
  <c r="O49" i="25"/>
  <c r="O52" i="25"/>
  <c r="O53" i="25"/>
  <c r="P14" i="25"/>
  <c r="R14" i="25" s="1"/>
  <c r="I14" i="25" s="1"/>
  <c r="P15" i="25"/>
  <c r="R15" i="25" s="1"/>
  <c r="I15" i="25" s="1"/>
  <c r="P16" i="25"/>
  <c r="R16" i="25" s="1"/>
  <c r="I16" i="25" s="1"/>
  <c r="P17" i="25"/>
  <c r="R17" i="25" s="1"/>
  <c r="I17" i="25" s="1"/>
  <c r="P18" i="25"/>
  <c r="R18" i="25" s="1"/>
  <c r="I18" i="25" s="1"/>
  <c r="Q14" i="25"/>
  <c r="Q15" i="25"/>
  <c r="Q16" i="25"/>
  <c r="Q17" i="25"/>
  <c r="Q18" i="25"/>
  <c r="S14" i="25"/>
  <c r="S15" i="25"/>
  <c r="S16" i="25"/>
  <c r="S17" i="25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J5" i="25"/>
  <c r="M5" i="25"/>
  <c r="N5" i="25"/>
  <c r="O5" i="25"/>
  <c r="P5" i="25"/>
  <c r="R5" i="25" s="1"/>
  <c r="I5" i="25" s="1"/>
  <c r="Q5" i="25"/>
  <c r="S5" i="25"/>
  <c r="J6" i="25"/>
  <c r="L6" i="25" s="1"/>
  <c r="M6" i="25"/>
  <c r="P6" i="25"/>
  <c r="R6" i="25" s="1"/>
  <c r="I6" i="25" s="1"/>
  <c r="Q6" i="25"/>
  <c r="S6" i="25"/>
  <c r="J7" i="25"/>
  <c r="M7" i="25"/>
  <c r="N7" i="25"/>
  <c r="O7" i="25"/>
  <c r="P7" i="25"/>
  <c r="R7" i="25" s="1"/>
  <c r="I7" i="25" s="1"/>
  <c r="Q7" i="25"/>
  <c r="S7" i="25"/>
  <c r="J8" i="25"/>
  <c r="L8" i="25" s="1"/>
  <c r="M8" i="25"/>
  <c r="P8" i="25"/>
  <c r="R8" i="25" s="1"/>
  <c r="I8" i="25" s="1"/>
  <c r="Q8" i="25"/>
  <c r="S8" i="25"/>
  <c r="J9" i="25"/>
  <c r="M9" i="25"/>
  <c r="N9" i="25"/>
  <c r="O9" i="25"/>
  <c r="P9" i="25"/>
  <c r="R9" i="25" s="1"/>
  <c r="I9" i="25" s="1"/>
  <c r="Q9" i="25"/>
  <c r="S9" i="25"/>
  <c r="J10" i="25"/>
  <c r="L10" i="25" s="1"/>
  <c r="M10" i="25"/>
  <c r="P10" i="25"/>
  <c r="R10" i="25" s="1"/>
  <c r="I10" i="25" s="1"/>
  <c r="Q10" i="25"/>
  <c r="S10" i="25"/>
  <c r="J11" i="25"/>
  <c r="M11" i="25"/>
  <c r="N11" i="25"/>
  <c r="O11" i="25"/>
  <c r="P11" i="25"/>
  <c r="R11" i="25" s="1"/>
  <c r="I11" i="25" s="1"/>
  <c r="Q11" i="25"/>
  <c r="S11" i="25"/>
  <c r="J12" i="25"/>
  <c r="L12" i="25" s="1"/>
  <c r="M12" i="25"/>
  <c r="P12" i="25"/>
  <c r="R12" i="25" s="1"/>
  <c r="I12" i="25" s="1"/>
  <c r="Q12" i="25"/>
  <c r="S12" i="25"/>
  <c r="J13" i="25"/>
  <c r="M13" i="25"/>
  <c r="N13" i="25"/>
  <c r="O13" i="25"/>
  <c r="P13" i="25"/>
  <c r="R13" i="25" s="1"/>
  <c r="I13" i="25" s="1"/>
  <c r="Q13" i="25"/>
  <c r="S13" i="25"/>
  <c r="J20" i="29"/>
  <c r="J24" i="29"/>
  <c r="J28" i="29"/>
  <c r="J32" i="29"/>
  <c r="J36" i="29"/>
  <c r="J40" i="29"/>
  <c r="J44" i="29"/>
  <c r="J48" i="29"/>
  <c r="J52" i="29"/>
  <c r="J21" i="29"/>
  <c r="J25" i="29"/>
  <c r="J29" i="29"/>
  <c r="J33" i="29"/>
  <c r="J37" i="29"/>
  <c r="J41" i="29"/>
  <c r="J45" i="29"/>
  <c r="J49" i="29"/>
  <c r="J53" i="29"/>
  <c r="J18" i="29"/>
  <c r="J26" i="29"/>
  <c r="J34" i="29"/>
  <c r="J42" i="29"/>
  <c r="J50" i="29"/>
  <c r="S19" i="29"/>
  <c r="S23" i="29"/>
  <c r="S27" i="29"/>
  <c r="S31" i="29"/>
  <c r="S35" i="29"/>
  <c r="S39" i="29"/>
  <c r="S43" i="29"/>
  <c r="S47" i="29"/>
  <c r="S51" i="29"/>
  <c r="J19" i="29"/>
  <c r="J27" i="29"/>
  <c r="J35" i="29"/>
  <c r="J43" i="29"/>
  <c r="J51" i="29"/>
  <c r="S20" i="29"/>
  <c r="S24" i="29"/>
  <c r="S28" i="29"/>
  <c r="S32" i="29"/>
  <c r="S36" i="29"/>
  <c r="S40" i="29"/>
  <c r="S44" i="29"/>
  <c r="S48" i="29"/>
  <c r="S52" i="29"/>
  <c r="J22" i="29"/>
  <c r="J30" i="29"/>
  <c r="J38" i="29"/>
  <c r="J46" i="29"/>
  <c r="J54" i="29"/>
  <c r="J31" i="29"/>
  <c r="S18" i="29"/>
  <c r="S26" i="29"/>
  <c r="S34" i="29"/>
  <c r="S42" i="29"/>
  <c r="S50" i="29"/>
  <c r="J39" i="29"/>
  <c r="S21" i="29"/>
  <c r="S29" i="29"/>
  <c r="S45" i="29"/>
  <c r="S53" i="29"/>
  <c r="S30" i="29"/>
  <c r="S54" i="29"/>
  <c r="S25" i="29"/>
  <c r="S33" i="29"/>
  <c r="S41" i="29"/>
  <c r="S49" i="29"/>
  <c r="S37" i="29"/>
  <c r="J47" i="29"/>
  <c r="S22" i="29"/>
  <c r="S38" i="29"/>
  <c r="S46" i="29"/>
  <c r="J23" i="29"/>
  <c r="J20" i="28"/>
  <c r="J24" i="28"/>
  <c r="J28" i="28"/>
  <c r="J32" i="28"/>
  <c r="J36" i="28"/>
  <c r="J40" i="28"/>
  <c r="J44" i="28"/>
  <c r="J48" i="28"/>
  <c r="J52" i="28"/>
  <c r="S19" i="28"/>
  <c r="S23" i="28"/>
  <c r="S27" i="28"/>
  <c r="S31" i="28"/>
  <c r="J21" i="28"/>
  <c r="J25" i="28"/>
  <c r="J29" i="28"/>
  <c r="J33" i="28"/>
  <c r="J37" i="28"/>
  <c r="J41" i="28"/>
  <c r="J45" i="28"/>
  <c r="J49" i="28"/>
  <c r="J53" i="28"/>
  <c r="J18" i="28"/>
  <c r="J22" i="28"/>
  <c r="J26" i="28"/>
  <c r="J30" i="28"/>
  <c r="J34" i="28"/>
  <c r="J38" i="28"/>
  <c r="J42" i="28"/>
  <c r="J46" i="28"/>
  <c r="J50" i="28"/>
  <c r="J54" i="28"/>
  <c r="S21" i="28"/>
  <c r="S25" i="28"/>
  <c r="S29" i="28"/>
  <c r="S33" i="28"/>
  <c r="J27" i="28"/>
  <c r="J43" i="28"/>
  <c r="S20" i="28"/>
  <c r="S28" i="28"/>
  <c r="S35" i="28"/>
  <c r="S39" i="28"/>
  <c r="S43" i="28"/>
  <c r="S47" i="28"/>
  <c r="S51" i="28"/>
  <c r="J39" i="28"/>
  <c r="S18" i="28"/>
  <c r="S38" i="28"/>
  <c r="S50" i="28"/>
  <c r="J31" i="28"/>
  <c r="J47" i="28"/>
  <c r="S22" i="28"/>
  <c r="S30" i="28"/>
  <c r="S36" i="28"/>
  <c r="S40" i="28"/>
  <c r="S44" i="28"/>
  <c r="S48" i="28"/>
  <c r="S52" i="28"/>
  <c r="J23" i="28"/>
  <c r="S26" i="28"/>
  <c r="S42" i="28"/>
  <c r="S54" i="28"/>
  <c r="J19" i="28"/>
  <c r="J35" i="28"/>
  <c r="J51" i="28"/>
  <c r="S24" i="28"/>
  <c r="S32" i="28"/>
  <c r="S37" i="28"/>
  <c r="S41" i="28"/>
  <c r="S45" i="28"/>
  <c r="S49" i="28"/>
  <c r="S53" i="28"/>
  <c r="S34" i="28"/>
  <c r="S46" i="28"/>
  <c r="J21" i="26"/>
  <c r="J25" i="26"/>
  <c r="J29" i="26"/>
  <c r="J33" i="26"/>
  <c r="J37" i="26"/>
  <c r="J41" i="26"/>
  <c r="J45" i="26"/>
  <c r="J49" i="26"/>
  <c r="J53" i="26"/>
  <c r="J18" i="26"/>
  <c r="J22" i="26"/>
  <c r="J26" i="26"/>
  <c r="J30" i="26"/>
  <c r="J34" i="26"/>
  <c r="J38" i="26"/>
  <c r="J42" i="26"/>
  <c r="J46" i="26"/>
  <c r="J50" i="26"/>
  <c r="J54" i="26"/>
  <c r="J19" i="26"/>
  <c r="J23" i="26"/>
  <c r="J27" i="26"/>
  <c r="J31" i="26"/>
  <c r="J35" i="26"/>
  <c r="J39" i="26"/>
  <c r="J43" i="26"/>
  <c r="J47" i="26"/>
  <c r="J51" i="26"/>
  <c r="J32" i="26"/>
  <c r="J48" i="26"/>
  <c r="S19" i="26"/>
  <c r="S23" i="26"/>
  <c r="S27" i="26"/>
  <c r="S31" i="26"/>
  <c r="S35" i="26"/>
  <c r="S39" i="26"/>
  <c r="S43" i="26"/>
  <c r="S47" i="26"/>
  <c r="S51" i="26"/>
  <c r="J44" i="26"/>
  <c r="S22" i="26"/>
  <c r="S34" i="26"/>
  <c r="S42" i="26"/>
  <c r="S54" i="26"/>
  <c r="J20" i="26"/>
  <c r="J36" i="26"/>
  <c r="J52" i="26"/>
  <c r="S20" i="26"/>
  <c r="S24" i="26"/>
  <c r="S28" i="26"/>
  <c r="S32" i="26"/>
  <c r="S36" i="26"/>
  <c r="S40" i="26"/>
  <c r="S44" i="26"/>
  <c r="S48" i="26"/>
  <c r="S52" i="26"/>
  <c r="J28" i="26"/>
  <c r="S18" i="26"/>
  <c r="S30" i="26"/>
  <c r="S38" i="26"/>
  <c r="S46" i="26"/>
  <c r="J24" i="26"/>
  <c r="J40" i="26"/>
  <c r="S21" i="26"/>
  <c r="S25" i="26"/>
  <c r="S29" i="26"/>
  <c r="S33" i="26"/>
  <c r="S37" i="26"/>
  <c r="S41" i="26"/>
  <c r="S45" i="26"/>
  <c r="S49" i="26"/>
  <c r="S53" i="26"/>
  <c r="S26" i="26"/>
  <c r="S50" i="26"/>
  <c r="J20" i="25"/>
  <c r="J24" i="25"/>
  <c r="J28" i="25"/>
  <c r="J32" i="25"/>
  <c r="J36" i="25"/>
  <c r="J40" i="25"/>
  <c r="J44" i="25"/>
  <c r="J48" i="25"/>
  <c r="J52" i="25"/>
  <c r="J22" i="25"/>
  <c r="J27" i="25"/>
  <c r="J33" i="25"/>
  <c r="J38" i="25"/>
  <c r="J43" i="25"/>
  <c r="J49" i="25"/>
  <c r="J54" i="25"/>
  <c r="S21" i="25"/>
  <c r="S25" i="25"/>
  <c r="S29" i="25"/>
  <c r="S33" i="25"/>
  <c r="S37" i="25"/>
  <c r="S41" i="25"/>
  <c r="S45" i="25"/>
  <c r="S49" i="25"/>
  <c r="S53" i="25"/>
  <c r="S38" i="25"/>
  <c r="S42" i="25"/>
  <c r="S46" i="25"/>
  <c r="S50" i="25"/>
  <c r="S54" i="25"/>
  <c r="J25" i="25"/>
  <c r="J35" i="25"/>
  <c r="J46" i="25"/>
  <c r="S23" i="25"/>
  <c r="S31" i="25"/>
  <c r="J18" i="25"/>
  <c r="J23" i="25"/>
  <c r="J29" i="25"/>
  <c r="J34" i="25"/>
  <c r="J39" i="25"/>
  <c r="J45" i="25"/>
  <c r="J50" i="25"/>
  <c r="S18" i="25"/>
  <c r="S22" i="25"/>
  <c r="S26" i="25"/>
  <c r="S30" i="25"/>
  <c r="S34" i="25"/>
  <c r="J19" i="25"/>
  <c r="J30" i="25"/>
  <c r="J41" i="25"/>
  <c r="J51" i="25"/>
  <c r="S19" i="25"/>
  <c r="S27" i="25"/>
  <c r="J21" i="25"/>
  <c r="J42" i="25"/>
  <c r="S24" i="25"/>
  <c r="S36" i="25"/>
  <c r="S44" i="25"/>
  <c r="S52" i="25"/>
  <c r="J53" i="25"/>
  <c r="S32" i="25"/>
  <c r="S48" i="25"/>
  <c r="J37" i="25"/>
  <c r="S20" i="25"/>
  <c r="S43" i="25"/>
  <c r="J26" i="25"/>
  <c r="J47" i="25"/>
  <c r="S28" i="25"/>
  <c r="S39" i="25"/>
  <c r="S47" i="25"/>
  <c r="J31" i="25"/>
  <c r="S40" i="25"/>
  <c r="S35" i="25"/>
  <c r="S51" i="25"/>
  <c r="L14" i="28" l="1"/>
  <c r="K14" i="29"/>
  <c r="L13" i="29"/>
  <c r="L16" i="28"/>
  <c r="L17" i="29"/>
  <c r="K23" i="29"/>
  <c r="L23" i="29"/>
  <c r="K47" i="29"/>
  <c r="L47" i="29"/>
  <c r="K39" i="29"/>
  <c r="L39" i="29"/>
  <c r="K31" i="29"/>
  <c r="L31" i="29"/>
  <c r="L54" i="29"/>
  <c r="K54" i="29"/>
  <c r="L46" i="29"/>
  <c r="K46" i="29"/>
  <c r="L38" i="29"/>
  <c r="K38" i="29"/>
  <c r="L30" i="29"/>
  <c r="K30" i="29"/>
  <c r="L22" i="29"/>
  <c r="K22" i="29"/>
  <c r="K51" i="29"/>
  <c r="L51" i="29"/>
  <c r="K43" i="29"/>
  <c r="L43" i="29"/>
  <c r="K35" i="29"/>
  <c r="L35" i="29"/>
  <c r="K27" i="29"/>
  <c r="L27" i="29"/>
  <c r="K19" i="29"/>
  <c r="L19" i="29"/>
  <c r="L50" i="29"/>
  <c r="K50" i="29"/>
  <c r="L42" i="29"/>
  <c r="K42" i="29"/>
  <c r="L34" i="29"/>
  <c r="K34" i="29"/>
  <c r="L26" i="29"/>
  <c r="K26" i="29"/>
  <c r="L18" i="29"/>
  <c r="K18" i="29"/>
  <c r="L53" i="29"/>
  <c r="K53" i="29"/>
  <c r="K49" i="29"/>
  <c r="L49" i="29"/>
  <c r="L45" i="29"/>
  <c r="K45" i="29"/>
  <c r="K41" i="29"/>
  <c r="L41" i="29"/>
  <c r="L37" i="29"/>
  <c r="K37" i="29"/>
  <c r="K33" i="29"/>
  <c r="L33" i="29"/>
  <c r="L29" i="29"/>
  <c r="K29" i="29"/>
  <c r="K25" i="29"/>
  <c r="L25" i="29"/>
  <c r="L21" i="29"/>
  <c r="K21" i="29"/>
  <c r="K52" i="29"/>
  <c r="L52" i="29"/>
  <c r="K48" i="29"/>
  <c r="L48" i="29"/>
  <c r="K44" i="29"/>
  <c r="L44" i="29"/>
  <c r="K40" i="29"/>
  <c r="L40" i="29"/>
  <c r="K36" i="29"/>
  <c r="L36" i="29"/>
  <c r="K32" i="29"/>
  <c r="L32" i="29"/>
  <c r="K28" i="29"/>
  <c r="L28" i="29"/>
  <c r="K24" i="29"/>
  <c r="L24" i="29"/>
  <c r="K20" i="29"/>
  <c r="L20" i="29"/>
  <c r="O23" i="29"/>
  <c r="N23" i="29"/>
  <c r="O19" i="29"/>
  <c r="N19" i="29"/>
  <c r="O11" i="29"/>
  <c r="N11" i="29"/>
  <c r="N15" i="29"/>
  <c r="N31" i="29"/>
  <c r="O51" i="29"/>
  <c r="N51" i="29"/>
  <c r="O43" i="29"/>
  <c r="N43" i="29"/>
  <c r="O39" i="29"/>
  <c r="N39" i="29"/>
  <c r="O35" i="29"/>
  <c r="N35" i="29"/>
  <c r="O27" i="29"/>
  <c r="N27" i="29"/>
  <c r="N47" i="29"/>
  <c r="K15" i="29"/>
  <c r="L15" i="29"/>
  <c r="K11" i="29"/>
  <c r="L11" i="29"/>
  <c r="N52" i="29"/>
  <c r="O52" i="29"/>
  <c r="N48" i="29"/>
  <c r="O48" i="29"/>
  <c r="N44" i="29"/>
  <c r="O44" i="29"/>
  <c r="N40" i="29"/>
  <c r="O40" i="29"/>
  <c r="N36" i="29"/>
  <c r="O36" i="29"/>
  <c r="N32" i="29"/>
  <c r="O32" i="29"/>
  <c r="N28" i="29"/>
  <c r="O28" i="29"/>
  <c r="N24" i="29"/>
  <c r="O24" i="29"/>
  <c r="N20" i="29"/>
  <c r="O20" i="29"/>
  <c r="N16" i="29"/>
  <c r="O16" i="29"/>
  <c r="N12" i="29"/>
  <c r="O12" i="29"/>
  <c r="L13" i="28"/>
  <c r="K12" i="28"/>
  <c r="O47" i="26"/>
  <c r="O39" i="26"/>
  <c r="O31" i="26"/>
  <c r="O23" i="26"/>
  <c r="O15" i="26"/>
  <c r="N52" i="26"/>
  <c r="N36" i="26"/>
  <c r="K11" i="26"/>
  <c r="L17" i="28"/>
  <c r="N51" i="26"/>
  <c r="N35" i="26"/>
  <c r="N19" i="26"/>
  <c r="K51" i="28"/>
  <c r="L51" i="28"/>
  <c r="K35" i="28"/>
  <c r="L35" i="28"/>
  <c r="K19" i="28"/>
  <c r="L19" i="28"/>
  <c r="K23" i="28"/>
  <c r="L23" i="28"/>
  <c r="K47" i="28"/>
  <c r="L47" i="28"/>
  <c r="K31" i="28"/>
  <c r="L31" i="28"/>
  <c r="K39" i="28"/>
  <c r="L39" i="28"/>
  <c r="K43" i="28"/>
  <c r="L43" i="28"/>
  <c r="K27" i="28"/>
  <c r="L27" i="28"/>
  <c r="L54" i="28"/>
  <c r="K54" i="28"/>
  <c r="L50" i="28"/>
  <c r="K50" i="28"/>
  <c r="L46" i="28"/>
  <c r="K46" i="28"/>
  <c r="L42" i="28"/>
  <c r="K42" i="28"/>
  <c r="L38" i="28"/>
  <c r="K38" i="28"/>
  <c r="L34" i="28"/>
  <c r="K34" i="28"/>
  <c r="L30" i="28"/>
  <c r="K30" i="28"/>
  <c r="L26" i="28"/>
  <c r="K26" i="28"/>
  <c r="L22" i="28"/>
  <c r="K22" i="28"/>
  <c r="L18" i="28"/>
  <c r="K18" i="28"/>
  <c r="K53" i="28"/>
  <c r="L53" i="28"/>
  <c r="K49" i="28"/>
  <c r="L49" i="28"/>
  <c r="K45" i="28"/>
  <c r="L45" i="28"/>
  <c r="K41" i="28"/>
  <c r="L41" i="28"/>
  <c r="K37" i="28"/>
  <c r="L37" i="28"/>
  <c r="K33" i="28"/>
  <c r="L33" i="28"/>
  <c r="K29" i="28"/>
  <c r="L29" i="28"/>
  <c r="K25" i="28"/>
  <c r="L25" i="28"/>
  <c r="K21" i="28"/>
  <c r="L21" i="28"/>
  <c r="K52" i="28"/>
  <c r="L52" i="28"/>
  <c r="K48" i="28"/>
  <c r="L48" i="28"/>
  <c r="K44" i="28"/>
  <c r="L44" i="28"/>
  <c r="K40" i="28"/>
  <c r="L40" i="28"/>
  <c r="K36" i="28"/>
  <c r="L36" i="28"/>
  <c r="K32" i="28"/>
  <c r="L32" i="28"/>
  <c r="K28" i="28"/>
  <c r="L28" i="28"/>
  <c r="K24" i="28"/>
  <c r="L24" i="28"/>
  <c r="K20" i="28"/>
  <c r="L20" i="28"/>
  <c r="K15" i="28"/>
  <c r="L15" i="28"/>
  <c r="K11" i="28"/>
  <c r="L11" i="28"/>
  <c r="L17" i="26"/>
  <c r="N52" i="28"/>
  <c r="O52" i="28"/>
  <c r="N48" i="28"/>
  <c r="O48" i="28"/>
  <c r="N44" i="28"/>
  <c r="O44" i="28"/>
  <c r="N40" i="28"/>
  <c r="O40" i="28"/>
  <c r="N36" i="28"/>
  <c r="O36" i="28"/>
  <c r="N32" i="28"/>
  <c r="O32" i="28"/>
  <c r="N28" i="28"/>
  <c r="O28" i="28"/>
  <c r="N24" i="28"/>
  <c r="O24" i="28"/>
  <c r="N20" i="28"/>
  <c r="O20" i="28"/>
  <c r="N16" i="28"/>
  <c r="O16" i="28"/>
  <c r="N12" i="28"/>
  <c r="O12" i="28"/>
  <c r="K8" i="25"/>
  <c r="L14" i="26"/>
  <c r="K15" i="26"/>
  <c r="K14" i="25"/>
  <c r="L13" i="26"/>
  <c r="K40" i="26"/>
  <c r="L40" i="26"/>
  <c r="K24" i="26"/>
  <c r="L24" i="26"/>
  <c r="K28" i="26"/>
  <c r="L28" i="26"/>
  <c r="K52" i="26"/>
  <c r="L52" i="26"/>
  <c r="K36" i="26"/>
  <c r="L36" i="26"/>
  <c r="K20" i="26"/>
  <c r="L20" i="26"/>
  <c r="K44" i="26"/>
  <c r="L44" i="26"/>
  <c r="K48" i="26"/>
  <c r="L48" i="26"/>
  <c r="K32" i="26"/>
  <c r="L32" i="26"/>
  <c r="L51" i="26"/>
  <c r="K51" i="26"/>
  <c r="L47" i="26"/>
  <c r="K47" i="26"/>
  <c r="L43" i="26"/>
  <c r="K43" i="26"/>
  <c r="L39" i="26"/>
  <c r="K39" i="26"/>
  <c r="L35" i="26"/>
  <c r="K35" i="26"/>
  <c r="L31" i="26"/>
  <c r="K31" i="26"/>
  <c r="L27" i="26"/>
  <c r="K27" i="26"/>
  <c r="L23" i="26"/>
  <c r="K23" i="26"/>
  <c r="L19" i="26"/>
  <c r="K19" i="26"/>
  <c r="K54" i="26"/>
  <c r="L54" i="26"/>
  <c r="K50" i="26"/>
  <c r="L50" i="26"/>
  <c r="K46" i="26"/>
  <c r="L46" i="26"/>
  <c r="K42" i="26"/>
  <c r="L42" i="26"/>
  <c r="K38" i="26"/>
  <c r="L38" i="26"/>
  <c r="K34" i="26"/>
  <c r="L34" i="26"/>
  <c r="K30" i="26"/>
  <c r="L30" i="26"/>
  <c r="K26" i="26"/>
  <c r="L26" i="26"/>
  <c r="K22" i="26"/>
  <c r="L22" i="26"/>
  <c r="K18" i="26"/>
  <c r="L18" i="26"/>
  <c r="K53" i="26"/>
  <c r="L53" i="26"/>
  <c r="K49" i="26"/>
  <c r="L49" i="26"/>
  <c r="K45" i="26"/>
  <c r="L45" i="26"/>
  <c r="K41" i="26"/>
  <c r="L41" i="26"/>
  <c r="K37" i="26"/>
  <c r="L37" i="26"/>
  <c r="K33" i="26"/>
  <c r="L33" i="26"/>
  <c r="K29" i="26"/>
  <c r="L29" i="26"/>
  <c r="K25" i="26"/>
  <c r="L25" i="26"/>
  <c r="K21" i="26"/>
  <c r="L21" i="26"/>
  <c r="L16" i="25"/>
  <c r="K12" i="26"/>
  <c r="L12" i="26"/>
  <c r="K16" i="26"/>
  <c r="L16" i="26"/>
  <c r="N53" i="26"/>
  <c r="O53" i="26"/>
  <c r="N49" i="26"/>
  <c r="O49" i="26"/>
  <c r="N45" i="26"/>
  <c r="O45" i="26"/>
  <c r="N41" i="26"/>
  <c r="O41" i="26"/>
  <c r="N37" i="26"/>
  <c r="O37" i="26"/>
  <c r="N33" i="26"/>
  <c r="O33" i="26"/>
  <c r="N29" i="26"/>
  <c r="O29" i="26"/>
  <c r="N25" i="26"/>
  <c r="O25" i="26"/>
  <c r="N21" i="26"/>
  <c r="O21" i="26"/>
  <c r="N17" i="26"/>
  <c r="O17" i="26"/>
  <c r="N13" i="26"/>
  <c r="O13" i="26"/>
  <c r="L17" i="25"/>
  <c r="K12" i="25"/>
  <c r="K6" i="25"/>
  <c r="K10" i="25"/>
  <c r="K31" i="25"/>
  <c r="L31" i="25"/>
  <c r="K47" i="25"/>
  <c r="L47" i="25"/>
  <c r="L26" i="25"/>
  <c r="K26" i="25"/>
  <c r="L37" i="25"/>
  <c r="K37" i="25"/>
  <c r="K53" i="25"/>
  <c r="L53" i="25"/>
  <c r="L42" i="25"/>
  <c r="K42" i="25"/>
  <c r="K21" i="25"/>
  <c r="L21" i="25"/>
  <c r="K51" i="25"/>
  <c r="L51" i="25"/>
  <c r="L41" i="25"/>
  <c r="K41" i="25"/>
  <c r="L30" i="25"/>
  <c r="K30" i="25"/>
  <c r="K19" i="25"/>
  <c r="L19" i="25"/>
  <c r="L50" i="25"/>
  <c r="K50" i="25"/>
  <c r="K45" i="25"/>
  <c r="L45" i="25"/>
  <c r="K39" i="25"/>
  <c r="L39" i="25"/>
  <c r="L34" i="25"/>
  <c r="K34" i="25"/>
  <c r="K29" i="25"/>
  <c r="L29" i="25"/>
  <c r="K23" i="25"/>
  <c r="L23" i="25"/>
  <c r="L18" i="25"/>
  <c r="K18" i="25"/>
  <c r="L46" i="25"/>
  <c r="K46" i="25"/>
  <c r="K35" i="25"/>
  <c r="L35" i="25"/>
  <c r="L25" i="25"/>
  <c r="K25" i="25"/>
  <c r="L54" i="25"/>
  <c r="K54" i="25"/>
  <c r="L49" i="25"/>
  <c r="K49" i="25"/>
  <c r="K43" i="25"/>
  <c r="L43" i="25"/>
  <c r="L38" i="25"/>
  <c r="K38" i="25"/>
  <c r="L33" i="25"/>
  <c r="K33" i="25"/>
  <c r="K27" i="25"/>
  <c r="L27" i="25"/>
  <c r="L22" i="25"/>
  <c r="K22" i="25"/>
  <c r="L52" i="25"/>
  <c r="K52" i="25"/>
  <c r="L48" i="25"/>
  <c r="K48" i="25"/>
  <c r="L44" i="25"/>
  <c r="K44" i="25"/>
  <c r="K40" i="25"/>
  <c r="L40" i="25"/>
  <c r="L36" i="25"/>
  <c r="K36" i="25"/>
  <c r="K32" i="25"/>
  <c r="L32" i="25"/>
  <c r="L28" i="25"/>
  <c r="K28" i="25"/>
  <c r="K24" i="25"/>
  <c r="L24" i="25"/>
  <c r="L20" i="25"/>
  <c r="K20" i="25"/>
  <c r="N8" i="25"/>
  <c r="O8" i="25"/>
  <c r="O43" i="25"/>
  <c r="N43" i="25"/>
  <c r="O27" i="25"/>
  <c r="N27" i="25"/>
  <c r="O23" i="25"/>
  <c r="N23" i="25"/>
  <c r="O15" i="25"/>
  <c r="N15" i="25"/>
  <c r="L13" i="25"/>
  <c r="K13" i="25"/>
  <c r="N10" i="25"/>
  <c r="O10" i="25"/>
  <c r="L5" i="25"/>
  <c r="K5" i="25"/>
  <c r="N12" i="25"/>
  <c r="O12" i="25"/>
  <c r="L7" i="25"/>
  <c r="K7" i="25"/>
  <c r="N35" i="25"/>
  <c r="L11" i="25"/>
  <c r="K11" i="25"/>
  <c r="O47" i="25"/>
  <c r="N47" i="25"/>
  <c r="O39" i="25"/>
  <c r="N39" i="25"/>
  <c r="O31" i="25"/>
  <c r="N31" i="25"/>
  <c r="N19" i="25"/>
  <c r="L9" i="25"/>
  <c r="K9" i="25"/>
  <c r="N6" i="25"/>
  <c r="O6" i="25"/>
  <c r="N51" i="25"/>
  <c r="N54" i="25"/>
  <c r="N38" i="25"/>
  <c r="N22" i="25"/>
  <c r="L15" i="25"/>
  <c r="G3" i="15"/>
  <c r="H71" i="2"/>
  <c r="N71" i="2" s="1"/>
  <c r="I71" i="2"/>
  <c r="J71" i="2"/>
  <c r="K71" i="2"/>
  <c r="L71" i="2"/>
  <c r="M71" i="2"/>
  <c r="O71" i="2" s="1"/>
  <c r="P71" i="2"/>
  <c r="Q71" i="2"/>
  <c r="R71" i="2"/>
  <c r="S71" i="2"/>
  <c r="H70" i="2"/>
  <c r="I70" i="2"/>
  <c r="J70" i="2"/>
  <c r="K70" i="2"/>
  <c r="L70" i="2"/>
  <c r="M70" i="2"/>
  <c r="P70" i="2"/>
  <c r="Q70" i="2"/>
  <c r="R70" i="2"/>
  <c r="S70" i="2"/>
  <c r="H69" i="2"/>
  <c r="I69" i="2"/>
  <c r="J69" i="2"/>
  <c r="K69" i="2"/>
  <c r="L69" i="2"/>
  <c r="M69" i="2"/>
  <c r="P69" i="2"/>
  <c r="Q69" i="2"/>
  <c r="R69" i="2"/>
  <c r="S69" i="2"/>
  <c r="C18" i="16"/>
  <c r="O28" i="4"/>
  <c r="O29" i="4"/>
  <c r="O30" i="4"/>
  <c r="O31" i="4"/>
  <c r="O32" i="4"/>
  <c r="S9" i="29"/>
  <c r="Q9" i="29"/>
  <c r="P9" i="29"/>
  <c r="R9" i="29" s="1"/>
  <c r="I9" i="29" s="1"/>
  <c r="M9" i="29"/>
  <c r="O9" i="29" s="1"/>
  <c r="J9" i="29"/>
  <c r="L9" i="29" s="1"/>
  <c r="S8" i="29"/>
  <c r="Q8" i="29"/>
  <c r="P8" i="29"/>
  <c r="R8" i="29" s="1"/>
  <c r="I8" i="29" s="1"/>
  <c r="M8" i="29"/>
  <c r="O8" i="29" s="1"/>
  <c r="J8" i="29"/>
  <c r="K8" i="29" s="1"/>
  <c r="S7" i="29"/>
  <c r="Q7" i="29"/>
  <c r="P7" i="29"/>
  <c r="R7" i="29" s="1"/>
  <c r="I7" i="29" s="1"/>
  <c r="M7" i="29"/>
  <c r="O7" i="29" s="1"/>
  <c r="J7" i="29"/>
  <c r="K7" i="29" s="1"/>
  <c r="S6" i="29"/>
  <c r="Q6" i="29"/>
  <c r="P6" i="29"/>
  <c r="R6" i="29" s="1"/>
  <c r="I6" i="29" s="1"/>
  <c r="M6" i="29"/>
  <c r="O6" i="29" s="1"/>
  <c r="J6" i="29"/>
  <c r="K6" i="29" s="1"/>
  <c r="S5" i="29"/>
  <c r="Q5" i="29"/>
  <c r="P5" i="29"/>
  <c r="R5" i="29" s="1"/>
  <c r="I5" i="29" s="1"/>
  <c r="M5" i="29"/>
  <c r="O5" i="29" s="1"/>
  <c r="J5" i="29"/>
  <c r="K5" i="29" s="1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68" i="2"/>
  <c r="I68" i="2"/>
  <c r="J68" i="2"/>
  <c r="K68" i="2"/>
  <c r="L68" i="2"/>
  <c r="M68" i="2"/>
  <c r="P68" i="2"/>
  <c r="Q68" i="2"/>
  <c r="R68" i="2"/>
  <c r="S68" i="2"/>
  <c r="AH28" i="16"/>
  <c r="AK28" i="16" s="1"/>
  <c r="AH24" i="16"/>
  <c r="AK24" i="16" s="1"/>
  <c r="AH25" i="16"/>
  <c r="AK25" i="16" s="1"/>
  <c r="AH26" i="16"/>
  <c r="AK26" i="16" s="1"/>
  <c r="AH27" i="16"/>
  <c r="AK27" i="16" s="1"/>
  <c r="C17" i="16"/>
  <c r="N28" i="4"/>
  <c r="N29" i="4"/>
  <c r="N30" i="4"/>
  <c r="N31" i="4"/>
  <c r="N32" i="4"/>
  <c r="M27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B32" i="4"/>
  <c r="C32" i="4"/>
  <c r="D32" i="4"/>
  <c r="E32" i="4"/>
  <c r="F32" i="4"/>
  <c r="G32" i="4"/>
  <c r="H32" i="4"/>
  <c r="I32" i="4"/>
  <c r="J32" i="4"/>
  <c r="L32" i="4"/>
  <c r="M32" i="4"/>
  <c r="B31" i="4"/>
  <c r="C31" i="4"/>
  <c r="D31" i="4"/>
  <c r="E31" i="4"/>
  <c r="F31" i="4"/>
  <c r="G31" i="4"/>
  <c r="H31" i="4"/>
  <c r="I31" i="4"/>
  <c r="J31" i="4"/>
  <c r="L31" i="4"/>
  <c r="M31" i="4"/>
  <c r="B30" i="4"/>
  <c r="C30" i="4"/>
  <c r="D30" i="4"/>
  <c r="E30" i="4"/>
  <c r="F30" i="4"/>
  <c r="G30" i="4"/>
  <c r="H30" i="4"/>
  <c r="I30" i="4"/>
  <c r="J30" i="4"/>
  <c r="L30" i="4"/>
  <c r="M30" i="4"/>
  <c r="B29" i="4"/>
  <c r="C29" i="4"/>
  <c r="D29" i="4"/>
  <c r="E29" i="4"/>
  <c r="F29" i="4"/>
  <c r="G29" i="4"/>
  <c r="H29" i="4"/>
  <c r="I29" i="4"/>
  <c r="J29" i="4"/>
  <c r="L29" i="4"/>
  <c r="M29" i="4"/>
  <c r="B28" i="4"/>
  <c r="C28" i="4"/>
  <c r="D28" i="4"/>
  <c r="E28" i="4"/>
  <c r="F28" i="4"/>
  <c r="G28" i="4"/>
  <c r="H28" i="4"/>
  <c r="I28" i="4"/>
  <c r="J28" i="4"/>
  <c r="L28" i="4"/>
  <c r="M28" i="4"/>
  <c r="J9" i="28"/>
  <c r="L9" i="28" s="1"/>
  <c r="M9" i="28"/>
  <c r="N9" i="28" s="1"/>
  <c r="P9" i="28"/>
  <c r="R9" i="28" s="1"/>
  <c r="I9" i="28" s="1"/>
  <c r="Q9" i="28"/>
  <c r="S9" i="28"/>
  <c r="J8" i="28"/>
  <c r="L8" i="28" s="1"/>
  <c r="M8" i="28"/>
  <c r="N8" i="28" s="1"/>
  <c r="P8" i="28"/>
  <c r="R8" i="28" s="1"/>
  <c r="I8" i="28" s="1"/>
  <c r="Q8" i="28"/>
  <c r="S8" i="28"/>
  <c r="J7" i="28"/>
  <c r="K7" i="28" s="1"/>
  <c r="M7" i="28"/>
  <c r="N7" i="28" s="1"/>
  <c r="P7" i="28"/>
  <c r="R7" i="28" s="1"/>
  <c r="I7" i="28" s="1"/>
  <c r="Q7" i="28"/>
  <c r="S7" i="28"/>
  <c r="J6" i="28"/>
  <c r="L6" i="28" s="1"/>
  <c r="M6" i="28"/>
  <c r="N6" i="28" s="1"/>
  <c r="P6" i="28"/>
  <c r="R6" i="28" s="1"/>
  <c r="I6" i="28" s="1"/>
  <c r="Q6" i="28"/>
  <c r="S6" i="28"/>
  <c r="J10" i="26"/>
  <c r="L10" i="26" s="1"/>
  <c r="M10" i="26"/>
  <c r="O10" i="26" s="1"/>
  <c r="P10" i="26"/>
  <c r="R10" i="26" s="1"/>
  <c r="I10" i="26" s="1"/>
  <c r="Q10" i="26"/>
  <c r="S10" i="26"/>
  <c r="J9" i="26"/>
  <c r="L9" i="26" s="1"/>
  <c r="M9" i="26"/>
  <c r="O9" i="26" s="1"/>
  <c r="P9" i="26"/>
  <c r="R9" i="26" s="1"/>
  <c r="I9" i="26" s="1"/>
  <c r="Q9" i="26"/>
  <c r="S9" i="26"/>
  <c r="J8" i="26"/>
  <c r="K8" i="26" s="1"/>
  <c r="M8" i="26"/>
  <c r="N8" i="26" s="1"/>
  <c r="P8" i="26"/>
  <c r="R8" i="26" s="1"/>
  <c r="I8" i="26" s="1"/>
  <c r="Q8" i="26"/>
  <c r="S8" i="26"/>
  <c r="J7" i="26"/>
  <c r="L7" i="26" s="1"/>
  <c r="M7" i="26"/>
  <c r="N7" i="26" s="1"/>
  <c r="P7" i="26"/>
  <c r="R7" i="26" s="1"/>
  <c r="I7" i="26" s="1"/>
  <c r="Q7" i="26"/>
  <c r="S7" i="26"/>
  <c r="J6" i="26"/>
  <c r="L6" i="26" s="1"/>
  <c r="M6" i="26"/>
  <c r="N6" i="26" s="1"/>
  <c r="P6" i="26"/>
  <c r="R6" i="26" s="1"/>
  <c r="I6" i="26" s="1"/>
  <c r="Q6" i="26"/>
  <c r="S6" i="26"/>
  <c r="Q32" i="29"/>
  <c r="Q31" i="29"/>
  <c r="Q30" i="29"/>
  <c r="P28" i="29"/>
  <c r="P27" i="29"/>
  <c r="P26" i="29"/>
  <c r="Q54" i="29"/>
  <c r="Q48" i="29"/>
  <c r="Q47" i="29"/>
  <c r="Q46" i="29"/>
  <c r="Q53" i="29"/>
  <c r="Q43" i="29"/>
  <c r="Q42" i="29"/>
  <c r="Q44" i="29"/>
  <c r="Q45" i="29"/>
  <c r="Q37" i="29"/>
  <c r="Q28" i="29"/>
  <c r="Q27" i="29"/>
  <c r="Q26" i="29"/>
  <c r="Q29" i="29"/>
  <c r="Q19" i="29"/>
  <c r="Q36" i="29"/>
  <c r="Q35" i="29"/>
  <c r="Q34" i="29"/>
  <c r="Q24" i="29"/>
  <c r="Q23" i="29"/>
  <c r="Q51" i="29"/>
  <c r="Q52" i="29"/>
  <c r="Q50" i="29"/>
  <c r="Q38" i="29"/>
  <c r="Q40" i="29"/>
  <c r="Q39" i="29"/>
  <c r="Q49" i="29"/>
  <c r="Q41" i="29"/>
  <c r="Q33" i="29"/>
  <c r="Q25" i="29"/>
  <c r="Q21" i="29"/>
  <c r="P36" i="29"/>
  <c r="P35" i="29"/>
  <c r="P34" i="29"/>
  <c r="P24" i="29"/>
  <c r="P23" i="29"/>
  <c r="P52" i="29"/>
  <c r="P51" i="29"/>
  <c r="P50" i="29"/>
  <c r="P40" i="29"/>
  <c r="P39" i="29"/>
  <c r="P38" i="29"/>
  <c r="P53" i="29"/>
  <c r="P45" i="29"/>
  <c r="P37" i="29"/>
  <c r="P29" i="29"/>
  <c r="Q20" i="29"/>
  <c r="P32" i="29"/>
  <c r="P31" i="29"/>
  <c r="P30" i="29"/>
  <c r="P44" i="29"/>
  <c r="P43" i="29"/>
  <c r="P42" i="29"/>
  <c r="P54" i="29"/>
  <c r="P48" i="29"/>
  <c r="P47" i="29"/>
  <c r="P46" i="29"/>
  <c r="P49" i="29"/>
  <c r="P41" i="29"/>
  <c r="P33" i="29"/>
  <c r="P25" i="29"/>
  <c r="Q22" i="29"/>
  <c r="Q54" i="28"/>
  <c r="Q48" i="28"/>
  <c r="Q47" i="28"/>
  <c r="Q46" i="28"/>
  <c r="Q49" i="28"/>
  <c r="Q40" i="28"/>
  <c r="Q39" i="28"/>
  <c r="Q38" i="28"/>
  <c r="Q41" i="28"/>
  <c r="Q32" i="28"/>
  <c r="Q31" i="28"/>
  <c r="Q30" i="28"/>
  <c r="Q33" i="28"/>
  <c r="Q24" i="28"/>
  <c r="Q23" i="28"/>
  <c r="Q25" i="28"/>
  <c r="P20" i="28"/>
  <c r="P54" i="28"/>
  <c r="P33" i="28"/>
  <c r="P32" i="28"/>
  <c r="P31" i="28"/>
  <c r="P30" i="28"/>
  <c r="P53" i="28"/>
  <c r="P52" i="28"/>
  <c r="P51" i="28"/>
  <c r="P50" i="28"/>
  <c r="P45" i="28"/>
  <c r="P44" i="28"/>
  <c r="P43" i="28"/>
  <c r="P42" i="28"/>
  <c r="P37" i="28"/>
  <c r="P36" i="28"/>
  <c r="P35" i="28"/>
  <c r="P34" i="28"/>
  <c r="P29" i="28"/>
  <c r="P28" i="28"/>
  <c r="P27" i="28"/>
  <c r="P26" i="28"/>
  <c r="P19" i="28"/>
  <c r="P49" i="28"/>
  <c r="P48" i="28"/>
  <c r="P47" i="28"/>
  <c r="P46" i="28"/>
  <c r="P21" i="28"/>
  <c r="Q52" i="28"/>
  <c r="Q51" i="28"/>
  <c r="Q50" i="28"/>
  <c r="Q53" i="28"/>
  <c r="Q44" i="28"/>
  <c r="Q43" i="28"/>
  <c r="Q42" i="28"/>
  <c r="Q45" i="28"/>
  <c r="Q36" i="28"/>
  <c r="Q35" i="28"/>
  <c r="Q34" i="28"/>
  <c r="Q37" i="28"/>
  <c r="Q28" i="28"/>
  <c r="Q27" i="28"/>
  <c r="Q26" i="28"/>
  <c r="Q29" i="28"/>
  <c r="P22" i="28"/>
  <c r="P41" i="28"/>
  <c r="P40" i="28"/>
  <c r="P39" i="28"/>
  <c r="P38" i="28"/>
  <c r="P25" i="28"/>
  <c r="P24" i="28"/>
  <c r="P23" i="28"/>
  <c r="Q51" i="26"/>
  <c r="Q52" i="26"/>
  <c r="Q54" i="26"/>
  <c r="Q53" i="26"/>
  <c r="Q43" i="26"/>
  <c r="Q44" i="26"/>
  <c r="Q46" i="26"/>
  <c r="Q45" i="26"/>
  <c r="Q36" i="26"/>
  <c r="Q37" i="26"/>
  <c r="Q35" i="26"/>
  <c r="Q38" i="26"/>
  <c r="Q28" i="26"/>
  <c r="Q29" i="26"/>
  <c r="Q27" i="26"/>
  <c r="Q30" i="26"/>
  <c r="Q23" i="26"/>
  <c r="P38" i="26"/>
  <c r="P37" i="26"/>
  <c r="P36" i="26"/>
  <c r="P35" i="26"/>
  <c r="P49" i="26"/>
  <c r="P50" i="26"/>
  <c r="P48" i="26"/>
  <c r="P47" i="26"/>
  <c r="P41" i="26"/>
  <c r="P42" i="26"/>
  <c r="P40" i="26"/>
  <c r="P39" i="26"/>
  <c r="P34" i="26"/>
  <c r="P33" i="26"/>
  <c r="P32" i="26"/>
  <c r="P31" i="26"/>
  <c r="P26" i="26"/>
  <c r="P25" i="26"/>
  <c r="P24" i="26"/>
  <c r="Q22" i="26"/>
  <c r="P54" i="26"/>
  <c r="P53" i="26"/>
  <c r="P52" i="26"/>
  <c r="P51" i="26"/>
  <c r="P30" i="26"/>
  <c r="P29" i="26"/>
  <c r="P28" i="26"/>
  <c r="P27" i="26"/>
  <c r="Q47" i="26"/>
  <c r="Q50" i="26"/>
  <c r="Q48" i="26"/>
  <c r="Q49" i="26"/>
  <c r="Q41" i="26"/>
  <c r="Q40" i="26"/>
  <c r="Q39" i="26"/>
  <c r="Q42" i="26"/>
  <c r="Q33" i="26"/>
  <c r="Q32" i="26"/>
  <c r="Q31" i="26"/>
  <c r="Q34" i="26"/>
  <c r="Q25" i="26"/>
  <c r="Q24" i="26"/>
  <c r="Q26" i="26"/>
  <c r="P46" i="26"/>
  <c r="P45" i="26"/>
  <c r="P44" i="26"/>
  <c r="P43" i="26"/>
  <c r="Q54" i="25"/>
  <c r="Q53" i="25"/>
  <c r="Q36" i="25"/>
  <c r="Q31" i="25"/>
  <c r="Q35" i="25"/>
  <c r="Q34" i="25"/>
  <c r="Q30" i="25"/>
  <c r="Q32" i="25"/>
  <c r="Q33" i="25"/>
  <c r="Q29" i="25"/>
  <c r="P52" i="25"/>
  <c r="Q39" i="25"/>
  <c r="Q40" i="25"/>
  <c r="Q38" i="25"/>
  <c r="Q37" i="25"/>
  <c r="P23" i="25"/>
  <c r="P22" i="25"/>
  <c r="P47" i="25"/>
  <c r="P45" i="25"/>
  <c r="P48" i="25"/>
  <c r="P46" i="25"/>
  <c r="P41" i="25"/>
  <c r="P44" i="25"/>
  <c r="P43" i="25"/>
  <c r="P42" i="25"/>
  <c r="P51" i="25"/>
  <c r="P49" i="25"/>
  <c r="P50" i="25"/>
  <c r="Q20" i="25"/>
  <c r="Q21" i="25"/>
  <c r="P40" i="25"/>
  <c r="P39" i="25"/>
  <c r="P37" i="25"/>
  <c r="P38" i="25"/>
  <c r="Q23" i="25"/>
  <c r="Q22" i="25"/>
  <c r="P31" i="25"/>
  <c r="P29" i="25"/>
  <c r="P32" i="25"/>
  <c r="P30" i="25"/>
  <c r="P33" i="25"/>
  <c r="P35" i="25"/>
  <c r="P34" i="25"/>
  <c r="P53" i="25"/>
  <c r="P54" i="25"/>
  <c r="P36" i="25"/>
  <c r="Q42" i="25"/>
  <c r="Q44" i="25"/>
  <c r="Q43" i="25"/>
  <c r="Q41" i="25"/>
  <c r="P20" i="25"/>
  <c r="P21" i="25"/>
  <c r="Q26" i="25"/>
  <c r="Q28" i="25"/>
  <c r="Q27" i="25"/>
  <c r="P25" i="25"/>
  <c r="P24" i="25"/>
  <c r="P19" i="25"/>
  <c r="P28" i="25"/>
  <c r="P27" i="25"/>
  <c r="P26" i="25"/>
  <c r="Q24" i="25"/>
  <c r="Q25" i="25"/>
  <c r="Q52" i="25"/>
  <c r="Q47" i="25"/>
  <c r="Q46" i="25"/>
  <c r="Q50" i="25"/>
  <c r="Q51" i="25"/>
  <c r="Q48" i="25"/>
  <c r="Q49" i="25"/>
  <c r="Q45" i="25"/>
  <c r="Q19" i="25"/>
  <c r="D17" i="16"/>
  <c r="D18" i="16"/>
  <c r="R25" i="29" l="1"/>
  <c r="I25" i="29" s="1"/>
  <c r="R33" i="29"/>
  <c r="I33" i="29" s="1"/>
  <c r="R41" i="29"/>
  <c r="I41" i="29" s="1"/>
  <c r="R49" i="29"/>
  <c r="I49" i="29" s="1"/>
  <c r="R46" i="29"/>
  <c r="I46" i="29" s="1"/>
  <c r="R47" i="29"/>
  <c r="I47" i="29" s="1"/>
  <c r="R48" i="29"/>
  <c r="I48" i="29" s="1"/>
  <c r="R54" i="29"/>
  <c r="I54" i="29" s="1"/>
  <c r="R42" i="29"/>
  <c r="I42" i="29" s="1"/>
  <c r="R43" i="29"/>
  <c r="I43" i="29" s="1"/>
  <c r="R44" i="29"/>
  <c r="I44" i="29" s="1"/>
  <c r="R30" i="29"/>
  <c r="I30" i="29" s="1"/>
  <c r="R31" i="29"/>
  <c r="I31" i="29" s="1"/>
  <c r="R32" i="29"/>
  <c r="I32" i="29" s="1"/>
  <c r="R29" i="29"/>
  <c r="I29" i="29" s="1"/>
  <c r="R37" i="29"/>
  <c r="I37" i="29" s="1"/>
  <c r="R45" i="29"/>
  <c r="I45" i="29" s="1"/>
  <c r="R53" i="29"/>
  <c r="I53" i="29" s="1"/>
  <c r="R38" i="29"/>
  <c r="I38" i="29" s="1"/>
  <c r="R39" i="29"/>
  <c r="I39" i="29" s="1"/>
  <c r="R40" i="29"/>
  <c r="I40" i="29" s="1"/>
  <c r="R50" i="29"/>
  <c r="I50" i="29" s="1"/>
  <c r="R51" i="29"/>
  <c r="I51" i="29" s="1"/>
  <c r="R52" i="29"/>
  <c r="I52" i="29" s="1"/>
  <c r="R23" i="29"/>
  <c r="I23" i="29" s="1"/>
  <c r="R24" i="29"/>
  <c r="I24" i="29" s="1"/>
  <c r="R34" i="29"/>
  <c r="I34" i="29" s="1"/>
  <c r="R35" i="29"/>
  <c r="I35" i="29" s="1"/>
  <c r="R36" i="29"/>
  <c r="I36" i="29" s="1"/>
  <c r="R26" i="29"/>
  <c r="I26" i="29" s="1"/>
  <c r="R27" i="29"/>
  <c r="I27" i="29" s="1"/>
  <c r="R28" i="29"/>
  <c r="I28" i="29" s="1"/>
  <c r="R23" i="28"/>
  <c r="I23" i="28" s="1"/>
  <c r="R24" i="28"/>
  <c r="I24" i="28" s="1"/>
  <c r="R25" i="28"/>
  <c r="I25" i="28" s="1"/>
  <c r="R38" i="28"/>
  <c r="I38" i="28" s="1"/>
  <c r="R39" i="28"/>
  <c r="I39" i="28" s="1"/>
  <c r="R40" i="28"/>
  <c r="I40" i="28" s="1"/>
  <c r="R41" i="28"/>
  <c r="I41" i="28" s="1"/>
  <c r="R46" i="28"/>
  <c r="I46" i="28" s="1"/>
  <c r="R47" i="28"/>
  <c r="I47" i="28" s="1"/>
  <c r="R48" i="28"/>
  <c r="I48" i="28" s="1"/>
  <c r="R49" i="28"/>
  <c r="I49" i="28" s="1"/>
  <c r="R26" i="28"/>
  <c r="I26" i="28" s="1"/>
  <c r="R27" i="28"/>
  <c r="I27" i="28" s="1"/>
  <c r="R28" i="28"/>
  <c r="I28" i="28" s="1"/>
  <c r="R29" i="28"/>
  <c r="I29" i="28" s="1"/>
  <c r="R34" i="28"/>
  <c r="I34" i="28" s="1"/>
  <c r="R35" i="28"/>
  <c r="I35" i="28" s="1"/>
  <c r="R36" i="28"/>
  <c r="I36" i="28" s="1"/>
  <c r="R37" i="28"/>
  <c r="I37" i="28" s="1"/>
  <c r="R42" i="28"/>
  <c r="I42" i="28" s="1"/>
  <c r="R43" i="28"/>
  <c r="I43" i="28" s="1"/>
  <c r="R44" i="28"/>
  <c r="I44" i="28" s="1"/>
  <c r="R45" i="28"/>
  <c r="I45" i="28" s="1"/>
  <c r="R50" i="28"/>
  <c r="I50" i="28" s="1"/>
  <c r="R51" i="28"/>
  <c r="I51" i="28" s="1"/>
  <c r="R52" i="28"/>
  <c r="I52" i="28" s="1"/>
  <c r="R53" i="28"/>
  <c r="I53" i="28" s="1"/>
  <c r="R30" i="28"/>
  <c r="I30" i="28" s="1"/>
  <c r="R31" i="28"/>
  <c r="I31" i="28" s="1"/>
  <c r="R32" i="28"/>
  <c r="I32" i="28" s="1"/>
  <c r="R33" i="28"/>
  <c r="I33" i="28" s="1"/>
  <c r="R54" i="28"/>
  <c r="I54" i="28" s="1"/>
  <c r="R43" i="26"/>
  <c r="I43" i="26" s="1"/>
  <c r="R44" i="26"/>
  <c r="I44" i="26" s="1"/>
  <c r="R45" i="26"/>
  <c r="I45" i="26" s="1"/>
  <c r="R46" i="26"/>
  <c r="I46" i="26" s="1"/>
  <c r="R27" i="26"/>
  <c r="I27" i="26" s="1"/>
  <c r="R28" i="26"/>
  <c r="I28" i="26" s="1"/>
  <c r="R29" i="26"/>
  <c r="I29" i="26" s="1"/>
  <c r="R30" i="26"/>
  <c r="I30" i="26" s="1"/>
  <c r="R51" i="26"/>
  <c r="I51" i="26" s="1"/>
  <c r="R52" i="26"/>
  <c r="I52" i="26" s="1"/>
  <c r="R53" i="26"/>
  <c r="I53" i="26" s="1"/>
  <c r="R54" i="26"/>
  <c r="I54" i="26" s="1"/>
  <c r="R24" i="26"/>
  <c r="I24" i="26" s="1"/>
  <c r="R25" i="26"/>
  <c r="I25" i="26" s="1"/>
  <c r="R26" i="26"/>
  <c r="I26" i="26" s="1"/>
  <c r="R31" i="26"/>
  <c r="I31" i="26" s="1"/>
  <c r="R32" i="26"/>
  <c r="I32" i="26" s="1"/>
  <c r="R33" i="26"/>
  <c r="I33" i="26" s="1"/>
  <c r="R34" i="26"/>
  <c r="I34" i="26" s="1"/>
  <c r="R39" i="26"/>
  <c r="I39" i="26" s="1"/>
  <c r="R40" i="26"/>
  <c r="I40" i="26" s="1"/>
  <c r="R42" i="26"/>
  <c r="I42" i="26" s="1"/>
  <c r="R41" i="26"/>
  <c r="I41" i="26" s="1"/>
  <c r="R47" i="26"/>
  <c r="I47" i="26" s="1"/>
  <c r="R48" i="26"/>
  <c r="I48" i="26" s="1"/>
  <c r="R50" i="26"/>
  <c r="I50" i="26" s="1"/>
  <c r="R49" i="26"/>
  <c r="I49" i="26" s="1"/>
  <c r="R35" i="26"/>
  <c r="I35" i="26" s="1"/>
  <c r="R36" i="26"/>
  <c r="I36" i="26" s="1"/>
  <c r="R37" i="26"/>
  <c r="I37" i="26" s="1"/>
  <c r="R38" i="26"/>
  <c r="I38" i="26" s="1"/>
  <c r="R26" i="25"/>
  <c r="I26" i="25" s="1"/>
  <c r="R27" i="25"/>
  <c r="I27" i="25" s="1"/>
  <c r="R28" i="25"/>
  <c r="I28" i="25" s="1"/>
  <c r="R19" i="25"/>
  <c r="I19" i="25" s="1"/>
  <c r="R24" i="25"/>
  <c r="I24" i="25" s="1"/>
  <c r="R25" i="25"/>
  <c r="I25" i="25" s="1"/>
  <c r="R21" i="25"/>
  <c r="I21" i="25" s="1"/>
  <c r="R20" i="25"/>
  <c r="I20" i="25" s="1"/>
  <c r="R36" i="25"/>
  <c r="I36" i="25" s="1"/>
  <c r="R54" i="25"/>
  <c r="I54" i="25" s="1"/>
  <c r="R53" i="25"/>
  <c r="I53" i="25" s="1"/>
  <c r="R34" i="25"/>
  <c r="I34" i="25" s="1"/>
  <c r="R35" i="25"/>
  <c r="I35" i="25" s="1"/>
  <c r="R33" i="25"/>
  <c r="I33" i="25" s="1"/>
  <c r="R30" i="25"/>
  <c r="I30" i="25" s="1"/>
  <c r="R32" i="25"/>
  <c r="I32" i="25" s="1"/>
  <c r="R29" i="25"/>
  <c r="I29" i="25" s="1"/>
  <c r="R31" i="25"/>
  <c r="I31" i="25" s="1"/>
  <c r="R38" i="25"/>
  <c r="I38" i="25" s="1"/>
  <c r="R37" i="25"/>
  <c r="I37" i="25" s="1"/>
  <c r="R39" i="25"/>
  <c r="I39" i="25" s="1"/>
  <c r="R40" i="25"/>
  <c r="I40" i="25" s="1"/>
  <c r="R50" i="25"/>
  <c r="I50" i="25" s="1"/>
  <c r="R49" i="25"/>
  <c r="I49" i="25" s="1"/>
  <c r="R51" i="25"/>
  <c r="I51" i="25" s="1"/>
  <c r="R42" i="25"/>
  <c r="I42" i="25" s="1"/>
  <c r="R43" i="25"/>
  <c r="I43" i="25" s="1"/>
  <c r="R44" i="25"/>
  <c r="I44" i="25" s="1"/>
  <c r="R41" i="25"/>
  <c r="I41" i="25" s="1"/>
  <c r="R46" i="25"/>
  <c r="I46" i="25" s="1"/>
  <c r="R48" i="25"/>
  <c r="I48" i="25" s="1"/>
  <c r="R45" i="25"/>
  <c r="I45" i="25" s="1"/>
  <c r="R47" i="25"/>
  <c r="I47" i="25" s="1"/>
  <c r="R22" i="25"/>
  <c r="I22" i="25" s="1"/>
  <c r="R23" i="25"/>
  <c r="I23" i="25" s="1"/>
  <c r="R52" i="25"/>
  <c r="I52" i="25" s="1"/>
  <c r="O69" i="2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E18" i="16" s="1"/>
  <c r="F18" i="16" s="1"/>
  <c r="O70" i="2"/>
  <c r="N70" i="2"/>
  <c r="N69" i="2"/>
  <c r="O68" i="2"/>
  <c r="N68" i="2"/>
  <c r="L8" i="29"/>
  <c r="L6" i="29"/>
  <c r="L5" i="29"/>
  <c r="S55" i="29"/>
  <c r="L7" i="29"/>
  <c r="N5" i="29"/>
  <c r="N6" i="29"/>
  <c r="N7" i="29"/>
  <c r="N8" i="29"/>
  <c r="N9" i="29"/>
  <c r="K9" i="29"/>
  <c r="O9" i="28"/>
  <c r="K8" i="28"/>
  <c r="K9" i="28"/>
  <c r="O6" i="28"/>
  <c r="O8" i="28"/>
  <c r="L7" i="28"/>
  <c r="K6" i="28"/>
  <c r="O7" i="28"/>
  <c r="N10" i="26"/>
  <c r="N9" i="26"/>
  <c r="K10" i="26"/>
  <c r="K7" i="26"/>
  <c r="K9" i="26"/>
  <c r="L8" i="26"/>
  <c r="O8" i="26"/>
  <c r="O6" i="26"/>
  <c r="O7" i="26"/>
  <c r="K6" i="26"/>
  <c r="M54" i="20"/>
  <c r="N54" i="20" s="1"/>
  <c r="M53" i="20"/>
  <c r="N53" i="20" s="1"/>
  <c r="M52" i="20"/>
  <c r="O52" i="20" s="1"/>
  <c r="M51" i="20"/>
  <c r="N51" i="20" s="1"/>
  <c r="M50" i="20"/>
  <c r="N50" i="20" s="1"/>
  <c r="M54" i="19"/>
  <c r="N54" i="19" s="1"/>
  <c r="M53" i="19"/>
  <c r="O53" i="19" s="1"/>
  <c r="M52" i="19"/>
  <c r="N52" i="19" s="1"/>
  <c r="M51" i="19"/>
  <c r="O51" i="19" s="1"/>
  <c r="M50" i="19"/>
  <c r="N50" i="19" s="1"/>
  <c r="M54" i="18"/>
  <c r="N54" i="18" s="1"/>
  <c r="M53" i="18"/>
  <c r="N53" i="18" s="1"/>
  <c r="M52" i="18"/>
  <c r="N52" i="18" s="1"/>
  <c r="M51" i="18"/>
  <c r="N51" i="18" s="1"/>
  <c r="M50" i="18"/>
  <c r="N50" i="18" s="1"/>
  <c r="M54" i="17"/>
  <c r="N54" i="17" s="1"/>
  <c r="M53" i="17"/>
  <c r="N53" i="17"/>
  <c r="O53" i="17"/>
  <c r="M52" i="17"/>
  <c r="N52" i="17" s="1"/>
  <c r="M51" i="17"/>
  <c r="N51" i="17" s="1"/>
  <c r="M50" i="17"/>
  <c r="O50" i="17" s="1"/>
  <c r="P20" i="29"/>
  <c r="P21" i="29"/>
  <c r="P22" i="29"/>
  <c r="P19" i="29"/>
  <c r="Q19" i="28"/>
  <c r="Q20" i="28"/>
  <c r="Q22" i="28"/>
  <c r="Q21" i="28"/>
  <c r="Q19" i="26"/>
  <c r="Q21" i="26"/>
  <c r="P23" i="26"/>
  <c r="Q20" i="26"/>
  <c r="P20" i="26"/>
  <c r="P21" i="26"/>
  <c r="P19" i="26"/>
  <c r="P22" i="26"/>
  <c r="S54" i="20"/>
  <c r="S51" i="19"/>
  <c r="J53" i="17"/>
  <c r="J51" i="19"/>
  <c r="S51" i="20"/>
  <c r="J53" i="18"/>
  <c r="S50" i="17"/>
  <c r="J51" i="20"/>
  <c r="S53" i="18"/>
  <c r="J50" i="17"/>
  <c r="S50" i="20"/>
  <c r="S52" i="17"/>
  <c r="J52" i="17"/>
  <c r="S52" i="20"/>
  <c r="S54" i="18"/>
  <c r="J51" i="17"/>
  <c r="S50" i="18"/>
  <c r="J54" i="19"/>
  <c r="J51" i="18"/>
  <c r="J54" i="18"/>
  <c r="S54" i="19"/>
  <c r="S51" i="18"/>
  <c r="J53" i="19"/>
  <c r="J50" i="18"/>
  <c r="J50" i="19"/>
  <c r="S50" i="19"/>
  <c r="J50" i="20"/>
  <c r="J52" i="18"/>
  <c r="J52" i="20"/>
  <c r="J54" i="20"/>
  <c r="J52" i="19"/>
  <c r="J54" i="17"/>
  <c r="S53" i="17"/>
  <c r="S52" i="19"/>
  <c r="S54" i="17"/>
  <c r="S52" i="18"/>
  <c r="S53" i="19"/>
  <c r="J53" i="20"/>
  <c r="S53" i="20"/>
  <c r="S51" i="17"/>
  <c r="R19" i="29" l="1"/>
  <c r="I19" i="29" s="1"/>
  <c r="R22" i="29"/>
  <c r="I22" i="29" s="1"/>
  <c r="R21" i="29"/>
  <c r="I21" i="29" s="1"/>
  <c r="R20" i="29"/>
  <c r="I20" i="29" s="1"/>
  <c r="R21" i="28"/>
  <c r="I21" i="28" s="1"/>
  <c r="R22" i="28"/>
  <c r="I22" i="28" s="1"/>
  <c r="R20" i="28"/>
  <c r="I20" i="28" s="1"/>
  <c r="R19" i="28"/>
  <c r="I19" i="28" s="1"/>
  <c r="R22" i="26"/>
  <c r="I22" i="26" s="1"/>
  <c r="R19" i="26"/>
  <c r="I19" i="26" s="1"/>
  <c r="R21" i="26"/>
  <c r="I21" i="26" s="1"/>
  <c r="R20" i="26"/>
  <c r="I20" i="26" s="1"/>
  <c r="R23" i="26"/>
  <c r="I23" i="26" s="1"/>
  <c r="O54" i="18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N52" i="20"/>
  <c r="O54" i="20"/>
  <c r="O54" i="17"/>
  <c r="O53" i="20"/>
  <c r="L54" i="20"/>
  <c r="K54" i="20"/>
  <c r="L53" i="20"/>
  <c r="K53" i="20"/>
  <c r="O51" i="20"/>
  <c r="L52" i="20"/>
  <c r="K52" i="20"/>
  <c r="O50" i="20"/>
  <c r="L51" i="20"/>
  <c r="K51" i="20"/>
  <c r="L50" i="20"/>
  <c r="K50" i="20"/>
  <c r="O54" i="19"/>
  <c r="N53" i="19"/>
  <c r="N51" i="19"/>
  <c r="L54" i="19"/>
  <c r="K54" i="19"/>
  <c r="L53" i="19"/>
  <c r="K53" i="19"/>
  <c r="O50" i="19"/>
  <c r="L52" i="19"/>
  <c r="K52" i="19"/>
  <c r="O52" i="19"/>
  <c r="L51" i="19"/>
  <c r="K51" i="19"/>
  <c r="L50" i="19"/>
  <c r="K50" i="19"/>
  <c r="K54" i="18"/>
  <c r="L54" i="18"/>
  <c r="O51" i="18"/>
  <c r="O53" i="18"/>
  <c r="L53" i="18"/>
  <c r="K53" i="18"/>
  <c r="O52" i="18"/>
  <c r="L52" i="18"/>
  <c r="K52" i="18"/>
  <c r="O50" i="18"/>
  <c r="L51" i="18"/>
  <c r="K51" i="18"/>
  <c r="L50" i="18"/>
  <c r="K50" i="18"/>
  <c r="L54" i="17"/>
  <c r="K54" i="17"/>
  <c r="L53" i="17"/>
  <c r="K53" i="17"/>
  <c r="O52" i="17"/>
  <c r="L52" i="17"/>
  <c r="K52" i="17"/>
  <c r="N50" i="17"/>
  <c r="O51" i="17"/>
  <c r="L51" i="17"/>
  <c r="K51" i="17"/>
  <c r="L50" i="17"/>
  <c r="K50" i="17"/>
  <c r="M54" i="13"/>
  <c r="O54" i="13" s="1"/>
  <c r="M53" i="13"/>
  <c r="O53" i="13" s="1"/>
  <c r="M52" i="13"/>
  <c r="N52" i="13" s="1"/>
  <c r="M51" i="13"/>
  <c r="N51" i="13" s="1"/>
  <c r="M50" i="13"/>
  <c r="N50" i="13" s="1"/>
  <c r="M54" i="12"/>
  <c r="N54" i="12" s="1"/>
  <c r="M53" i="12"/>
  <c r="O53" i="12" s="1"/>
  <c r="M52" i="12"/>
  <c r="N52" i="12" s="1"/>
  <c r="M51" i="12"/>
  <c r="O51" i="12" s="1"/>
  <c r="M50" i="12"/>
  <c r="N50" i="12" s="1"/>
  <c r="M54" i="11"/>
  <c r="N54" i="11" s="1"/>
  <c r="M53" i="11"/>
  <c r="N53" i="11" s="1"/>
  <c r="M52" i="11"/>
  <c r="O52" i="11" s="1"/>
  <c r="M51" i="11"/>
  <c r="N51" i="11" s="1"/>
  <c r="M50" i="11"/>
  <c r="N50" i="11" s="1"/>
  <c r="M54" i="10"/>
  <c r="N54" i="10" s="1"/>
  <c r="M53" i="10"/>
  <c r="N53" i="10" s="1"/>
  <c r="M52" i="10"/>
  <c r="N52" i="10" s="1"/>
  <c r="M51" i="10"/>
  <c r="N51" i="10" s="1"/>
  <c r="M50" i="10"/>
  <c r="O50" i="10" s="1"/>
  <c r="M54" i="5"/>
  <c r="N54" i="5" s="1"/>
  <c r="M53" i="5"/>
  <c r="N53" i="5" s="1"/>
  <c r="M52" i="5"/>
  <c r="N52" i="5" s="1"/>
  <c r="M51" i="5"/>
  <c r="N51" i="5" s="1"/>
  <c r="M50" i="5"/>
  <c r="N50" i="5" s="1"/>
  <c r="M54" i="7"/>
  <c r="N54" i="7" s="1"/>
  <c r="M53" i="7"/>
  <c r="N53" i="7" s="1"/>
  <c r="M52" i="7"/>
  <c r="N52" i="7" s="1"/>
  <c r="M51" i="7"/>
  <c r="N51" i="7" s="1"/>
  <c r="M50" i="7"/>
  <c r="N50" i="7" s="1"/>
  <c r="S5" i="28"/>
  <c r="S55" i="28" s="1"/>
  <c r="Q5" i="28"/>
  <c r="P5" i="28"/>
  <c r="R5" i="28" s="1"/>
  <c r="I5" i="28" s="1"/>
  <c r="M5" i="28"/>
  <c r="O5" i="28" s="1"/>
  <c r="J5" i="28"/>
  <c r="L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67" i="2"/>
  <c r="I67" i="2"/>
  <c r="J67" i="2"/>
  <c r="K67" i="2"/>
  <c r="L67" i="2"/>
  <c r="M67" i="2"/>
  <c r="P67" i="2"/>
  <c r="Q67" i="2"/>
  <c r="R67" i="2"/>
  <c r="S67" i="2"/>
  <c r="H66" i="2"/>
  <c r="I66" i="2"/>
  <c r="J66" i="2"/>
  <c r="K66" i="2"/>
  <c r="L66" i="2"/>
  <c r="M66" i="2"/>
  <c r="P66" i="2"/>
  <c r="Q66" i="2"/>
  <c r="R66" i="2"/>
  <c r="S66" i="2"/>
  <c r="H65" i="2"/>
  <c r="I65" i="2"/>
  <c r="J65" i="2"/>
  <c r="K65" i="2"/>
  <c r="L65" i="2"/>
  <c r="M65" i="2"/>
  <c r="P65" i="2"/>
  <c r="Q65" i="2"/>
  <c r="R65" i="2"/>
  <c r="S65" i="2"/>
  <c r="H64" i="2"/>
  <c r="I64" i="2"/>
  <c r="J64" i="2"/>
  <c r="K64" i="2"/>
  <c r="L64" i="2"/>
  <c r="M64" i="2"/>
  <c r="P64" i="2"/>
  <c r="Q64" i="2"/>
  <c r="R64" i="2"/>
  <c r="S64" i="2"/>
  <c r="S53" i="11"/>
  <c r="J54" i="10"/>
  <c r="S50" i="7"/>
  <c r="J54" i="7"/>
  <c r="J51" i="5"/>
  <c r="J52" i="13"/>
  <c r="S50" i="10"/>
  <c r="S51" i="7"/>
  <c r="S54" i="7"/>
  <c r="S50" i="13"/>
  <c r="S53" i="5"/>
  <c r="S51" i="13"/>
  <c r="S53" i="12"/>
  <c r="S54" i="12"/>
  <c r="J53" i="13"/>
  <c r="S52" i="5"/>
  <c r="S53" i="7"/>
  <c r="J51" i="7"/>
  <c r="S50" i="5"/>
  <c r="J52" i="11"/>
  <c r="J50" i="13"/>
  <c r="S51" i="10"/>
  <c r="J52" i="5"/>
  <c r="S52" i="13"/>
  <c r="S54" i="11"/>
  <c r="S52" i="7"/>
  <c r="S53" i="13"/>
  <c r="J51" i="12"/>
  <c r="S52" i="11"/>
  <c r="J50" i="7"/>
  <c r="J50" i="10"/>
  <c r="J52" i="12"/>
  <c r="J53" i="5"/>
  <c r="J52" i="10"/>
  <c r="S50" i="11"/>
  <c r="J50" i="12"/>
  <c r="J53" i="11"/>
  <c r="S52" i="10"/>
  <c r="S53" i="10"/>
  <c r="S54" i="13"/>
  <c r="J54" i="13"/>
  <c r="S54" i="5"/>
  <c r="S51" i="12"/>
  <c r="S52" i="12"/>
  <c r="J54" i="5"/>
  <c r="J51" i="13"/>
  <c r="J54" i="11"/>
  <c r="S50" i="12"/>
  <c r="J50" i="5"/>
  <c r="J54" i="12"/>
  <c r="J50" i="11"/>
  <c r="J52" i="7"/>
  <c r="S51" i="5"/>
  <c r="J53" i="10"/>
  <c r="J53" i="12"/>
  <c r="S51" i="11"/>
  <c r="S54" i="10"/>
  <c r="J53" i="7"/>
  <c r="J51" i="11"/>
  <c r="J51" i="10"/>
  <c r="O54" i="11" l="1"/>
  <c r="N54" i="13"/>
  <c r="N53" i="13"/>
  <c r="L54" i="13"/>
  <c r="K54" i="13"/>
  <c r="O52" i="13"/>
  <c r="L53" i="13"/>
  <c r="K53" i="13"/>
  <c r="O51" i="13"/>
  <c r="L52" i="13"/>
  <c r="K52" i="13"/>
  <c r="O50" i="13"/>
  <c r="L51" i="13"/>
  <c r="K51" i="13"/>
  <c r="L50" i="13"/>
  <c r="K50" i="13"/>
  <c r="N53" i="12"/>
  <c r="N51" i="12"/>
  <c r="L54" i="12"/>
  <c r="K54" i="12"/>
  <c r="O54" i="12"/>
  <c r="L53" i="12"/>
  <c r="K53" i="12"/>
  <c r="O52" i="12"/>
  <c r="L52" i="12"/>
  <c r="K52" i="12"/>
  <c r="L51" i="12"/>
  <c r="K51" i="12"/>
  <c r="O50" i="12"/>
  <c r="L50" i="12"/>
  <c r="K50" i="12"/>
  <c r="N52" i="11"/>
  <c r="L54" i="11"/>
  <c r="K54" i="11"/>
  <c r="O53" i="11"/>
  <c r="L53" i="11"/>
  <c r="K53" i="11"/>
  <c r="O51" i="11"/>
  <c r="L52" i="11"/>
  <c r="K52" i="11"/>
  <c r="L51" i="11"/>
  <c r="K51" i="11"/>
  <c r="L50" i="11"/>
  <c r="K50" i="11"/>
  <c r="O50" i="11"/>
  <c r="O53" i="10"/>
  <c r="L54" i="10"/>
  <c r="K54" i="10"/>
  <c r="O54" i="10"/>
  <c r="K53" i="10"/>
  <c r="L53" i="10"/>
  <c r="O52" i="10"/>
  <c r="N50" i="10"/>
  <c r="K52" i="10"/>
  <c r="L52" i="10"/>
  <c r="O51" i="10"/>
  <c r="L51" i="10"/>
  <c r="K51" i="10"/>
  <c r="L50" i="10"/>
  <c r="K50" i="10"/>
  <c r="O54" i="5"/>
  <c r="O53" i="5"/>
  <c r="L54" i="5"/>
  <c r="K54" i="5"/>
  <c r="O52" i="5"/>
  <c r="L53" i="5"/>
  <c r="K53" i="5"/>
  <c r="O51" i="5"/>
  <c r="L52" i="5"/>
  <c r="K52" i="5"/>
  <c r="L51" i="5"/>
  <c r="K51" i="5"/>
  <c r="O50" i="5"/>
  <c r="L50" i="5"/>
  <c r="K50" i="5"/>
  <c r="O53" i="7"/>
  <c r="O52" i="7"/>
  <c r="L54" i="7"/>
  <c r="K54" i="7"/>
  <c r="O54" i="7"/>
  <c r="L53" i="7"/>
  <c r="K53" i="7"/>
  <c r="O51" i="7"/>
  <c r="L52" i="7"/>
  <c r="K52" i="7"/>
  <c r="O50" i="7"/>
  <c r="L51" i="7"/>
  <c r="K51" i="7"/>
  <c r="L50" i="7"/>
  <c r="K50" i="7"/>
  <c r="K5" i="28"/>
  <c r="N5" i="28"/>
  <c r="O67" i="2"/>
  <c r="N67" i="2"/>
  <c r="O65" i="2"/>
  <c r="O66" i="2"/>
  <c r="N66" i="2"/>
  <c r="N65" i="2"/>
  <c r="N64" i="2"/>
  <c r="O64" i="2"/>
  <c r="AH23" i="16"/>
  <c r="AK23" i="16" s="1"/>
  <c r="C16" i="16"/>
  <c r="B27" i="4"/>
  <c r="C27" i="4"/>
  <c r="D27" i="4"/>
  <c r="E27" i="4"/>
  <c r="F27" i="4"/>
  <c r="G27" i="4"/>
  <c r="H27" i="4"/>
  <c r="I27" i="4"/>
  <c r="J27" i="4"/>
  <c r="L27" i="4"/>
  <c r="M49" i="20"/>
  <c r="N49" i="20" s="1"/>
  <c r="M49" i="19"/>
  <c r="N49" i="19" s="1"/>
  <c r="M49" i="18"/>
  <c r="N49" i="18" s="1"/>
  <c r="M49" i="17"/>
  <c r="O49" i="17" s="1"/>
  <c r="M49" i="13"/>
  <c r="O49" i="13" s="1"/>
  <c r="M49" i="12"/>
  <c r="N49" i="12" s="1"/>
  <c r="M49" i="11"/>
  <c r="N49" i="11" s="1"/>
  <c r="M49" i="10"/>
  <c r="N49" i="10" s="1"/>
  <c r="M49" i="5"/>
  <c r="N49" i="5" s="1"/>
  <c r="M49" i="7"/>
  <c r="N49" i="7" s="1"/>
  <c r="S5" i="26"/>
  <c r="S55" i="26" s="1"/>
  <c r="Q5" i="26"/>
  <c r="P5" i="26"/>
  <c r="R5" i="26" s="1"/>
  <c r="I5" i="26" s="1"/>
  <c r="M5" i="26"/>
  <c r="N5" i="26" s="1"/>
  <c r="J5" i="26"/>
  <c r="K5" i="26" s="1"/>
  <c r="H5" i="26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S49" i="10"/>
  <c r="J49" i="17"/>
  <c r="J49" i="20"/>
  <c r="S49" i="7"/>
  <c r="J49" i="5"/>
  <c r="J49" i="12"/>
  <c r="J49" i="10"/>
  <c r="S49" i="17"/>
  <c r="D16" i="16"/>
  <c r="J49" i="18"/>
  <c r="S49" i="19"/>
  <c r="J49" i="7"/>
  <c r="S49" i="12"/>
  <c r="S49" i="20"/>
  <c r="J49" i="19"/>
  <c r="S49" i="11"/>
  <c r="S49" i="5"/>
  <c r="J49" i="11"/>
  <c r="S49" i="18"/>
  <c r="J49" i="13"/>
  <c r="S49" i="13"/>
  <c r="AA5" i="4" l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O49" i="20"/>
  <c r="N49" i="17"/>
  <c r="N49" i="13"/>
  <c r="O49" i="7"/>
  <c r="L49" i="20"/>
  <c r="K49" i="20"/>
  <c r="L49" i="19"/>
  <c r="K49" i="19"/>
  <c r="O49" i="19"/>
  <c r="O49" i="18"/>
  <c r="L49" i="18"/>
  <c r="K49" i="18"/>
  <c r="L49" i="17"/>
  <c r="K49" i="17"/>
  <c r="L49" i="13"/>
  <c r="K49" i="13"/>
  <c r="O49" i="12"/>
  <c r="L49" i="12"/>
  <c r="K49" i="12"/>
  <c r="L49" i="11"/>
  <c r="K49" i="11"/>
  <c r="O49" i="11"/>
  <c r="L49" i="10"/>
  <c r="K49" i="10"/>
  <c r="O49" i="10"/>
  <c r="O49" i="5"/>
  <c r="K49" i="5"/>
  <c r="L49" i="5"/>
  <c r="L49" i="7"/>
  <c r="K49" i="7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B26" i="4"/>
  <c r="C26" i="4"/>
  <c r="D26" i="4"/>
  <c r="E26" i="4"/>
  <c r="F26" i="4"/>
  <c r="G26" i="4"/>
  <c r="H26" i="4"/>
  <c r="I26" i="4"/>
  <c r="J26" i="4"/>
  <c r="L26" i="4"/>
  <c r="B25" i="4"/>
  <c r="C25" i="4"/>
  <c r="D25" i="4"/>
  <c r="E25" i="4"/>
  <c r="F25" i="4"/>
  <c r="G25" i="4"/>
  <c r="H25" i="4"/>
  <c r="I25" i="4"/>
  <c r="J25" i="4"/>
  <c r="L25" i="4"/>
  <c r="B24" i="4"/>
  <c r="C24" i="4"/>
  <c r="D24" i="4"/>
  <c r="E24" i="4"/>
  <c r="F24" i="4"/>
  <c r="G24" i="4"/>
  <c r="H24" i="4"/>
  <c r="I24" i="4"/>
  <c r="J24" i="4"/>
  <c r="L24" i="4"/>
  <c r="B23" i="4"/>
  <c r="C23" i="4"/>
  <c r="D23" i="4"/>
  <c r="E23" i="4"/>
  <c r="F23" i="4"/>
  <c r="G23" i="4"/>
  <c r="H23" i="4"/>
  <c r="I23" i="4"/>
  <c r="J23" i="4"/>
  <c r="M48" i="20"/>
  <c r="O48" i="20" s="1"/>
  <c r="M47" i="20"/>
  <c r="N47" i="20" s="1"/>
  <c r="M46" i="20"/>
  <c r="N46" i="20" s="1"/>
  <c r="M45" i="20"/>
  <c r="N45" i="20" s="1"/>
  <c r="M48" i="19"/>
  <c r="N48" i="19" s="1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M47" i="12"/>
  <c r="O47" i="12" s="1"/>
  <c r="M46" i="12"/>
  <c r="N46" i="12" s="1"/>
  <c r="M45" i="12"/>
  <c r="O45" i="12" s="1"/>
  <c r="J46" i="13"/>
  <c r="J47" i="19"/>
  <c r="S45" i="19"/>
  <c r="S45" i="20"/>
  <c r="S45" i="13"/>
  <c r="J47" i="17"/>
  <c r="S46" i="19"/>
  <c r="S45" i="12"/>
  <c r="S45" i="17"/>
  <c r="S46" i="17"/>
  <c r="J46" i="18"/>
  <c r="J47" i="13"/>
  <c r="J47" i="20"/>
  <c r="J48" i="18"/>
  <c r="J45" i="17"/>
  <c r="J46" i="20"/>
  <c r="J47" i="18"/>
  <c r="S46" i="18"/>
  <c r="S47" i="19"/>
  <c r="S47" i="20"/>
  <c r="D15" i="16"/>
  <c r="J45" i="19"/>
  <c r="J46" i="12"/>
  <c r="J48" i="20"/>
  <c r="J45" i="18"/>
  <c r="S48" i="17"/>
  <c r="S47" i="13"/>
  <c r="J47" i="12"/>
  <c r="S46" i="20"/>
  <c r="J45" i="20"/>
  <c r="S48" i="20"/>
  <c r="S48" i="18"/>
  <c r="J48" i="17"/>
  <c r="J46" i="17"/>
  <c r="S47" i="12"/>
  <c r="S48" i="19"/>
  <c r="J48" i="12"/>
  <c r="J46" i="19"/>
  <c r="J48" i="13"/>
  <c r="S48" i="13"/>
  <c r="S46" i="12"/>
  <c r="S48" i="12"/>
  <c r="S47" i="18"/>
  <c r="J48" i="19"/>
  <c r="S47" i="17"/>
  <c r="J45" i="12"/>
  <c r="J45" i="13"/>
  <c r="S46" i="13"/>
  <c r="S45" i="18"/>
  <c r="N48" i="12" l="1"/>
  <c r="O48" i="19"/>
  <c r="N47" i="12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I63" i="2"/>
  <c r="J63" i="2"/>
  <c r="K63" i="2"/>
  <c r="L63" i="2"/>
  <c r="M63" i="2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S45" i="10"/>
  <c r="J46" i="10"/>
  <c r="S47" i="10"/>
  <c r="S45" i="5"/>
  <c r="J48" i="10"/>
  <c r="J48" i="5"/>
  <c r="J46" i="7"/>
  <c r="J47" i="5"/>
  <c r="S48" i="10"/>
  <c r="J48" i="11"/>
  <c r="J45" i="11"/>
  <c r="S47" i="5"/>
  <c r="S46" i="11"/>
  <c r="S46" i="10"/>
  <c r="J47" i="7"/>
  <c r="S45" i="11"/>
  <c r="S47" i="11"/>
  <c r="J45" i="10"/>
  <c r="S48" i="11"/>
  <c r="J47" i="10"/>
  <c r="S47" i="7"/>
  <c r="J46" i="11"/>
  <c r="J45" i="5"/>
  <c r="S46" i="7"/>
  <c r="J46" i="5"/>
  <c r="J45" i="7"/>
  <c r="J48" i="7"/>
  <c r="S46" i="5"/>
  <c r="S45" i="7"/>
  <c r="J47" i="11"/>
  <c r="S48" i="5"/>
  <c r="S48" i="7"/>
  <c r="O63" i="2" l="1"/>
  <c r="N63" i="2"/>
  <c r="O47" i="10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S55" i="25"/>
  <c r="N58" i="2"/>
  <c r="Z5" i="4" l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J22" i="4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G11" i="16"/>
  <c r="AH11" i="16" s="1"/>
  <c r="B22" i="4"/>
  <c r="C22" i="4"/>
  <c r="D22" i="4"/>
  <c r="E22" i="4"/>
  <c r="F22" i="4"/>
  <c r="G22" i="4"/>
  <c r="H22" i="4"/>
  <c r="I22" i="4"/>
  <c r="B21" i="4"/>
  <c r="C21" i="4"/>
  <c r="D21" i="4"/>
  <c r="E21" i="4"/>
  <c r="F21" i="4"/>
  <c r="G21" i="4"/>
  <c r="H21" i="4"/>
  <c r="I21" i="4"/>
  <c r="B20" i="4"/>
  <c r="C20" i="4"/>
  <c r="D20" i="4"/>
  <c r="E20" i="4"/>
  <c r="F20" i="4"/>
  <c r="G20" i="4"/>
  <c r="H20" i="4"/>
  <c r="I20" i="4"/>
  <c r="J20" i="4"/>
  <c r="B19" i="4"/>
  <c r="C19" i="4"/>
  <c r="D19" i="4"/>
  <c r="E19" i="4"/>
  <c r="F19" i="4"/>
  <c r="G19" i="4"/>
  <c r="H19" i="4"/>
  <c r="I19" i="4"/>
  <c r="J19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B16" i="4"/>
  <c r="C16" i="4"/>
  <c r="D16" i="4"/>
  <c r="E16" i="4"/>
  <c r="F16" i="4"/>
  <c r="G16" i="4"/>
  <c r="H16" i="4"/>
  <c r="I16" i="4"/>
  <c r="J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P54" i="20"/>
  <c r="J43" i="5"/>
  <c r="S41" i="10"/>
  <c r="S39" i="18"/>
  <c r="P53" i="11"/>
  <c r="S40" i="10"/>
  <c r="J40" i="19"/>
  <c r="S38" i="12"/>
  <c r="J42" i="19"/>
  <c r="S41" i="11"/>
  <c r="P54" i="11"/>
  <c r="J38" i="20"/>
  <c r="J41" i="5"/>
  <c r="P54" i="19"/>
  <c r="S41" i="18"/>
  <c r="S43" i="10"/>
  <c r="S44" i="13"/>
  <c r="S39" i="10"/>
  <c r="J38" i="17"/>
  <c r="S41" i="7"/>
  <c r="J43" i="19"/>
  <c r="S43" i="18"/>
  <c r="S41" i="19"/>
  <c r="S39" i="17"/>
  <c r="J39" i="20"/>
  <c r="S38" i="13"/>
  <c r="P53" i="19"/>
  <c r="S38" i="19"/>
  <c r="J42" i="11"/>
  <c r="S39" i="5"/>
  <c r="S44" i="19"/>
  <c r="J40" i="10"/>
  <c r="S43" i="7"/>
  <c r="J42" i="7"/>
  <c r="S43" i="12"/>
  <c r="S40" i="17"/>
  <c r="S44" i="7"/>
  <c r="P54" i="12"/>
  <c r="J38" i="13"/>
  <c r="S42" i="11"/>
  <c r="P54" i="17"/>
  <c r="S43" i="17"/>
  <c r="S38" i="5"/>
  <c r="J43" i="13"/>
  <c r="S39" i="11"/>
  <c r="S42" i="19"/>
  <c r="J39" i="18"/>
  <c r="P52" i="12"/>
  <c r="J44" i="20"/>
  <c r="S43" i="13"/>
  <c r="S42" i="12"/>
  <c r="S44" i="18"/>
  <c r="J42" i="5"/>
  <c r="S44" i="17"/>
  <c r="J42" i="20"/>
  <c r="S43" i="19"/>
  <c r="S41" i="5"/>
  <c r="J41" i="20"/>
  <c r="J43" i="12"/>
  <c r="S40" i="12"/>
  <c r="J44" i="7"/>
  <c r="S41" i="12"/>
  <c r="P51" i="19"/>
  <c r="J44" i="17"/>
  <c r="J42" i="17"/>
  <c r="J41" i="7"/>
  <c r="S39" i="7"/>
  <c r="J42" i="13"/>
  <c r="S44" i="20"/>
  <c r="S40" i="13"/>
  <c r="J41" i="12"/>
  <c r="J41" i="10"/>
  <c r="S38" i="11"/>
  <c r="J40" i="13"/>
  <c r="S39" i="20"/>
  <c r="P54" i="18"/>
  <c r="J43" i="20"/>
  <c r="S40" i="5"/>
  <c r="J42" i="10"/>
  <c r="S43" i="20"/>
  <c r="J41" i="11"/>
  <c r="P53" i="12"/>
  <c r="S42" i="20"/>
  <c r="J38" i="10"/>
  <c r="J39" i="5"/>
  <c r="J43" i="17"/>
  <c r="S38" i="18"/>
  <c r="J40" i="18"/>
  <c r="P53" i="18"/>
  <c r="S42" i="13"/>
  <c r="S38" i="10"/>
  <c r="J38" i="18"/>
  <c r="S42" i="5"/>
  <c r="J40" i="11"/>
  <c r="P54" i="10"/>
  <c r="S38" i="7"/>
  <c r="J39" i="17"/>
  <c r="J44" i="11"/>
  <c r="J38" i="5"/>
  <c r="J39" i="12"/>
  <c r="J44" i="13"/>
  <c r="J43" i="7"/>
  <c r="J43" i="10"/>
  <c r="S38" i="20"/>
  <c r="S39" i="13"/>
  <c r="J38" i="19"/>
  <c r="P54" i="13"/>
  <c r="J44" i="18"/>
  <c r="S42" i="18"/>
  <c r="J42" i="12"/>
  <c r="S43" i="5"/>
  <c r="J40" i="17"/>
  <c r="J44" i="10"/>
  <c r="S42" i="10"/>
  <c r="J39" i="10"/>
  <c r="S40" i="7"/>
  <c r="J38" i="11"/>
  <c r="S44" i="11"/>
  <c r="P52" i="18"/>
  <c r="S44" i="10"/>
  <c r="S38" i="17"/>
  <c r="J39" i="13"/>
  <c r="S44" i="5"/>
  <c r="S41" i="13"/>
  <c r="P51" i="18"/>
  <c r="S40" i="18"/>
  <c r="J40" i="7"/>
  <c r="J43" i="11"/>
  <c r="S42" i="17"/>
  <c r="S42" i="7"/>
  <c r="J39" i="7"/>
  <c r="J40" i="20"/>
  <c r="S39" i="12"/>
  <c r="J40" i="5"/>
  <c r="S39" i="19"/>
  <c r="J38" i="12"/>
  <c r="J39" i="11"/>
  <c r="J41" i="17"/>
  <c r="J42" i="18"/>
  <c r="J41" i="18"/>
  <c r="S40" i="11"/>
  <c r="S41" i="20"/>
  <c r="S41" i="17"/>
  <c r="J40" i="12"/>
  <c r="S40" i="19"/>
  <c r="J41" i="19"/>
  <c r="J44" i="12"/>
  <c r="J44" i="5"/>
  <c r="S44" i="12"/>
  <c r="J38" i="7"/>
  <c r="J43" i="18"/>
  <c r="S43" i="11"/>
  <c r="J41" i="13"/>
  <c r="J39" i="19"/>
  <c r="S40" i="20"/>
  <c r="P52" i="19"/>
  <c r="J44" i="19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B13" i="4"/>
  <c r="C13" i="4"/>
  <c r="D13" i="4"/>
  <c r="E13" i="4"/>
  <c r="F13" i="4"/>
  <c r="G13" i="4"/>
  <c r="H13" i="4"/>
  <c r="I13" i="4"/>
  <c r="J13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4" i="4"/>
  <c r="C14" i="4"/>
  <c r="D14" i="4"/>
  <c r="E14" i="4"/>
  <c r="F14" i="4"/>
  <c r="G14" i="4"/>
  <c r="H14" i="4"/>
  <c r="I14" i="4"/>
  <c r="J14" i="4"/>
  <c r="B72" i="2"/>
  <c r="Q52" i="20"/>
  <c r="P52" i="17"/>
  <c r="S37" i="10"/>
  <c r="Q53" i="19"/>
  <c r="P51" i="12"/>
  <c r="Q54" i="13"/>
  <c r="Q53" i="13"/>
  <c r="Q51" i="13"/>
  <c r="P53" i="7"/>
  <c r="P52" i="11"/>
  <c r="Q53" i="20"/>
  <c r="P53" i="17"/>
  <c r="Q51" i="11"/>
  <c r="Q51" i="12"/>
  <c r="Q52" i="17"/>
  <c r="Q52" i="12"/>
  <c r="Q54" i="5"/>
  <c r="Q52" i="5"/>
  <c r="Q51" i="20"/>
  <c r="Q54" i="10"/>
  <c r="Q53" i="10"/>
  <c r="Q54" i="17"/>
  <c r="Q51" i="17"/>
  <c r="Q53" i="7"/>
  <c r="P54" i="5"/>
  <c r="P53" i="10"/>
  <c r="P52" i="10"/>
  <c r="Q54" i="19"/>
  <c r="Q54" i="12"/>
  <c r="S33" i="10"/>
  <c r="Q53" i="18"/>
  <c r="P53" i="5"/>
  <c r="P51" i="11"/>
  <c r="P52" i="7"/>
  <c r="P51" i="20"/>
  <c r="Q53" i="5"/>
  <c r="P51" i="17"/>
  <c r="P53" i="13"/>
  <c r="Q53" i="11"/>
  <c r="P52" i="20"/>
  <c r="P54" i="7"/>
  <c r="Q52" i="10"/>
  <c r="Q52" i="18"/>
  <c r="Q51" i="19"/>
  <c r="Q54" i="18"/>
  <c r="Q51" i="10"/>
  <c r="Q54" i="20"/>
  <c r="Q53" i="17"/>
  <c r="Q51" i="7"/>
  <c r="P51" i="5"/>
  <c r="Q52" i="7"/>
  <c r="Q51" i="18"/>
  <c r="P51" i="10"/>
  <c r="Q54" i="7"/>
  <c r="Q52" i="19"/>
  <c r="Q52" i="11"/>
  <c r="Q52" i="13"/>
  <c r="P53" i="20"/>
  <c r="P52" i="5"/>
  <c r="Q54" i="11"/>
  <c r="P51" i="7"/>
  <c r="P51" i="13"/>
  <c r="P52" i="13"/>
  <c r="Q51" i="5"/>
  <c r="Q53" i="12"/>
  <c r="R54" i="20" l="1"/>
  <c r="I54" i="20" s="1"/>
  <c r="R53" i="20"/>
  <c r="I53" i="20" s="1"/>
  <c r="R52" i="20"/>
  <c r="I52" i="20" s="1"/>
  <c r="R51" i="20"/>
  <c r="I51" i="20" s="1"/>
  <c r="R54" i="19"/>
  <c r="I54" i="19" s="1"/>
  <c r="R53" i="19"/>
  <c r="I53" i="19" s="1"/>
  <c r="R52" i="19"/>
  <c r="I52" i="19" s="1"/>
  <c r="R51" i="19"/>
  <c r="I51" i="19" s="1"/>
  <c r="R54" i="18"/>
  <c r="I54" i="18" s="1"/>
  <c r="R53" i="18"/>
  <c r="I53" i="18" s="1"/>
  <c r="R52" i="18"/>
  <c r="I52" i="18" s="1"/>
  <c r="R51" i="18"/>
  <c r="I51" i="18" s="1"/>
  <c r="R54" i="17"/>
  <c r="I54" i="17" s="1"/>
  <c r="R53" i="17"/>
  <c r="I53" i="17" s="1"/>
  <c r="R52" i="17"/>
  <c r="I52" i="17" s="1"/>
  <c r="R51" i="17"/>
  <c r="I51" i="17" s="1"/>
  <c r="R54" i="13"/>
  <c r="I54" i="13" s="1"/>
  <c r="R53" i="13"/>
  <c r="I53" i="13" s="1"/>
  <c r="R52" i="13"/>
  <c r="I52" i="13" s="1"/>
  <c r="R51" i="13"/>
  <c r="I51" i="13" s="1"/>
  <c r="R54" i="12"/>
  <c r="I54" i="12" s="1"/>
  <c r="R53" i="12"/>
  <c r="I53" i="12" s="1"/>
  <c r="R52" i="12"/>
  <c r="I52" i="12" s="1"/>
  <c r="R51" i="12"/>
  <c r="I51" i="12" s="1"/>
  <c r="R54" i="11"/>
  <c r="I54" i="11" s="1"/>
  <c r="R53" i="11"/>
  <c r="I53" i="11" s="1"/>
  <c r="R52" i="11"/>
  <c r="I52" i="11" s="1"/>
  <c r="R51" i="11"/>
  <c r="I51" i="11" s="1"/>
  <c r="R54" i="10"/>
  <c r="I54" i="10" s="1"/>
  <c r="R53" i="10"/>
  <c r="I53" i="10" s="1"/>
  <c r="R52" i="10"/>
  <c r="I52" i="10" s="1"/>
  <c r="R51" i="10"/>
  <c r="I51" i="10" s="1"/>
  <c r="R54" i="5"/>
  <c r="I54" i="5" s="1"/>
  <c r="R53" i="5"/>
  <c r="I53" i="5" s="1"/>
  <c r="R52" i="5"/>
  <c r="I52" i="5" s="1"/>
  <c r="R51" i="5"/>
  <c r="I51" i="5" s="1"/>
  <c r="R54" i="7"/>
  <c r="I54" i="7" s="1"/>
  <c r="R53" i="7"/>
  <c r="I53" i="7" s="1"/>
  <c r="R52" i="7"/>
  <c r="I52" i="7" s="1"/>
  <c r="R51" i="7"/>
  <c r="I51" i="7" s="1"/>
  <c r="AH8" i="16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J37" i="5"/>
  <c r="S36" i="10"/>
  <c r="S36" i="5"/>
  <c r="P50" i="12"/>
  <c r="Q48" i="18"/>
  <c r="P50" i="7"/>
  <c r="S33" i="20"/>
  <c r="S37" i="7"/>
  <c r="J35" i="19"/>
  <c r="P49" i="11"/>
  <c r="J36" i="11"/>
  <c r="J36" i="12"/>
  <c r="Q46" i="17"/>
  <c r="J37" i="7"/>
  <c r="Q48" i="19"/>
  <c r="S37" i="18"/>
  <c r="S35" i="20"/>
  <c r="S35" i="17"/>
  <c r="Q50" i="19"/>
  <c r="J35" i="17"/>
  <c r="S37" i="12"/>
  <c r="P50" i="5"/>
  <c r="S36" i="11"/>
  <c r="S36" i="12"/>
  <c r="Q47" i="17"/>
  <c r="J37" i="18"/>
  <c r="S33" i="17"/>
  <c r="J33" i="19"/>
  <c r="J36" i="17"/>
  <c r="S36" i="19"/>
  <c r="S36" i="13"/>
  <c r="Q50" i="17"/>
  <c r="J33" i="17"/>
  <c r="Q48" i="17"/>
  <c r="J33" i="20"/>
  <c r="Q47" i="18"/>
  <c r="Q46" i="18"/>
  <c r="S34" i="17"/>
  <c r="J37" i="13"/>
  <c r="S34" i="19"/>
  <c r="Q49" i="17"/>
  <c r="J35" i="18"/>
  <c r="P49" i="7"/>
  <c r="P49" i="12"/>
  <c r="J34" i="18"/>
  <c r="J37" i="10"/>
  <c r="J33" i="18"/>
  <c r="J34" i="20"/>
  <c r="P49" i="13"/>
  <c r="S37" i="19"/>
  <c r="P49" i="10"/>
  <c r="S37" i="5"/>
  <c r="P50" i="11"/>
  <c r="J34" i="17"/>
  <c r="S37" i="20"/>
  <c r="S37" i="13"/>
  <c r="J37" i="12"/>
  <c r="P50" i="10"/>
  <c r="J36" i="20"/>
  <c r="S36" i="17"/>
  <c r="S34" i="18"/>
  <c r="J37" i="20"/>
  <c r="S36" i="18"/>
  <c r="S37" i="17"/>
  <c r="J36" i="5"/>
  <c r="S33" i="19"/>
  <c r="Q49" i="19"/>
  <c r="Q47" i="19"/>
  <c r="J36" i="18"/>
  <c r="P50" i="13"/>
  <c r="S34" i="20"/>
  <c r="J37" i="17"/>
  <c r="Q50" i="20"/>
  <c r="Q46" i="19"/>
  <c r="Q49" i="18"/>
  <c r="P49" i="5"/>
  <c r="J36" i="7"/>
  <c r="J36" i="10"/>
  <c r="J36" i="19"/>
  <c r="Q49" i="20"/>
  <c r="J36" i="13"/>
  <c r="S35" i="18"/>
  <c r="J37" i="19"/>
  <c r="Q50" i="18"/>
  <c r="S35" i="19"/>
  <c r="S36" i="7"/>
  <c r="S37" i="11"/>
  <c r="J35" i="20"/>
  <c r="S36" i="20"/>
  <c r="Q48" i="20"/>
  <c r="J37" i="11"/>
  <c r="J34" i="19"/>
  <c r="S33" i="18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P47" i="17"/>
  <c r="Q47" i="20"/>
  <c r="Q50" i="11"/>
  <c r="P47" i="11"/>
  <c r="Q48" i="13"/>
  <c r="P49" i="17"/>
  <c r="P46" i="20"/>
  <c r="P48" i="20"/>
  <c r="J33" i="11"/>
  <c r="Q49" i="12"/>
  <c r="J35" i="13"/>
  <c r="P50" i="19"/>
  <c r="Q50" i="13"/>
  <c r="P46" i="17"/>
  <c r="P47" i="19"/>
  <c r="P48" i="19"/>
  <c r="P48" i="17"/>
  <c r="Q50" i="12"/>
  <c r="Q49" i="7"/>
  <c r="P50" i="17"/>
  <c r="P46" i="19"/>
  <c r="Q50" i="7"/>
  <c r="Q48" i="12"/>
  <c r="S33" i="13"/>
  <c r="P48" i="11"/>
  <c r="S34" i="13"/>
  <c r="J34" i="12"/>
  <c r="Q49" i="13"/>
  <c r="J34" i="13"/>
  <c r="S33" i="12"/>
  <c r="P50" i="20"/>
  <c r="Q49" i="10"/>
  <c r="S33" i="11"/>
  <c r="S34" i="11"/>
  <c r="J35" i="11"/>
  <c r="P49" i="18"/>
  <c r="P50" i="18"/>
  <c r="P47" i="20"/>
  <c r="J34" i="11"/>
  <c r="S35" i="11"/>
  <c r="J33" i="13"/>
  <c r="P47" i="18"/>
  <c r="P49" i="19"/>
  <c r="Q49" i="5"/>
  <c r="J33" i="12"/>
  <c r="S35" i="13"/>
  <c r="P49" i="20"/>
  <c r="S35" i="12"/>
  <c r="P46" i="11"/>
  <c r="S34" i="12"/>
  <c r="Q50" i="10"/>
  <c r="Q49" i="11"/>
  <c r="Q46" i="20"/>
  <c r="P46" i="18"/>
  <c r="P48" i="18"/>
  <c r="Q50" i="5"/>
  <c r="J35" i="12"/>
  <c r="R50" i="20" l="1"/>
  <c r="I50" i="20" s="1"/>
  <c r="R50" i="19"/>
  <c r="I50" i="19" s="1"/>
  <c r="R50" i="18"/>
  <c r="I50" i="18" s="1"/>
  <c r="R50" i="17"/>
  <c r="I50" i="17" s="1"/>
  <c r="R50" i="13"/>
  <c r="I50" i="13" s="1"/>
  <c r="R50" i="12"/>
  <c r="I50" i="12" s="1"/>
  <c r="R50" i="11"/>
  <c r="I50" i="11" s="1"/>
  <c r="R50" i="10"/>
  <c r="I50" i="10" s="1"/>
  <c r="R50" i="5"/>
  <c r="I50" i="5" s="1"/>
  <c r="R50" i="7"/>
  <c r="I50" i="7" s="1"/>
  <c r="R49" i="20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Q46" i="12"/>
  <c r="P48" i="13"/>
  <c r="S33" i="5"/>
  <c r="P47" i="12"/>
  <c r="S34" i="5"/>
  <c r="S35" i="10"/>
  <c r="P48" i="12"/>
  <c r="Q46" i="13"/>
  <c r="J35" i="10"/>
  <c r="J33" i="5"/>
  <c r="S35" i="7"/>
  <c r="S33" i="7"/>
  <c r="P47" i="5"/>
  <c r="J34" i="7"/>
  <c r="P46" i="13"/>
  <c r="P47" i="10"/>
  <c r="S34" i="7"/>
  <c r="Q47" i="11"/>
  <c r="J35" i="5"/>
  <c r="J34" i="5"/>
  <c r="J35" i="7"/>
  <c r="Q46" i="11"/>
  <c r="P46" i="7"/>
  <c r="P48" i="5"/>
  <c r="J33" i="10"/>
  <c r="P46" i="10"/>
  <c r="P48" i="10"/>
  <c r="J34" i="10"/>
  <c r="P46" i="12"/>
  <c r="S35" i="5"/>
  <c r="S34" i="10"/>
  <c r="J33" i="7"/>
  <c r="P46" i="5"/>
  <c r="P47" i="13"/>
  <c r="Q47" i="12"/>
  <c r="Q48" i="11"/>
  <c r="P48" i="7"/>
  <c r="Q47" i="13"/>
  <c r="P47" i="7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6" i="10"/>
  <c r="Q47" i="10"/>
  <c r="Q48" i="5"/>
  <c r="Q46" i="5"/>
  <c r="Q47" i="7"/>
  <c r="Q47" i="5"/>
  <c r="Q46" i="7"/>
  <c r="Q48" i="10"/>
  <c r="Q48" i="7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E29" i="15"/>
  <c r="E24" i="15"/>
  <c r="G28" i="15"/>
  <c r="G27" i="15"/>
  <c r="E23" i="15"/>
  <c r="D30" i="15"/>
  <c r="D27" i="15"/>
  <c r="G26" i="15"/>
  <c r="G29" i="15"/>
  <c r="H21" i="15"/>
  <c r="C24" i="15"/>
  <c r="H30" i="15"/>
  <c r="D24" i="15"/>
  <c r="E26" i="15"/>
  <c r="C27" i="15"/>
  <c r="B24" i="15"/>
  <c r="G25" i="15"/>
  <c r="B25" i="15"/>
  <c r="C21" i="15"/>
  <c r="F27" i="15"/>
  <c r="F26" i="15"/>
  <c r="G23" i="15"/>
  <c r="G22" i="15"/>
  <c r="C25" i="15"/>
  <c r="B30" i="15"/>
  <c r="D23" i="15"/>
  <c r="E30" i="15"/>
  <c r="F23" i="15"/>
  <c r="F21" i="15"/>
  <c r="H28" i="15"/>
  <c r="F30" i="15"/>
  <c r="D22" i="15"/>
  <c r="G24" i="15"/>
  <c r="D29" i="15"/>
  <c r="D26" i="15"/>
  <c r="C30" i="15"/>
  <c r="B29" i="15"/>
  <c r="E27" i="15"/>
  <c r="D21" i="15"/>
  <c r="F24" i="15"/>
  <c r="F29" i="15"/>
  <c r="F25" i="15"/>
  <c r="F22" i="15"/>
  <c r="E28" i="15"/>
  <c r="D25" i="15"/>
  <c r="C23" i="15"/>
  <c r="F28" i="15"/>
  <c r="H27" i="15"/>
  <c r="B27" i="15"/>
  <c r="G21" i="15"/>
  <c r="B23" i="15"/>
  <c r="E21" i="15"/>
  <c r="C28" i="15"/>
  <c r="H25" i="15"/>
  <c r="D28" i="15"/>
  <c r="B28" i="15"/>
  <c r="E22" i="15"/>
  <c r="H29" i="15"/>
  <c r="E25" i="15"/>
  <c r="B26" i="15"/>
  <c r="C26" i="15"/>
  <c r="G30" i="15"/>
  <c r="C22" i="15"/>
  <c r="H24" i="15"/>
  <c r="B21" i="15"/>
  <c r="H26" i="15"/>
  <c r="C29" i="15"/>
  <c r="H22" i="15"/>
  <c r="B22" i="15"/>
  <c r="H23" i="15"/>
  <c r="C11" i="16" l="1"/>
  <c r="C12" i="16"/>
  <c r="C13" i="16"/>
  <c r="C14" i="16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J26" i="18"/>
  <c r="S28" i="20"/>
  <c r="J29" i="10"/>
  <c r="J31" i="7"/>
  <c r="J32" i="20"/>
  <c r="S30" i="19"/>
  <c r="J27" i="20"/>
  <c r="S26" i="20"/>
  <c r="P43" i="7"/>
  <c r="J23" i="18"/>
  <c r="S29" i="11"/>
  <c r="Q44" i="20"/>
  <c r="S21" i="18"/>
  <c r="S27" i="20"/>
  <c r="J25" i="19"/>
  <c r="Q45" i="17"/>
  <c r="J24" i="19"/>
  <c r="J26" i="19"/>
  <c r="Q39" i="17"/>
  <c r="S31" i="7"/>
  <c r="S25" i="19"/>
  <c r="S32" i="19"/>
  <c r="S27" i="19"/>
  <c r="S32" i="20"/>
  <c r="S31" i="13"/>
  <c r="S31" i="20"/>
  <c r="S30" i="17"/>
  <c r="J28" i="18"/>
  <c r="J28" i="20"/>
  <c r="S32" i="18"/>
  <c r="Q45" i="18"/>
  <c r="J19" i="18"/>
  <c r="J29" i="11"/>
  <c r="J22" i="19"/>
  <c r="J30" i="17"/>
  <c r="S31" i="17"/>
  <c r="J23" i="17"/>
  <c r="J21" i="18"/>
  <c r="S29" i="12"/>
  <c r="J31" i="11"/>
  <c r="S23" i="20"/>
  <c r="S29" i="20"/>
  <c r="S28" i="18"/>
  <c r="Q27" i="17"/>
  <c r="P43" i="11"/>
  <c r="J26" i="17"/>
  <c r="J20" i="18"/>
  <c r="J30" i="12"/>
  <c r="S30" i="7"/>
  <c r="J30" i="13"/>
  <c r="S22" i="17"/>
  <c r="S29" i="10"/>
  <c r="S31" i="12"/>
  <c r="S29" i="7"/>
  <c r="P43" i="13"/>
  <c r="S31" i="5"/>
  <c r="J32" i="5"/>
  <c r="J29" i="20"/>
  <c r="S23" i="18"/>
  <c r="Q45" i="20"/>
  <c r="J28" i="17"/>
  <c r="Q44" i="19"/>
  <c r="S26" i="17"/>
  <c r="Q42" i="17"/>
  <c r="S18" i="20"/>
  <c r="S32" i="13"/>
  <c r="S30" i="5"/>
  <c r="D13" i="16"/>
  <c r="S22" i="20"/>
  <c r="S29" i="17"/>
  <c r="P45" i="12"/>
  <c r="S19" i="20"/>
  <c r="J18" i="17"/>
  <c r="J30" i="10"/>
  <c r="S20" i="20"/>
  <c r="Q28" i="17"/>
  <c r="J31" i="12"/>
  <c r="J18" i="19"/>
  <c r="S18" i="17"/>
  <c r="J22" i="17"/>
  <c r="Q26" i="17"/>
  <c r="S31" i="11"/>
  <c r="J28" i="19"/>
  <c r="S22" i="18"/>
  <c r="S32" i="17"/>
  <c r="J19" i="17"/>
  <c r="S21" i="17"/>
  <c r="Q44" i="17"/>
  <c r="J30" i="20"/>
  <c r="D11" i="16"/>
  <c r="S26" i="18"/>
  <c r="J31" i="13"/>
  <c r="J30" i="7"/>
  <c r="J27" i="19"/>
  <c r="P43" i="5"/>
  <c r="P42" i="7"/>
  <c r="S29" i="13"/>
  <c r="S30" i="10"/>
  <c r="Q29" i="17"/>
  <c r="J30" i="5"/>
  <c r="J31" i="17"/>
  <c r="Q43" i="17"/>
  <c r="S30" i="18"/>
  <c r="D14" i="16"/>
  <c r="S31" i="18"/>
  <c r="S19" i="19"/>
  <c r="S31" i="10"/>
  <c r="J27" i="17"/>
  <c r="P44" i="11"/>
  <c r="Q37" i="17"/>
  <c r="D12" i="16"/>
  <c r="Q34" i="17"/>
  <c r="J30" i="19"/>
  <c r="J31" i="19"/>
  <c r="S20" i="19"/>
  <c r="J31" i="5"/>
  <c r="J22" i="18"/>
  <c r="J32" i="12"/>
  <c r="S20" i="17"/>
  <c r="P45" i="5"/>
  <c r="Q31" i="17"/>
  <c r="J26" i="20"/>
  <c r="S30" i="11"/>
  <c r="J29" i="17"/>
  <c r="Q22" i="17"/>
  <c r="J31" i="10"/>
  <c r="Q41" i="17"/>
  <c r="S32" i="7"/>
  <c r="J25" i="20"/>
  <c r="Q35" i="17"/>
  <c r="S28" i="17"/>
  <c r="J32" i="11"/>
  <c r="J29" i="7"/>
  <c r="S27" i="17"/>
  <c r="P43" i="12"/>
  <c r="S26" i="19"/>
  <c r="J29" i="13"/>
  <c r="J29" i="12"/>
  <c r="S21" i="20"/>
  <c r="Q33" i="17"/>
  <c r="Q25" i="17"/>
  <c r="S19" i="18"/>
  <c r="J19" i="19"/>
  <c r="J32" i="18"/>
  <c r="S24" i="20"/>
  <c r="Q30" i="17"/>
  <c r="P44" i="5"/>
  <c r="J29" i="5"/>
  <c r="S18" i="19"/>
  <c r="J32" i="19"/>
  <c r="Q21" i="17"/>
  <c r="S28" i="19"/>
  <c r="J27" i="18"/>
  <c r="J32" i="13"/>
  <c r="S29" i="5"/>
  <c r="S30" i="12"/>
  <c r="S32" i="11"/>
  <c r="J24" i="20"/>
  <c r="S20" i="18"/>
  <c r="J24" i="17"/>
  <c r="S27" i="18"/>
  <c r="S31" i="19"/>
  <c r="P44" i="7"/>
  <c r="J32" i="10"/>
  <c r="S32" i="12"/>
  <c r="P42" i="11"/>
  <c r="P45" i="7"/>
  <c r="J20" i="19"/>
  <c r="J21" i="20"/>
  <c r="Q36" i="17"/>
  <c r="S25" i="20"/>
  <c r="J25" i="18"/>
  <c r="Q43" i="20"/>
  <c r="S19" i="17"/>
  <c r="J30" i="11"/>
  <c r="S30" i="13"/>
  <c r="P44" i="12"/>
  <c r="Q19" i="17"/>
  <c r="J21" i="17"/>
  <c r="J31" i="20"/>
  <c r="J21" i="19"/>
  <c r="S23" i="17"/>
  <c r="S30" i="20"/>
  <c r="P42" i="12"/>
  <c r="S23" i="19"/>
  <c r="J18" i="18"/>
  <c r="J29" i="19"/>
  <c r="P44" i="13"/>
  <c r="Q43" i="19"/>
  <c r="P42" i="5"/>
  <c r="S21" i="19"/>
  <c r="J32" i="17"/>
  <c r="Q23" i="17"/>
  <c r="J19" i="20"/>
  <c r="Q20" i="17"/>
  <c r="S29" i="18"/>
  <c r="J18" i="20"/>
  <c r="S18" i="18"/>
  <c r="S24" i="18"/>
  <c r="J22" i="20"/>
  <c r="S22" i="19"/>
  <c r="Q40" i="17"/>
  <c r="S24" i="17"/>
  <c r="S32" i="10"/>
  <c r="J20" i="17"/>
  <c r="S24" i="19"/>
  <c r="J25" i="17"/>
  <c r="S32" i="5"/>
  <c r="J30" i="18"/>
  <c r="Q24" i="17"/>
  <c r="Q45" i="19"/>
  <c r="P42" i="13"/>
  <c r="J32" i="7"/>
  <c r="P45" i="11"/>
  <c r="J31" i="18"/>
  <c r="J24" i="18"/>
  <c r="Q32" i="17"/>
  <c r="Q38" i="17"/>
  <c r="S25" i="17"/>
  <c r="S25" i="18"/>
  <c r="J23" i="19"/>
  <c r="J23" i="20"/>
  <c r="J29" i="18"/>
  <c r="S29" i="19"/>
  <c r="P45" i="13"/>
  <c r="J20" i="20"/>
  <c r="S55" i="20" l="1"/>
  <c r="S55" i="19"/>
  <c r="S55" i="18"/>
  <c r="S55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K6" i="16"/>
  <c r="P38" i="17"/>
  <c r="P23" i="20"/>
  <c r="P35" i="17"/>
  <c r="Q27" i="18"/>
  <c r="Q34" i="20"/>
  <c r="P39" i="18"/>
  <c r="P36" i="19"/>
  <c r="Q45" i="10"/>
  <c r="Q30" i="18"/>
  <c r="P23" i="18"/>
  <c r="P21" i="18"/>
  <c r="Q33" i="18"/>
  <c r="P44" i="17"/>
  <c r="P42" i="19"/>
  <c r="P36" i="18"/>
  <c r="P42" i="20"/>
  <c r="Q24" i="19"/>
  <c r="Q35" i="18"/>
  <c r="P43" i="19"/>
  <c r="P34" i="18"/>
  <c r="P42" i="18"/>
  <c r="P42" i="10"/>
  <c r="P24" i="18"/>
  <c r="P33" i="20"/>
  <c r="P38" i="18"/>
  <c r="Q43" i="10"/>
  <c r="P27" i="19"/>
  <c r="Q41" i="18"/>
  <c r="Q43" i="13"/>
  <c r="Q45" i="7"/>
  <c r="P41" i="20"/>
  <c r="P42" i="17"/>
  <c r="Q24" i="18"/>
  <c r="Q42" i="7"/>
  <c r="P31" i="18"/>
  <c r="Q42" i="19"/>
  <c r="Q28" i="19"/>
  <c r="P30" i="20"/>
  <c r="P45" i="18"/>
  <c r="P25" i="19"/>
  <c r="Q25" i="19"/>
  <c r="P29" i="20"/>
  <c r="Q42" i="5"/>
  <c r="P31" i="19"/>
  <c r="Q45" i="13"/>
  <c r="Q31" i="20"/>
  <c r="P44" i="18"/>
  <c r="Q21" i="20"/>
  <c r="Q42" i="18"/>
  <c r="P26" i="20"/>
  <c r="Q45" i="5"/>
  <c r="P39" i="19"/>
  <c r="P19" i="17"/>
  <c r="P23" i="19"/>
  <c r="Q43" i="18"/>
  <c r="Q35" i="20"/>
  <c r="P24" i="19"/>
  <c r="Q38" i="20"/>
  <c r="P25" i="20"/>
  <c r="Q19" i="19"/>
  <c r="P45" i="17"/>
  <c r="P24" i="20"/>
  <c r="P21" i="19"/>
  <c r="P29" i="19"/>
  <c r="Q41" i="19"/>
  <c r="P31" i="20"/>
  <c r="P28" i="18"/>
  <c r="P28" i="19"/>
  <c r="Q43" i="7"/>
  <c r="P45" i="10"/>
  <c r="Q29" i="18"/>
  <c r="Q34" i="18"/>
  <c r="Q33" i="20"/>
  <c r="Q36" i="19"/>
  <c r="P34" i="20"/>
  <c r="Q39" i="19"/>
  <c r="P37" i="20"/>
  <c r="P39" i="20"/>
  <c r="Q28" i="20"/>
  <c r="P26" i="17"/>
  <c r="Q24" i="20"/>
  <c r="Q43" i="5"/>
  <c r="Q25" i="18"/>
  <c r="P33" i="17"/>
  <c r="Q30" i="19"/>
  <c r="P20" i="20"/>
  <c r="Q45" i="12"/>
  <c r="Q44" i="18"/>
  <c r="P41" i="19"/>
  <c r="Q32" i="18"/>
  <c r="P32" i="19"/>
  <c r="P38" i="20"/>
  <c r="P22" i="18"/>
  <c r="P26" i="19"/>
  <c r="P41" i="18"/>
  <c r="P27" i="17"/>
  <c r="P24" i="17"/>
  <c r="Q32" i="19"/>
  <c r="Q37" i="19"/>
  <c r="P36" i="20"/>
  <c r="Q21" i="19"/>
  <c r="P30" i="18"/>
  <c r="P44" i="20"/>
  <c r="P34" i="19"/>
  <c r="Q29" i="20"/>
  <c r="Q42" i="20"/>
  <c r="P33" i="18"/>
  <c r="P19" i="20"/>
  <c r="P36" i="17"/>
  <c r="Q39" i="20"/>
  <c r="Q20" i="20"/>
  <c r="Q42" i="11"/>
  <c r="Q44" i="11"/>
  <c r="P29" i="17"/>
  <c r="P35" i="18"/>
  <c r="Q28" i="18"/>
  <c r="Q31" i="19"/>
  <c r="P22" i="19"/>
  <c r="Q20" i="19"/>
  <c r="Q44" i="10"/>
  <c r="Q26" i="19"/>
  <c r="P37" i="18"/>
  <c r="Q38" i="19"/>
  <c r="Q19" i="18"/>
  <c r="Q22" i="19"/>
  <c r="Q25" i="20"/>
  <c r="Q40" i="19"/>
  <c r="Q21" i="18"/>
  <c r="Q44" i="7"/>
  <c r="P44" i="19"/>
  <c r="Q26" i="20"/>
  <c r="P26" i="18"/>
  <c r="Q23" i="20"/>
  <c r="Q42" i="13"/>
  <c r="Q23" i="18"/>
  <c r="P43" i="20"/>
  <c r="Q23" i="19"/>
  <c r="P28" i="20"/>
  <c r="P28" i="17"/>
  <c r="Q42" i="10"/>
  <c r="P43" i="10"/>
  <c r="P20" i="19"/>
  <c r="P32" i="18"/>
  <c r="P32" i="17"/>
  <c r="Q43" i="12"/>
  <c r="Q40" i="20"/>
  <c r="Q41" i="20"/>
  <c r="P32" i="20"/>
  <c r="P40" i="20"/>
  <c r="P35" i="20"/>
  <c r="Q44" i="12"/>
  <c r="P19" i="19"/>
  <c r="Q38" i="18"/>
  <c r="P41" i="17"/>
  <c r="P40" i="17"/>
  <c r="Q33" i="19"/>
  <c r="Q20" i="18"/>
  <c r="Q26" i="18"/>
  <c r="P21" i="20"/>
  <c r="Q37" i="18"/>
  <c r="P45" i="19"/>
  <c r="P25" i="17"/>
  <c r="P39" i="17"/>
  <c r="Q30" i="20"/>
  <c r="Q44" i="13"/>
  <c r="P25" i="18"/>
  <c r="Q27" i="20"/>
  <c r="P40" i="19"/>
  <c r="P38" i="19"/>
  <c r="Q22" i="20"/>
  <c r="Q32" i="20"/>
  <c r="P31" i="17"/>
  <c r="P37" i="19"/>
  <c r="P35" i="19"/>
  <c r="P23" i="17"/>
  <c r="P34" i="17"/>
  <c r="Q39" i="18"/>
  <c r="Q36" i="18"/>
  <c r="P44" i="10"/>
  <c r="Q29" i="19"/>
  <c r="Q36" i="20"/>
  <c r="P27" i="20"/>
  <c r="P19" i="18"/>
  <c r="Q40" i="18"/>
  <c r="Q35" i="19"/>
  <c r="Q34" i="19"/>
  <c r="P29" i="18"/>
  <c r="P27" i="18"/>
  <c r="P22" i="20"/>
  <c r="P43" i="17"/>
  <c r="P33" i="19"/>
  <c r="Q37" i="20"/>
  <c r="P43" i="18"/>
  <c r="P22" i="17"/>
  <c r="P45" i="20"/>
  <c r="Q44" i="5"/>
  <c r="Q31" i="18"/>
  <c r="Q22" i="18"/>
  <c r="Q45" i="11"/>
  <c r="P21" i="17"/>
  <c r="Q42" i="12"/>
  <c r="P30" i="17"/>
  <c r="P20" i="17"/>
  <c r="P40" i="18"/>
  <c r="Q43" i="11"/>
  <c r="P37" i="17"/>
  <c r="Q19" i="20"/>
  <c r="P20" i="18"/>
  <c r="P30" i="19"/>
  <c r="Q27" i="19"/>
  <c r="Y5" i="4" l="1"/>
  <c r="Y6" i="4" s="1"/>
  <c r="R45" i="20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V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X5" i="4"/>
  <c r="X6" i="4" s="1"/>
  <c r="W5" i="4"/>
  <c r="W6" i="4" s="1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U12" i="16"/>
  <c r="U10" i="16"/>
  <c r="T13" i="16"/>
  <c r="V9" i="16"/>
  <c r="T6" i="16"/>
  <c r="V17" i="16"/>
  <c r="V7" i="16"/>
  <c r="U16" i="16"/>
  <c r="V13" i="16"/>
  <c r="U17" i="16"/>
  <c r="Z16" i="16"/>
  <c r="AA17" i="16"/>
  <c r="T5" i="16"/>
  <c r="V12" i="16"/>
  <c r="T18" i="16"/>
  <c r="U11" i="16"/>
  <c r="Y18" i="16"/>
  <c r="Y16" i="16"/>
  <c r="V6" i="16"/>
  <c r="U7" i="16"/>
  <c r="T14" i="16"/>
  <c r="AA15" i="16"/>
  <c r="U8" i="16"/>
  <c r="U14" i="16"/>
  <c r="V8" i="16"/>
  <c r="T10" i="16"/>
  <c r="V16" i="16"/>
  <c r="U15" i="16"/>
  <c r="U9" i="16"/>
  <c r="U5" i="16"/>
  <c r="Y17" i="16"/>
  <c r="T12" i="16"/>
  <c r="AB14" i="16" l="1"/>
  <c r="AB12" i="16"/>
  <c r="AB13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V5" i="16"/>
  <c r="V10" i="16"/>
  <c r="D9" i="16"/>
  <c r="D8" i="16"/>
  <c r="T11" i="16"/>
  <c r="Z18" i="16"/>
  <c r="V11" i="16"/>
  <c r="AA18" i="16"/>
  <c r="U13" i="16"/>
  <c r="Z17" i="16"/>
  <c r="D7" i="16"/>
  <c r="V15" i="16"/>
  <c r="T8" i="16"/>
  <c r="Y15" i="16"/>
  <c r="V18" i="16"/>
  <c r="D10" i="16"/>
  <c r="Z15" i="16"/>
  <c r="T17" i="16"/>
  <c r="D6" i="16"/>
  <c r="U6" i="16"/>
  <c r="V14" i="16"/>
  <c r="T9" i="16"/>
  <c r="T15" i="16"/>
  <c r="D5" i="16"/>
  <c r="U18" i="16"/>
  <c r="T7" i="16"/>
  <c r="AA16" i="16"/>
  <c r="T16" i="16"/>
  <c r="AB16" i="16" l="1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Q41" i="13"/>
  <c r="J25" i="13"/>
  <c r="S26" i="12"/>
  <c r="J25" i="12"/>
  <c r="S19" i="12"/>
  <c r="S20" i="12"/>
  <c r="Q40" i="12"/>
  <c r="J28" i="11"/>
  <c r="S27" i="11"/>
  <c r="J23" i="11"/>
  <c r="S19" i="13"/>
  <c r="S20" i="13"/>
  <c r="S24" i="11"/>
  <c r="J26" i="13"/>
  <c r="S24" i="12"/>
  <c r="J22" i="13"/>
  <c r="J24" i="12"/>
  <c r="S21" i="11"/>
  <c r="J28" i="12"/>
  <c r="J24" i="11"/>
  <c r="S24" i="13"/>
  <c r="J22" i="12"/>
  <c r="S18" i="13"/>
  <c r="J27" i="11"/>
  <c r="J25" i="11"/>
  <c r="J18" i="13"/>
  <c r="S27" i="13"/>
  <c r="J23" i="12"/>
  <c r="S22" i="12"/>
  <c r="J28" i="13"/>
  <c r="J18" i="11"/>
  <c r="Q40" i="11"/>
  <c r="S22" i="13"/>
  <c r="Q41" i="12"/>
  <c r="J21" i="13"/>
  <c r="S28" i="12"/>
  <c r="S28" i="13"/>
  <c r="J21" i="12"/>
  <c r="S21" i="12"/>
  <c r="J19" i="12"/>
  <c r="S22" i="11"/>
  <c r="S25" i="12"/>
  <c r="S27" i="12"/>
  <c r="J26" i="12"/>
  <c r="J27" i="12"/>
  <c r="J20" i="13"/>
  <c r="S23" i="11"/>
  <c r="J22" i="11"/>
  <c r="J20" i="11"/>
  <c r="S18" i="12"/>
  <c r="S25" i="13"/>
  <c r="J19" i="13"/>
  <c r="S20" i="11"/>
  <c r="J23" i="13"/>
  <c r="J26" i="11"/>
  <c r="J18" i="12"/>
  <c r="S19" i="11"/>
  <c r="S26" i="13"/>
  <c r="S28" i="11"/>
  <c r="J27" i="13"/>
  <c r="J19" i="11"/>
  <c r="S23" i="13"/>
  <c r="J21" i="11"/>
  <c r="S18" i="11"/>
  <c r="Q40" i="13"/>
  <c r="Q41" i="11"/>
  <c r="S21" i="13"/>
  <c r="S25" i="11"/>
  <c r="J20" i="12"/>
  <c r="J24" i="13"/>
  <c r="S23" i="12"/>
  <c r="S26" i="11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55" i="13"/>
  <c r="S55" i="12"/>
  <c r="S55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H43" i="7" l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27" i="12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N8" i="5"/>
  <c r="O24" i="5"/>
  <c r="N25" i="10"/>
  <c r="N14" i="10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H28" i="12" l="1"/>
  <c r="I18" i="7"/>
  <c r="E5" i="4"/>
  <c r="D5" i="4"/>
  <c r="H29" i="12" l="1"/>
  <c r="Q32" i="12"/>
  <c r="Q33" i="11"/>
  <c r="Q30" i="11"/>
  <c r="Z13" i="16"/>
  <c r="P26" i="13"/>
  <c r="Q33" i="12"/>
  <c r="Q23" i="11"/>
  <c r="S18" i="7"/>
  <c r="Q22" i="12"/>
  <c r="P24" i="12"/>
  <c r="S26" i="10"/>
  <c r="P39" i="13"/>
  <c r="Q19" i="13"/>
  <c r="Q26" i="12"/>
  <c r="P33" i="5"/>
  <c r="Q38" i="10"/>
  <c r="Q20" i="10"/>
  <c r="AA10" i="16"/>
  <c r="P25" i="7"/>
  <c r="Q22" i="10"/>
  <c r="Q30" i="10"/>
  <c r="P32" i="5"/>
  <c r="Z9" i="16"/>
  <c r="P20" i="11"/>
  <c r="Q34" i="13"/>
  <c r="Q26" i="7"/>
  <c r="P19" i="7"/>
  <c r="P41" i="13"/>
  <c r="P22" i="13"/>
  <c r="Q36" i="11"/>
  <c r="J23" i="7"/>
  <c r="P29" i="11"/>
  <c r="S23" i="10"/>
  <c r="P30" i="13"/>
  <c r="S23" i="5"/>
  <c r="P41" i="7"/>
  <c r="Q31" i="13"/>
  <c r="Q35" i="13"/>
  <c r="P32" i="11"/>
  <c r="AA14" i="16"/>
  <c r="P35" i="13"/>
  <c r="P27" i="10"/>
  <c r="P25" i="10"/>
  <c r="Q34" i="5"/>
  <c r="Q32" i="10"/>
  <c r="Q20" i="5"/>
  <c r="Y5" i="16"/>
  <c r="P33" i="10"/>
  <c r="Y7" i="16"/>
  <c r="P21" i="7"/>
  <c r="P37" i="11"/>
  <c r="J22" i="7"/>
  <c r="P20" i="12"/>
  <c r="J18" i="10"/>
  <c r="P38" i="7"/>
  <c r="P19" i="12"/>
  <c r="Q37" i="7"/>
  <c r="Q28" i="10"/>
  <c r="S28" i="10"/>
  <c r="Q21" i="11"/>
  <c r="AA11" i="16"/>
  <c r="Q39" i="5"/>
  <c r="P25" i="11"/>
  <c r="S24" i="7"/>
  <c r="P21" i="12"/>
  <c r="P25" i="12"/>
  <c r="S25" i="10"/>
  <c r="Q27" i="11"/>
  <c r="Q26" i="11"/>
  <c r="J28" i="5"/>
  <c r="J27" i="5"/>
  <c r="Y12" i="16"/>
  <c r="Q23" i="10"/>
  <c r="Y10" i="16"/>
  <c r="P26" i="5"/>
  <c r="P31" i="7"/>
  <c r="P37" i="5"/>
  <c r="Z8" i="16"/>
  <c r="P30" i="7"/>
  <c r="P30" i="5"/>
  <c r="Q33" i="5"/>
  <c r="P31" i="11"/>
  <c r="Q38" i="5"/>
  <c r="P19" i="11"/>
  <c r="Q25" i="11"/>
  <c r="J25" i="10"/>
  <c r="J22" i="5"/>
  <c r="J21" i="10"/>
  <c r="Q41" i="7"/>
  <c r="P34" i="7"/>
  <c r="Q26" i="10"/>
  <c r="Q37" i="10"/>
  <c r="X14" i="16"/>
  <c r="X18" i="16"/>
  <c r="Q26" i="5"/>
  <c r="Y13" i="16"/>
  <c r="Q37" i="12"/>
  <c r="S28" i="5"/>
  <c r="Q20" i="11"/>
  <c r="Q29" i="12"/>
  <c r="Q32" i="5"/>
  <c r="P32" i="10"/>
  <c r="Q22" i="7"/>
  <c r="J21" i="5"/>
  <c r="S21" i="7"/>
  <c r="P31" i="5"/>
  <c r="P32" i="12"/>
  <c r="S20" i="10"/>
  <c r="P40" i="7"/>
  <c r="Q37" i="11"/>
  <c r="J24" i="10"/>
  <c r="Q35" i="5"/>
  <c r="P29" i="7"/>
  <c r="P40" i="13"/>
  <c r="Q30" i="12"/>
  <c r="P34" i="11"/>
  <c r="Q24" i="12"/>
  <c r="P38" i="12"/>
  <c r="J28" i="7"/>
  <c r="S21" i="10"/>
  <c r="P28" i="13"/>
  <c r="Q27" i="12"/>
  <c r="S25" i="5"/>
  <c r="Q32" i="11"/>
  <c r="Z11" i="16"/>
  <c r="J24" i="7"/>
  <c r="P19" i="13"/>
  <c r="P31" i="13"/>
  <c r="Q40" i="5"/>
  <c r="Q24" i="7"/>
  <c r="P38" i="5"/>
  <c r="Q36" i="7"/>
  <c r="Z6" i="16"/>
  <c r="P30" i="10"/>
  <c r="Q28" i="5"/>
  <c r="Q33" i="10"/>
  <c r="AA7" i="16"/>
  <c r="P32" i="7"/>
  <c r="P39" i="12"/>
  <c r="J27" i="10"/>
  <c r="P22" i="5"/>
  <c r="Q21" i="5"/>
  <c r="Q32" i="13"/>
  <c r="Q21" i="12"/>
  <c r="S24" i="10"/>
  <c r="S19" i="10"/>
  <c r="P23" i="11"/>
  <c r="Q39" i="13"/>
  <c r="Q35" i="11"/>
  <c r="Q22" i="13"/>
  <c r="J26" i="10"/>
  <c r="S23" i="7"/>
  <c r="J22" i="10"/>
  <c r="S27" i="5"/>
  <c r="P26" i="12"/>
  <c r="Q20" i="13"/>
  <c r="P24" i="10"/>
  <c r="Q36" i="5"/>
  <c r="Q35" i="10"/>
  <c r="P21" i="10"/>
  <c r="Z5" i="16"/>
  <c r="P34" i="5"/>
  <c r="Q25" i="7"/>
  <c r="Q34" i="10"/>
  <c r="P26" i="7"/>
  <c r="P29" i="12"/>
  <c r="P36" i="13"/>
  <c r="P22" i="11"/>
  <c r="Q25" i="13"/>
  <c r="S22" i="7"/>
  <c r="P27" i="13"/>
  <c r="Q23" i="5"/>
  <c r="Q24" i="10"/>
  <c r="J20" i="10"/>
  <c r="S26" i="5"/>
  <c r="Y11" i="16"/>
  <c r="P35" i="12"/>
  <c r="P35" i="11"/>
  <c r="Z14" i="16"/>
  <c r="P37" i="13"/>
  <c r="S19" i="5"/>
  <c r="P37" i="12"/>
  <c r="P24" i="11"/>
  <c r="J23" i="10"/>
  <c r="P40" i="11"/>
  <c r="P23" i="13"/>
  <c r="J25" i="7"/>
  <c r="P20" i="7"/>
  <c r="Q40" i="10"/>
  <c r="Q31" i="7"/>
  <c r="P31" i="10"/>
  <c r="Q22" i="5"/>
  <c r="P40" i="10"/>
  <c r="P39" i="10"/>
  <c r="Z7" i="16"/>
  <c r="Q35" i="7"/>
  <c r="S22" i="5"/>
  <c r="P33" i="11"/>
  <c r="Q38" i="12"/>
  <c r="P39" i="7"/>
  <c r="P41" i="12"/>
  <c r="Q41" i="5"/>
  <c r="Q27" i="10"/>
  <c r="P39" i="5"/>
  <c r="Q28" i="7"/>
  <c r="AA8" i="16"/>
  <c r="P23" i="5"/>
  <c r="X12" i="16"/>
  <c r="X13" i="16"/>
  <c r="Q28" i="13"/>
  <c r="Q28" i="12"/>
  <c r="P24" i="13"/>
  <c r="J19" i="10"/>
  <c r="Q23" i="12"/>
  <c r="J19" i="5"/>
  <c r="Z12" i="16"/>
  <c r="P34" i="12"/>
  <c r="Q34" i="7"/>
  <c r="P19" i="5"/>
  <c r="Q24" i="5"/>
  <c r="J26" i="5"/>
  <c r="AA13" i="16"/>
  <c r="P24" i="7"/>
  <c r="Q37" i="13"/>
  <c r="P40" i="12"/>
  <c r="Q26" i="13"/>
  <c r="J27" i="7"/>
  <c r="P38" i="11"/>
  <c r="Q37" i="5"/>
  <c r="Q21" i="7"/>
  <c r="Q29" i="10"/>
  <c r="S25" i="7"/>
  <c r="P28" i="7"/>
  <c r="S27" i="7"/>
  <c r="P25" i="13"/>
  <c r="S27" i="10"/>
  <c r="AA12" i="16"/>
  <c r="P23" i="7"/>
  <c r="P20" i="10"/>
  <c r="Q30" i="5"/>
  <c r="P37" i="7"/>
  <c r="S24" i="5"/>
  <c r="S26" i="7"/>
  <c r="P20" i="13"/>
  <c r="J19" i="7"/>
  <c r="Q34" i="11"/>
  <c r="S18" i="5"/>
  <c r="S18" i="10"/>
  <c r="Q36" i="13"/>
  <c r="Q27" i="13"/>
  <c r="Q35" i="12"/>
  <c r="P22" i="7"/>
  <c r="P39" i="11"/>
  <c r="Q25" i="12"/>
  <c r="S20" i="5"/>
  <c r="Q30" i="13"/>
  <c r="Q29" i="5"/>
  <c r="Q32" i="7"/>
  <c r="P35" i="5"/>
  <c r="P40" i="5"/>
  <c r="AA9" i="16"/>
  <c r="Q29" i="7"/>
  <c r="Q25" i="5"/>
  <c r="P27" i="7"/>
  <c r="Q25" i="10"/>
  <c r="P32" i="13"/>
  <c r="Y8" i="16"/>
  <c r="Q21" i="10"/>
  <c r="Q39" i="10"/>
  <c r="S21" i="5"/>
  <c r="Q20" i="12"/>
  <c r="J18" i="5"/>
  <c r="P30" i="12"/>
  <c r="P27" i="11"/>
  <c r="Q31" i="11"/>
  <c r="S22" i="10"/>
  <c r="P21" i="13"/>
  <c r="Q36" i="12"/>
  <c r="Q28" i="11"/>
  <c r="Q23" i="13"/>
  <c r="Q24" i="13"/>
  <c r="Q29" i="11"/>
  <c r="Q31" i="12"/>
  <c r="P41" i="10"/>
  <c r="Q31" i="10"/>
  <c r="Z10" i="16"/>
  <c r="P23" i="10"/>
  <c r="AA6" i="16"/>
  <c r="P29" i="5"/>
  <c r="Q41" i="10"/>
  <c r="P26" i="10"/>
  <c r="P28" i="5"/>
  <c r="P22" i="12"/>
  <c r="P26" i="11"/>
  <c r="J26" i="7"/>
  <c r="J20" i="5"/>
  <c r="Q39" i="12"/>
  <c r="P24" i="5"/>
  <c r="Q19" i="5"/>
  <c r="P25" i="5"/>
  <c r="Q24" i="11"/>
  <c r="P23" i="12"/>
  <c r="S28" i="7"/>
  <c r="Q38" i="13"/>
  <c r="P31" i="12"/>
  <c r="Q33" i="13"/>
  <c r="J18" i="7"/>
  <c r="Y14" i="16"/>
  <c r="P30" i="11"/>
  <c r="Q21" i="13"/>
  <c r="Q19" i="12"/>
  <c r="P33" i="12"/>
  <c r="P38" i="13"/>
  <c r="P29" i="10"/>
  <c r="Q38" i="7"/>
  <c r="P41" i="5"/>
  <c r="Q39" i="7"/>
  <c r="AA5" i="16"/>
  <c r="P33" i="7"/>
  <c r="Q27" i="5"/>
  <c r="Q40" i="7"/>
  <c r="Q23" i="7"/>
  <c r="Q19" i="10"/>
  <c r="J25" i="5"/>
  <c r="P34" i="13"/>
  <c r="Q29" i="13"/>
  <c r="S19" i="7"/>
  <c r="P36" i="12"/>
  <c r="P36" i="11"/>
  <c r="P34" i="10"/>
  <c r="Q19" i="7"/>
  <c r="P27" i="5"/>
  <c r="P20" i="5"/>
  <c r="X15" i="16"/>
  <c r="X16" i="16"/>
  <c r="X11" i="16"/>
  <c r="J24" i="5"/>
  <c r="P33" i="13"/>
  <c r="J21" i="7"/>
  <c r="P27" i="12"/>
  <c r="Q22" i="11"/>
  <c r="P22" i="10"/>
  <c r="P21" i="5"/>
  <c r="P36" i="10"/>
  <c r="P35" i="7"/>
  <c r="Q30" i="7"/>
  <c r="Q27" i="7"/>
  <c r="Q33" i="7"/>
  <c r="Q39" i="11"/>
  <c r="P28" i="12"/>
  <c r="P28" i="11"/>
  <c r="P37" i="10"/>
  <c r="P36" i="7"/>
  <c r="P19" i="10"/>
  <c r="P36" i="5"/>
  <c r="J28" i="10"/>
  <c r="P29" i="13"/>
  <c r="J20" i="7"/>
  <c r="P41" i="11"/>
  <c r="Q19" i="11"/>
  <c r="Q34" i="12"/>
  <c r="P38" i="10"/>
  <c r="Y6" i="16"/>
  <c r="Q31" i="5"/>
  <c r="Q36" i="10"/>
  <c r="P21" i="11"/>
  <c r="J23" i="5"/>
  <c r="Q20" i="7"/>
  <c r="X17" i="16"/>
  <c r="W11" i="16"/>
  <c r="Q38" i="11"/>
  <c r="P35" i="10"/>
  <c r="S20" i="7"/>
  <c r="Y9" i="16"/>
  <c r="P28" i="10"/>
  <c r="W5" i="16"/>
  <c r="X9" i="16"/>
  <c r="X7" i="16"/>
  <c r="X10" i="16"/>
  <c r="X8" i="16"/>
  <c r="W12" i="16"/>
  <c r="X6" i="16"/>
  <c r="R28" i="10" l="1"/>
  <c r="I28" i="10" s="1"/>
  <c r="R35" i="10"/>
  <c r="I35" i="10" s="1"/>
  <c r="L23" i="5"/>
  <c r="K23" i="5"/>
  <c r="R21" i="11"/>
  <c r="I21" i="11" s="1"/>
  <c r="R38" i="10"/>
  <c r="I38" i="10" s="1"/>
  <c r="R41" i="11"/>
  <c r="I41" i="11" s="1"/>
  <c r="K20" i="7"/>
  <c r="L20" i="7"/>
  <c r="R29" i="13"/>
  <c r="I29" i="13" s="1"/>
  <c r="L28" i="10"/>
  <c r="K28" i="10"/>
  <c r="R36" i="5"/>
  <c r="I36" i="5" s="1"/>
  <c r="R19" i="10"/>
  <c r="I19" i="10" s="1"/>
  <c r="R36" i="7"/>
  <c r="I36" i="7" s="1"/>
  <c r="R37" i="10"/>
  <c r="I37" i="10" s="1"/>
  <c r="R28" i="11"/>
  <c r="I28" i="11" s="1"/>
  <c r="R28" i="12"/>
  <c r="I28" i="12" s="1"/>
  <c r="R35" i="7"/>
  <c r="I35" i="7" s="1"/>
  <c r="R36" i="10"/>
  <c r="I36" i="10" s="1"/>
  <c r="R21" i="5"/>
  <c r="I21" i="5" s="1"/>
  <c r="R22" i="10"/>
  <c r="I22" i="10" s="1"/>
  <c r="R27" i="12"/>
  <c r="I27" i="12" s="1"/>
  <c r="K21" i="7"/>
  <c r="L21" i="7"/>
  <c r="R33" i="13"/>
  <c r="I33" i="13" s="1"/>
  <c r="K24" i="5"/>
  <c r="L24" i="5"/>
  <c r="R20" i="5"/>
  <c r="I20" i="5" s="1"/>
  <c r="R27" i="5"/>
  <c r="I27" i="5" s="1"/>
  <c r="R34" i="10"/>
  <c r="I34" i="10" s="1"/>
  <c r="R36" i="11"/>
  <c r="I36" i="11" s="1"/>
  <c r="R36" i="12"/>
  <c r="I36" i="12" s="1"/>
  <c r="R34" i="13"/>
  <c r="I34" i="13" s="1"/>
  <c r="K25" i="5"/>
  <c r="L25" i="5"/>
  <c r="R33" i="7"/>
  <c r="I33" i="7" s="1"/>
  <c r="R41" i="5"/>
  <c r="I41" i="5" s="1"/>
  <c r="R29" i="10"/>
  <c r="I29" i="10" s="1"/>
  <c r="R38" i="13"/>
  <c r="I38" i="13" s="1"/>
  <c r="R33" i="12"/>
  <c r="I33" i="12" s="1"/>
  <c r="R30" i="11"/>
  <c r="I30" i="11" s="1"/>
  <c r="K18" i="7"/>
  <c r="L18" i="7"/>
  <c r="R31" i="12"/>
  <c r="I31" i="12" s="1"/>
  <c r="R23" i="12"/>
  <c r="I23" i="12" s="1"/>
  <c r="R25" i="5"/>
  <c r="I25" i="5" s="1"/>
  <c r="R24" i="5"/>
  <c r="I24" i="5" s="1"/>
  <c r="K20" i="5"/>
  <c r="L20" i="5"/>
  <c r="L26" i="7"/>
  <c r="K26" i="7"/>
  <c r="R26" i="11"/>
  <c r="I26" i="11" s="1"/>
  <c r="R22" i="12"/>
  <c r="I22" i="12" s="1"/>
  <c r="R28" i="5"/>
  <c r="I28" i="5" s="1"/>
  <c r="R26" i="10"/>
  <c r="I26" i="10" s="1"/>
  <c r="R29" i="5"/>
  <c r="I29" i="5" s="1"/>
  <c r="R23" i="10"/>
  <c r="I23" i="10" s="1"/>
  <c r="R41" i="10"/>
  <c r="I41" i="10" s="1"/>
  <c r="R21" i="13"/>
  <c r="I21" i="13" s="1"/>
  <c r="R27" i="11"/>
  <c r="I27" i="11" s="1"/>
  <c r="R30" i="12"/>
  <c r="I30" i="12" s="1"/>
  <c r="K18" i="5"/>
  <c r="L18" i="5"/>
  <c r="R32" i="13"/>
  <c r="I32" i="13" s="1"/>
  <c r="R27" i="7"/>
  <c r="I27" i="7" s="1"/>
  <c r="R40" i="5"/>
  <c r="I40" i="5" s="1"/>
  <c r="R35" i="5"/>
  <c r="I35" i="5" s="1"/>
  <c r="R39" i="11"/>
  <c r="I39" i="11" s="1"/>
  <c r="R22" i="7"/>
  <c r="I22" i="7" s="1"/>
  <c r="S55" i="10"/>
  <c r="S55" i="5"/>
  <c r="L19" i="7"/>
  <c r="K19" i="7"/>
  <c r="R20" i="13"/>
  <c r="I20" i="13" s="1"/>
  <c r="R37" i="7"/>
  <c r="I37" i="7" s="1"/>
  <c r="R20" i="10"/>
  <c r="I20" i="10" s="1"/>
  <c r="R23" i="7"/>
  <c r="I23" i="7" s="1"/>
  <c r="R25" i="13"/>
  <c r="I25" i="13" s="1"/>
  <c r="R28" i="7"/>
  <c r="I28" i="7" s="1"/>
  <c r="R38" i="11"/>
  <c r="I38" i="11" s="1"/>
  <c r="K27" i="7"/>
  <c r="L27" i="7"/>
  <c r="R40" i="12"/>
  <c r="I40" i="12" s="1"/>
  <c r="R24" i="7"/>
  <c r="I24" i="7" s="1"/>
  <c r="L26" i="5"/>
  <c r="K26" i="5"/>
  <c r="R19" i="5"/>
  <c r="I19" i="5" s="1"/>
  <c r="R34" i="12"/>
  <c r="I34" i="12" s="1"/>
  <c r="L19" i="5"/>
  <c r="K19" i="5"/>
  <c r="L19" i="10"/>
  <c r="K19" i="10"/>
  <c r="R24" i="13"/>
  <c r="I24" i="13" s="1"/>
  <c r="R23" i="5"/>
  <c r="I23" i="5" s="1"/>
  <c r="R39" i="5"/>
  <c r="I39" i="5" s="1"/>
  <c r="R41" i="12"/>
  <c r="I41" i="12" s="1"/>
  <c r="R39" i="7"/>
  <c r="I39" i="7" s="1"/>
  <c r="R33" i="11"/>
  <c r="I33" i="11" s="1"/>
  <c r="R39" i="10"/>
  <c r="I39" i="10" s="1"/>
  <c r="R40" i="10"/>
  <c r="I40" i="10" s="1"/>
  <c r="R31" i="10"/>
  <c r="I31" i="10" s="1"/>
  <c r="R20" i="7"/>
  <c r="I20" i="7" s="1"/>
  <c r="L25" i="7"/>
  <c r="K25" i="7"/>
  <c r="R23" i="13"/>
  <c r="I23" i="13" s="1"/>
  <c r="R40" i="11"/>
  <c r="I40" i="11" s="1"/>
  <c r="K23" i="10"/>
  <c r="L23" i="10"/>
  <c r="R24" i="11"/>
  <c r="I24" i="11" s="1"/>
  <c r="R37" i="12"/>
  <c r="I37" i="12" s="1"/>
  <c r="R37" i="13"/>
  <c r="I37" i="13" s="1"/>
  <c r="R35" i="11"/>
  <c r="I35" i="11" s="1"/>
  <c r="R35" i="12"/>
  <c r="I35" i="12" s="1"/>
  <c r="L20" i="10"/>
  <c r="K20" i="10"/>
  <c r="R27" i="13"/>
  <c r="I27" i="13" s="1"/>
  <c r="R22" i="11"/>
  <c r="I22" i="11" s="1"/>
  <c r="R36" i="13"/>
  <c r="I36" i="13" s="1"/>
  <c r="R29" i="12"/>
  <c r="I29" i="12" s="1"/>
  <c r="R26" i="7"/>
  <c r="I26" i="7" s="1"/>
  <c r="R34" i="5"/>
  <c r="I34" i="5" s="1"/>
  <c r="R21" i="10"/>
  <c r="I21" i="10" s="1"/>
  <c r="R24" i="10"/>
  <c r="I24" i="10" s="1"/>
  <c r="R26" i="12"/>
  <c r="I26" i="12" s="1"/>
  <c r="L22" i="10"/>
  <c r="K22" i="10"/>
  <c r="L26" i="10"/>
  <c r="K26" i="10"/>
  <c r="R23" i="11"/>
  <c r="I23" i="11" s="1"/>
  <c r="R22" i="5"/>
  <c r="I22" i="5" s="1"/>
  <c r="L27" i="10"/>
  <c r="K27" i="10"/>
  <c r="R39" i="12"/>
  <c r="I39" i="12" s="1"/>
  <c r="R32" i="7"/>
  <c r="I32" i="7" s="1"/>
  <c r="R30" i="10"/>
  <c r="I30" i="10" s="1"/>
  <c r="R38" i="5"/>
  <c r="I38" i="5" s="1"/>
  <c r="R31" i="13"/>
  <c r="I31" i="13" s="1"/>
  <c r="R19" i="13"/>
  <c r="I19" i="13" s="1"/>
  <c r="K24" i="7"/>
  <c r="L24" i="7"/>
  <c r="R28" i="13"/>
  <c r="I28" i="13" s="1"/>
  <c r="K28" i="7"/>
  <c r="L28" i="7"/>
  <c r="R38" i="12"/>
  <c r="I38" i="12" s="1"/>
  <c r="R34" i="11"/>
  <c r="I34" i="11" s="1"/>
  <c r="R40" i="13"/>
  <c r="I40" i="13" s="1"/>
  <c r="R29" i="7"/>
  <c r="I29" i="7" s="1"/>
  <c r="K24" i="10"/>
  <c r="L24" i="10"/>
  <c r="R40" i="7"/>
  <c r="I40" i="7" s="1"/>
  <c r="R32" i="12"/>
  <c r="I32" i="12" s="1"/>
  <c r="R31" i="5"/>
  <c r="I31" i="5" s="1"/>
  <c r="L21" i="5"/>
  <c r="K21" i="5"/>
  <c r="R32" i="10"/>
  <c r="I32" i="10" s="1"/>
  <c r="R34" i="7"/>
  <c r="I34" i="7" s="1"/>
  <c r="L21" i="10"/>
  <c r="K21" i="10"/>
  <c r="K22" i="5"/>
  <c r="L22" i="5"/>
  <c r="K25" i="10"/>
  <c r="L25" i="10"/>
  <c r="R19" i="11"/>
  <c r="I19" i="11" s="1"/>
  <c r="R31" i="11"/>
  <c r="I31" i="11" s="1"/>
  <c r="R30" i="5"/>
  <c r="I30" i="5" s="1"/>
  <c r="R30" i="7"/>
  <c r="I30" i="7" s="1"/>
  <c r="R37" i="5"/>
  <c r="I37" i="5" s="1"/>
  <c r="R31" i="7"/>
  <c r="I31" i="7" s="1"/>
  <c r="R26" i="5"/>
  <c r="I26" i="5" s="1"/>
  <c r="K27" i="5"/>
  <c r="L27" i="5"/>
  <c r="K28" i="5"/>
  <c r="L28" i="5"/>
  <c r="R25" i="12"/>
  <c r="I25" i="12" s="1"/>
  <c r="R21" i="12"/>
  <c r="I21" i="12" s="1"/>
  <c r="R25" i="11"/>
  <c r="I25" i="11" s="1"/>
  <c r="R19" i="12"/>
  <c r="I19" i="12" s="1"/>
  <c r="R38" i="7"/>
  <c r="I38" i="7" s="1"/>
  <c r="L18" i="10"/>
  <c r="K18" i="10"/>
  <c r="R20" i="12"/>
  <c r="I20" i="12" s="1"/>
  <c r="K22" i="7"/>
  <c r="L22" i="7"/>
  <c r="R37" i="11"/>
  <c r="I37" i="11" s="1"/>
  <c r="R21" i="7"/>
  <c r="I21" i="7" s="1"/>
  <c r="R33" i="10"/>
  <c r="I33" i="10" s="1"/>
  <c r="R25" i="10"/>
  <c r="I25" i="10" s="1"/>
  <c r="R27" i="10"/>
  <c r="I27" i="10" s="1"/>
  <c r="R35" i="13"/>
  <c r="I35" i="13" s="1"/>
  <c r="R32" i="11"/>
  <c r="I32" i="11" s="1"/>
  <c r="R41" i="7"/>
  <c r="I41" i="7" s="1"/>
  <c r="R30" i="13"/>
  <c r="I30" i="13" s="1"/>
  <c r="R29" i="11"/>
  <c r="I29" i="11" s="1"/>
  <c r="L23" i="7"/>
  <c r="K23" i="7"/>
  <c r="R22" i="13"/>
  <c r="I22" i="13" s="1"/>
  <c r="R41" i="13"/>
  <c r="I41" i="13" s="1"/>
  <c r="R19" i="7"/>
  <c r="I19" i="7" s="1"/>
  <c r="R20" i="11"/>
  <c r="I20" i="11" s="1"/>
  <c r="R32" i="5"/>
  <c r="I32" i="5" s="1"/>
  <c r="R25" i="7"/>
  <c r="I25" i="7" s="1"/>
  <c r="R33" i="5"/>
  <c r="I33" i="5" s="1"/>
  <c r="R39" i="13"/>
  <c r="I39" i="13" s="1"/>
  <c r="R24" i="12"/>
  <c r="I24" i="12" s="1"/>
  <c r="S55" i="7"/>
  <c r="R26" i="13"/>
  <c r="I26" i="13" s="1"/>
  <c r="H30" i="1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13" i="16"/>
  <c r="W6" i="16"/>
  <c r="X5" i="16"/>
  <c r="K6" i="4" l="1"/>
  <c r="W7" i="4"/>
  <c r="W8" i="4" s="1"/>
  <c r="W9" i="4" s="1"/>
  <c r="W10" i="4" s="1"/>
  <c r="W11" i="4" s="1"/>
  <c r="W12" i="4" s="1"/>
  <c r="W13" i="4" s="1"/>
  <c r="W14" i="4" s="1"/>
  <c r="W15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X7" i="4"/>
  <c r="X8" i="4" s="1"/>
  <c r="X9" i="4" s="1"/>
  <c r="X10" i="4" s="1"/>
  <c r="X11" i="4" s="1"/>
  <c r="X12" i="4" s="1"/>
  <c r="X13" i="4" s="1"/>
  <c r="X14" i="4" s="1"/>
  <c r="X15" i="4" s="1"/>
  <c r="J6" i="4"/>
  <c r="I6" i="4"/>
  <c r="H6" i="4"/>
  <c r="H31" i="12"/>
  <c r="AK7" i="16"/>
  <c r="C6" i="4"/>
  <c r="E6" i="4"/>
  <c r="F6" i="4"/>
  <c r="G6" i="4"/>
  <c r="B6" i="4"/>
  <c r="B33" i="4" s="1"/>
  <c r="P72" i="2"/>
  <c r="O8" i="2"/>
  <c r="O12" i="2"/>
  <c r="S72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W14" i="16"/>
  <c r="W7" i="16"/>
  <c r="Y7" i="4" l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V16" i="4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W16" i="4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AF5" i="4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AE5" i="4"/>
  <c r="AE6" i="4" s="1"/>
  <c r="AE7" i="4" s="1"/>
  <c r="AE8" i="4" s="1"/>
  <c r="AE9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N8" i="16"/>
  <c r="N6" i="16"/>
  <c r="N10" i="16"/>
  <c r="N5" i="16"/>
  <c r="N9" i="16"/>
  <c r="N7" i="16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W18" i="16"/>
  <c r="W8" i="16"/>
  <c r="W16" i="16"/>
  <c r="W17" i="16"/>
  <c r="W15" i="16"/>
  <c r="Y8" i="4" l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AF16" i="4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U16" i="4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S16" i="4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R16" i="4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G12" i="15"/>
  <c r="G13" i="15"/>
  <c r="AE10" i="4"/>
  <c r="G11" i="15"/>
  <c r="G10" i="15"/>
  <c r="E10" i="16"/>
  <c r="F10" i="16" s="1"/>
  <c r="E7" i="16"/>
  <c r="F7" i="16" s="1"/>
  <c r="E6" i="16"/>
  <c r="F6" i="16" s="1"/>
  <c r="W9" i="16"/>
  <c r="Y9" i="4" l="1"/>
  <c r="E11" i="16"/>
  <c r="F11" i="16" s="1"/>
  <c r="E8" i="16"/>
  <c r="F8" i="16" s="1"/>
  <c r="AE11" i="4"/>
  <c r="E5" i="16"/>
  <c r="F5" i="16" s="1"/>
  <c r="AG6" i="4"/>
  <c r="AG5" i="4"/>
  <c r="W10" i="16"/>
  <c r="Y10" i="4" l="1"/>
  <c r="AE12" i="4"/>
  <c r="Y11" i="4" l="1"/>
  <c r="E14" i="16"/>
  <c r="F14" i="16" s="1"/>
  <c r="AE13" i="4"/>
  <c r="Y12" i="4" l="1"/>
  <c r="AE14" i="4"/>
  <c r="AG10" i="4"/>
  <c r="AG9" i="4"/>
  <c r="Y13" i="4" l="1"/>
  <c r="E12" i="16"/>
  <c r="F12" i="16" s="1"/>
  <c r="E9" i="16"/>
  <c r="F9" i="16" s="1"/>
  <c r="AE15" i="4"/>
  <c r="AG8" i="4"/>
  <c r="Y14" i="4" l="1"/>
  <c r="AE16" i="4"/>
  <c r="AJ5" i="16" s="1"/>
  <c r="AG7" i="4"/>
  <c r="Y15" i="4" l="1"/>
  <c r="AE17" i="4"/>
  <c r="AJ6" i="16" s="1"/>
  <c r="AJ12" i="16"/>
  <c r="Y16" i="4" l="1"/>
  <c r="AE18" i="4"/>
  <c r="AJ7" i="16" s="1"/>
  <c r="AJ13" i="16"/>
  <c r="AG12" i="4"/>
  <c r="AG14" i="4"/>
  <c r="AG11" i="4"/>
  <c r="Y17" i="4" l="1"/>
  <c r="AE19" i="4"/>
  <c r="AJ8" i="16" s="1"/>
  <c r="AJ14" i="16"/>
  <c r="AG13" i="4"/>
  <c r="Y18" i="4" l="1"/>
  <c r="AE20" i="4"/>
  <c r="AJ9" i="16" s="1"/>
  <c r="AJ15" i="16"/>
  <c r="AG15" i="4"/>
  <c r="Y19" i="4" l="1"/>
  <c r="AE21" i="4"/>
  <c r="AJ10" i="16" s="1"/>
  <c r="AJ16" i="16"/>
  <c r="Y20" i="4" l="1"/>
  <c r="AE22" i="4"/>
  <c r="AE23" i="4" s="1"/>
  <c r="AJ17" i="16"/>
  <c r="AG16" i="4"/>
  <c r="AE24" i="4" l="1"/>
  <c r="AJ20" i="16" s="1"/>
  <c r="AJ19" i="16"/>
  <c r="Y21" i="4"/>
  <c r="AJ11" i="16"/>
  <c r="AI12" i="16"/>
  <c r="AJ18" i="16"/>
  <c r="AG17" i="4"/>
  <c r="AI13" i="16" s="1"/>
  <c r="AE25" i="4" l="1"/>
  <c r="AJ21" i="16" s="1"/>
  <c r="Y22" i="4"/>
  <c r="AG18" i="4"/>
  <c r="AI14" i="16" s="1"/>
  <c r="AE26" i="4" l="1"/>
  <c r="AJ22" i="16" s="1"/>
  <c r="Y23" i="4"/>
  <c r="AG19" i="4"/>
  <c r="AE27" i="4" l="1"/>
  <c r="AE28" i="4" s="1"/>
  <c r="Y24" i="4"/>
  <c r="AI15" i="16"/>
  <c r="AG20" i="4"/>
  <c r="AI16" i="16" s="1"/>
  <c r="AE29" i="4" l="1"/>
  <c r="AJ24" i="16"/>
  <c r="AJ23" i="16"/>
  <c r="Y25" i="4"/>
  <c r="AG21" i="4"/>
  <c r="AE30" i="4" l="1"/>
  <c r="AJ25" i="16"/>
  <c r="Y26" i="4"/>
  <c r="AI17" i="16"/>
  <c r="AG22" i="4"/>
  <c r="AE31" i="4" l="1"/>
  <c r="AJ26" i="16"/>
  <c r="Y27" i="4"/>
  <c r="AI18" i="16"/>
  <c r="AG23" i="4"/>
  <c r="AI19" i="16" s="1"/>
  <c r="AD24" i="4"/>
  <c r="AD25" i="4"/>
  <c r="AD26" i="4"/>
  <c r="AE32" i="4" l="1"/>
  <c r="AJ27" i="16"/>
  <c r="Y28" i="4"/>
  <c r="AG26" i="4"/>
  <c r="AI22" i="16" s="1"/>
  <c r="AG24" i="4"/>
  <c r="AG25" i="4"/>
  <c r="AI21" i="16" s="1"/>
  <c r="AD27" i="4"/>
  <c r="AI5" i="16" l="1"/>
  <c r="AI20" i="16"/>
  <c r="AJ28" i="16"/>
  <c r="F6" i="15"/>
  <c r="G6" i="15"/>
  <c r="Y29" i="4"/>
  <c r="AG27" i="4"/>
  <c r="AI23" i="16" s="1"/>
  <c r="AI6" i="16" l="1"/>
  <c r="Y30" i="4"/>
  <c r="AD28" i="4"/>
  <c r="Y31" i="4" l="1"/>
  <c r="AG28" i="4"/>
  <c r="AD29" i="4"/>
  <c r="AI7" i="16" l="1"/>
  <c r="AI24" i="16"/>
  <c r="E17" i="16"/>
  <c r="F17" i="16" s="1"/>
  <c r="E15" i="16"/>
  <c r="F15" i="16" s="1"/>
  <c r="Y32" i="4"/>
  <c r="E13" i="16" s="1"/>
  <c r="F13" i="16" s="1"/>
  <c r="E16" i="16"/>
  <c r="F16" i="16" s="1"/>
  <c r="AG29" i="4"/>
  <c r="AI25" i="16" s="1"/>
  <c r="AD30" i="4"/>
  <c r="AI8" i="16" l="1"/>
  <c r="C10" i="15"/>
  <c r="F19" i="16"/>
  <c r="D10" i="15" s="1"/>
  <c r="C12" i="15"/>
  <c r="C11" i="15"/>
  <c r="AG30" i="4"/>
  <c r="AI26" i="16" s="1"/>
  <c r="AD31" i="4"/>
  <c r="AI9" i="16" l="1"/>
  <c r="D12" i="15"/>
  <c r="D11" i="15"/>
  <c r="AG31" i="4"/>
  <c r="AI27" i="16" s="1"/>
  <c r="AD32" i="4"/>
  <c r="AI10" i="16" l="1"/>
  <c r="AG32" i="4"/>
  <c r="G5" i="15" s="1"/>
  <c r="AI28" i="16" l="1"/>
  <c r="AI11" i="16"/>
  <c r="F5" i="15"/>
</calcChain>
</file>

<file path=xl/sharedStrings.xml><?xml version="1.0" encoding="utf-8"?>
<sst xmlns="http://schemas.openxmlformats.org/spreadsheetml/2006/main" count="889" uniqueCount="340">
  <si>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</si>
  <si>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</si>
  <si>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</si>
  <si>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</si>
  <si>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</si>
  <si>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</si>
  <si>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</si>
  <si>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</si>
  <si>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</si>
  <si>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</si>
  <si>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</si>
  <si>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</si>
  <si>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</si>
  <si>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</si>
  <si>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</si>
  <si>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</si>
  <si>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</si>
  <si>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</si>
  <si>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</si>
  <si>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</si>
  <si>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</si>
  <si>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</si>
  <si>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</si>
  <si>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</si>
  <si>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</si>
  <si>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</si>
  <si>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</si>
  <si>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</si>
  <si>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</si>
  <si>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</si>
  <si>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</si>
  <si>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</si>
  <si>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</si>
  <si>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</si>
  <si>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</si>
  <si>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</si>
  <si>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</si>
  <si>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</si>
  <si>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</si>
  <si>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</si>
  <si>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</si>
  <si>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</si>
  <si>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</si>
  <si>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</si>
  <si>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</si>
  <si>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</si>
  <si>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</si>
  <si>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</si>
  <si>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</si>
  <si>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</si>
  <si>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</si>
  <si>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</si>
  <si>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</si>
  <si>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</si>
  <si>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</si>
  <si>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</si>
  <si>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</si>
  <si>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</si>
  <si>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</si>
  <si>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</si>
  <si>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</si>
  <si>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</si>
  <si>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</si>
  <si>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</si>
  <si>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</si>
  <si>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</si>
  <si>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</si>
  <si>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</si>
  <si>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</si>
  <si>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</si>
  <si>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</si>
  <si>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</si>
  <si>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</si>
  <si>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</si>
  <si>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</si>
  <si>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</si>
  <si>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</si>
  <si>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</si>
  <si>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</si>
  <si>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</si>
  <si>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</si>
  <si>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</si>
  <si>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</si>
  <si>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</si>
  <si>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</si>
  <si>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</si>
  <si>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</si>
  <si>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</si>
  <si>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</si>
  <si>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</si>
  <si>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</si>
  <si>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</si>
  <si>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</si>
  <si>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</si>
  <si>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</si>
  <si>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</si>
  <si>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</si>
  <si>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</si>
  <si>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</si>
  <si>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</si>
  <si>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</si>
  <si>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</si>
  <si>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</si>
  <si>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</si>
  <si>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</si>
  <si>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</si>
  <si>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</si>
  <si>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</si>
  <si>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</si>
  <si>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</si>
  <si>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</si>
  <si>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</si>
  <si>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</si>
  <si>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</si>
  <si>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</si>
  <si>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</si>
  <si>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</si>
  <si>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</si>
  <si>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</si>
  <si>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</si>
  <si>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</si>
  <si>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</si>
  <si>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</si>
  <si>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</si>
  <si>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</si>
  <si>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</si>
  <si>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</si>
  <si>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</si>
  <si>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</si>
  <si>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</si>
  <si>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</si>
  <si>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</si>
  <si>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</si>
  <si>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</si>
  <si>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</si>
  <si>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</si>
  <si>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</si>
  <si>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</si>
  <si>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</si>
  <si>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</si>
  <si>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</si>
  <si>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</si>
  <si>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</si>
  <si>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</si>
  <si>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</si>
  <si>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</si>
  <si>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</si>
  <si>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</si>
  <si>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</si>
  <si>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</si>
  <si>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</si>
  <si>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</si>
  <si>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</si>
  <si>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</si>
  <si>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</si>
  <si>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</si>
  <si>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</si>
  <si>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</si>
  <si>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</si>
  <si>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</si>
  <si>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</si>
  <si>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</si>
  <si>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</si>
  <si>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</si>
  <si>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</si>
  <si>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</si>
  <si>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</si>
  <si>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</si>
  <si>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</si>
  <si>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</si>
  <si>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</si>
  <si>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</si>
  <si>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</si>
  <si>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</si>
  <si>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</si>
  <si>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</si>
  <si>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</si>
  <si>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</si>
  <si>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</si>
  <si>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</si>
  <si>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</si>
  <si>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</si>
  <si>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</si>
  <si>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</si>
  <si>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</si>
  <si>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</si>
  <si>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</si>
  <si>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</si>
  <si>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</si>
  <si>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</si>
  <si>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</si>
  <si>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</si>
  <si>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</si>
  <si>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</si>
  <si>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</si>
  <si>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</si>
  <si>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</si>
  <si>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</si>
  <si>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</si>
  <si>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</si>
  <si>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</si>
  <si>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</si>
  <si>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</si>
  <si>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</si>
  <si>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</si>
  <si>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</si>
  <si>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</si>
  <si>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</si>
  <si>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</si>
  <si>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</si>
  <si>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</si>
  <si>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</si>
  <si>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</si>
  <si>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</si>
  <si>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</si>
  <si>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</si>
  <si>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</si>
  <si>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</si>
  <si>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</si>
  <si>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</si>
  <si>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</si>
  <si>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</si>
  <si>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</si>
  <si>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</si>
  <si>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</si>
  <si>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</si>
  <si>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</si>
  <si>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</si>
  <si>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</si>
  <si>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</si>
  <si>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</si>
  <si>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</si>
  <si>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</si>
  <si>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</si>
  <si>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</si>
  <si>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</si>
  <si>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</si>
  <si>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</si>
  <si>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</si>
  <si>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</si>
  <si>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</si>
  <si>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</si>
  <si>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</si>
  <si>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</si>
  <si>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</si>
  <si>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</si>
  <si>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</si>
  <si>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</si>
  <si>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</si>
  <si>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</si>
  <si>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</si>
  <si>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</si>
  <si>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</si>
  <si>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</si>
  <si>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</si>
  <si>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</si>
  <si>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</si>
  <si>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</si>
  <si>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</si>
  <si>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</si>
  <si>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</si>
  <si>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</si>
  <si>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</si>
  <si>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</si>
  <si>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</si>
  <si>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</si>
  <si>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</si>
  <si>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</si>
  <si>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</si>
  <si>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</si>
  <si>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</si>
  <si>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</si>
  <si>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</si>
  <si>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</si>
  <si>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</si>
  <si>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</si>
  <si>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</si>
  <si>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</si>
  <si>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</si>
  <si>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</si>
  <si>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</si>
  <si>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</si>
  <si>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</si>
  <si>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</si>
  <si>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</si>
  <si>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</si>
  <si>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</si>
  <si>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</si>
  <si>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</si>
  <si>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</si>
  <si>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</si>
  <si>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</si>
  <si>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</si>
  <si>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</si>
  <si>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</si>
  <si>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</si>
  <si>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</si>
  <si>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</si>
  <si>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</si>
  <si>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</si>
  <si>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</si>
  <si>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</si>
  <si>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</si>
  <si>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</si>
  <si>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</si>
  <si>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</si>
  <si>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</si>
  <si>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</si>
  <si>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</si>
  <si>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</si>
  <si>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</si>
  <si>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</si>
  <si>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</si>
  <si>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</si>
  <si>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</si>
  <si>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</si>
  <si>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</si>
  <si>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</si>
  <si>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</si>
  <si>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</si>
  <si>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</si>
  <si>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</si>
  <si>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</si>
  <si>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</si>
  <si>
    <t>10/12/20 2:46p</t>
  </si>
  <si>
    <t>10/12/20 3:12p</t>
  </si>
  <si>
    <t>10/12/20 3:13p</t>
  </si>
  <si>
    <t>10/12/20 3:15p</t>
  </si>
  <si>
    <t>QCOM</t>
  </si>
  <si>
    <t>QCOM Data</t>
  </si>
  <si>
    <t>Price_QCOM</t>
  </si>
  <si>
    <t>Shares_QCOM</t>
  </si>
  <si>
    <t>10/13/20 1:49p</t>
  </si>
  <si>
    <t>F Data</t>
  </si>
  <si>
    <t>F</t>
  </si>
  <si>
    <t>Price_F</t>
  </si>
  <si>
    <t>Shares_F</t>
  </si>
  <si>
    <t>10/13/20 2:52p</t>
  </si>
  <si>
    <t>10/19/20 11:04a</t>
  </si>
  <si>
    <t>10/19/20 11:05a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</si>
</sst>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0" fontId="0" fillId="6" borderId="0" xfId="0" applyFill="1"/>
    <xf numFmtId="44" fontId="38" fillId="0" borderId="0" xfId="1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1" fontId="39" fillId="0" borderId="0" xfId="0" applyNumberFormat="1" applyFont="1"/>
    <xf numFmtId="14" fontId="39" fillId="0" borderId="0" xfId="0" applyNumberFormat="1" applyFont="1"/>
    <xf numFmtId="167" fontId="39" fillId="0" borderId="0" xfId="1" applyNumberFormat="1" applyFont="1"/>
    <xf numFmtId="0" fontId="39" fillId="0" borderId="0" xfId="0" applyFont="1"/>
  </cellXfs>
  <cellStyles count="2">
    <cellStyle name="Currency" xfId="1" builtinId="4"/>
    <cellStyle name="Normal" xfId="0" builtinId="0"/>
  </cellStyles>
  <dxfs count="3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44462.2</c:v>
                </c:pt>
                <c:pt idx="1">
                  <c:v>40085.1</c:v>
                </c:pt>
                <c:pt idx="2">
                  <c:v>49876.800000000003</c:v>
                </c:pt>
                <c:pt idx="3">
                  <c:v>22828.7</c:v>
                </c:pt>
                <c:pt idx="4">
                  <c:v>36321</c:v>
                </c:pt>
                <c:pt idx="5">
                  <c:v>27016.400000000001</c:v>
                </c:pt>
                <c:pt idx="6">
                  <c:v>18157.7</c:v>
                </c:pt>
                <c:pt idx="7">
                  <c:v>18778.2</c:v>
                </c:pt>
                <c:pt idx="8">
                  <c:v>31779.4</c:v>
                </c:pt>
                <c:pt idx="9">
                  <c:v>29948.400000000001</c:v>
                </c:pt>
                <c:pt idx="10">
                  <c:v>32484.2</c:v>
                </c:pt>
                <c:pt idx="11">
                  <c:v>32052.1</c:v>
                </c:pt>
                <c:pt idx="12">
                  <c:v>23461.3</c:v>
                </c:pt>
                <c:pt idx="13">
                  <c:v>28330.9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7432"/>
        <c:axId val="36542586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5.76</c:v>
                </c:pt>
                <c:pt idx="1">
                  <c:v>5.66</c:v>
                </c:pt>
                <c:pt idx="2">
                  <c:v>5.81</c:v>
                </c:pt>
                <c:pt idx="3">
                  <c:v>5.51</c:v>
                </c:pt>
                <c:pt idx="4">
                  <c:v>5.75</c:v>
                </c:pt>
                <c:pt idx="5">
                  <c:v>5.44</c:v>
                </c:pt>
                <c:pt idx="6">
                  <c:v>5.29</c:v>
                </c:pt>
                <c:pt idx="7">
                  <c:v>5.15</c:v>
                </c:pt>
                <c:pt idx="8">
                  <c:v>4.9000000000000004</c:v>
                </c:pt>
                <c:pt idx="9">
                  <c:v>5.01</c:v>
                </c:pt>
                <c:pt idx="10">
                  <c:v>5.09</c:v>
                </c:pt>
                <c:pt idx="11">
                  <c:v>5.12</c:v>
                </c:pt>
                <c:pt idx="12">
                  <c:v>5.13</c:v>
                </c:pt>
                <c:pt idx="13">
                  <c:v>5.36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8608"/>
        <c:axId val="365431352"/>
      </c:lineChart>
      <c:catAx>
        <c:axId val="365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1352"/>
        <c:crosses val="autoZero"/>
        <c:auto val="1"/>
        <c:lblAlgn val="ctr"/>
        <c:lblOffset val="100"/>
        <c:noMultiLvlLbl val="0"/>
      </c:catAx>
      <c:valAx>
        <c:axId val="3654313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608"/>
        <c:crosses val="autoZero"/>
        <c:crossBetween val="between"/>
      </c:valAx>
      <c:valAx>
        <c:axId val="36542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432"/>
        <c:crosses val="max"/>
        <c:crossBetween val="between"/>
      </c:valAx>
      <c:catAx>
        <c:axId val="36542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542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5.76</c:v>
                </c:pt>
                <c:pt idx="1">
                  <c:v>5.66</c:v>
                </c:pt>
                <c:pt idx="2">
                  <c:v>5.81</c:v>
                </c:pt>
                <c:pt idx="3">
                  <c:v>5.51</c:v>
                </c:pt>
                <c:pt idx="4">
                  <c:v>5.75</c:v>
                </c:pt>
                <c:pt idx="5">
                  <c:v>5.44</c:v>
                </c:pt>
                <c:pt idx="6">
                  <c:v>5.29</c:v>
                </c:pt>
                <c:pt idx="7">
                  <c:v>5.15</c:v>
                </c:pt>
                <c:pt idx="8">
                  <c:v>4.9000000000000004</c:v>
                </c:pt>
                <c:pt idx="9">
                  <c:v>5.01</c:v>
                </c:pt>
                <c:pt idx="10">
                  <c:v>5.09</c:v>
                </c:pt>
                <c:pt idx="11">
                  <c:v>5.12</c:v>
                </c:pt>
                <c:pt idx="12">
                  <c:v>5.13</c:v>
                </c:pt>
                <c:pt idx="13">
                  <c:v>5.36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5.9113356571631597</c:v>
                </c:pt>
                <c:pt idx="1">
                  <c:v>5.8862020914468438</c:v>
                </c:pt>
                <c:pt idx="2">
                  <c:v>5.8785818823021589</c:v>
                </c:pt>
                <c:pt idx="3">
                  <c:v>5.841723694071943</c:v>
                </c:pt>
                <c:pt idx="4">
                  <c:v>5.8325513246647489</c:v>
                </c:pt>
                <c:pt idx="5">
                  <c:v>5.793296192198274</c:v>
                </c:pt>
                <c:pt idx="6">
                  <c:v>5.7429665729784469</c:v>
                </c:pt>
                <c:pt idx="7">
                  <c:v>5.6836699156806016</c:v>
                </c:pt>
                <c:pt idx="8">
                  <c:v>5.6053029241125421</c:v>
                </c:pt>
                <c:pt idx="9">
                  <c:v>5.5457726317012881</c:v>
                </c:pt>
                <c:pt idx="10">
                  <c:v>5.5001953685311591</c:v>
                </c:pt>
                <c:pt idx="11">
                  <c:v>5.4621758316780431</c:v>
                </c:pt>
                <c:pt idx="12">
                  <c:v>5.4289582485102388</c:v>
                </c:pt>
                <c:pt idx="13">
                  <c:v>5.4220624236592148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7824"/>
        <c:axId val="365426648"/>
      </c:lineChart>
      <c:catAx>
        <c:axId val="365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6648"/>
        <c:crosses val="autoZero"/>
        <c:auto val="1"/>
        <c:lblAlgn val="ctr"/>
        <c:lblOffset val="100"/>
        <c:noMultiLvlLbl val="0"/>
      </c:catAx>
      <c:valAx>
        <c:axId val="3654266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46.031746031746032</c:v>
                </c:pt>
                <c:pt idx="1">
                  <c:v>44.44444444444445</c:v>
                </c:pt>
                <c:pt idx="2">
                  <c:v>51.778656126482211</c:v>
                </c:pt>
                <c:pt idx="3">
                  <c:v>47.985347985347985</c:v>
                </c:pt>
                <c:pt idx="4">
                  <c:v>50.865051903114193</c:v>
                </c:pt>
                <c:pt idx="5">
                  <c:v>43.278688524590187</c:v>
                </c:pt>
                <c:pt idx="6">
                  <c:v>37.33333333333335</c:v>
                </c:pt>
                <c:pt idx="7">
                  <c:v>31.058020477815717</c:v>
                </c:pt>
                <c:pt idx="8">
                  <c:v>30.536912751677875</c:v>
                </c:pt>
                <c:pt idx="9">
                  <c:v>22.471910112359538</c:v>
                </c:pt>
                <c:pt idx="10">
                  <c:v>25.373134328358205</c:v>
                </c:pt>
                <c:pt idx="11">
                  <c:v>29.583333333333343</c:v>
                </c:pt>
                <c:pt idx="12">
                  <c:v>33.962264150943398</c:v>
                </c:pt>
                <c:pt idx="13">
                  <c:v>37.777777777777779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8216"/>
        <c:axId val="365430960"/>
      </c:lineChart>
      <c:catAx>
        <c:axId val="3654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0960"/>
        <c:crosses val="autoZero"/>
        <c:auto val="1"/>
        <c:lblAlgn val="ctr"/>
        <c:lblOffset val="100"/>
        <c:noMultiLvlLbl val="0"/>
      </c:catAx>
      <c:valAx>
        <c:axId val="365430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5.9771428571428569</c:v>
                </c:pt>
                <c:pt idx="1">
                  <c:v>5.9564285714285718</c:v>
                </c:pt>
                <c:pt idx="2">
                  <c:v>5.9628571428571444</c:v>
                </c:pt>
                <c:pt idx="3">
                  <c:v>5.955000000000001</c:v>
                </c:pt>
                <c:pt idx="4">
                  <c:v>5.95857142857143</c:v>
                </c:pt>
                <c:pt idx="5">
                  <c:v>5.9292857142857143</c:v>
                </c:pt>
                <c:pt idx="6">
                  <c:v>5.8750000000000009</c:v>
                </c:pt>
                <c:pt idx="7">
                  <c:v>5.7957142857142854</c:v>
                </c:pt>
                <c:pt idx="8">
                  <c:v>5.7128571428571444</c:v>
                </c:pt>
                <c:pt idx="9">
                  <c:v>5.607857142857144</c:v>
                </c:pt>
                <c:pt idx="10">
                  <c:v>5.5135714285714288</c:v>
                </c:pt>
                <c:pt idx="11">
                  <c:v>5.4435714285714285</c:v>
                </c:pt>
                <c:pt idx="12">
                  <c:v>5.3949999999999987</c:v>
                </c:pt>
                <c:pt idx="13">
                  <c:v>5.355714285714285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6.5075957012112244</c:v>
                </c:pt>
                <c:pt idx="1">
                  <c:v>6.5134319352000549</c:v>
                </c:pt>
                <c:pt idx="2">
                  <c:v>6.5100979741851148</c:v>
                </c:pt>
                <c:pt idx="3">
                  <c:v>6.5260853364764877</c:v>
                </c:pt>
                <c:pt idx="4">
                  <c:v>6.5233781153294688</c:v>
                </c:pt>
                <c:pt idx="5">
                  <c:v>6.5573212000893202</c:v>
                </c:pt>
                <c:pt idx="6">
                  <c:v>6.5842249290598867</c:v>
                </c:pt>
                <c:pt idx="7">
                  <c:v>6.5651582122248247</c:v>
                </c:pt>
                <c:pt idx="8">
                  <c:v>6.6004616483897367</c:v>
                </c:pt>
                <c:pt idx="9">
                  <c:v>6.4512268882669064</c:v>
                </c:pt>
                <c:pt idx="10">
                  <c:v>6.2602402210854091</c:v>
                </c:pt>
                <c:pt idx="11">
                  <c:v>6.1351296309324059</c:v>
                </c:pt>
                <c:pt idx="12">
                  <c:v>6.071040508572354</c:v>
                </c:pt>
                <c:pt idx="13">
                  <c:v>5.9632927978027626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09/30</c:v>
                </c:pt>
                <c:pt idx="1">
                  <c:v>10/01</c:v>
                </c:pt>
                <c:pt idx="2">
                  <c:v>10/02</c:v>
                </c:pt>
                <c:pt idx="3">
                  <c:v>10/05</c:v>
                </c:pt>
                <c:pt idx="4">
                  <c:v>10/06</c:v>
                </c:pt>
                <c:pt idx="5">
                  <c:v>10/07</c:v>
                </c:pt>
                <c:pt idx="6">
                  <c:v>10/08</c:v>
                </c:pt>
                <c:pt idx="7">
                  <c:v>10/09</c:v>
                </c:pt>
                <c:pt idx="8">
                  <c:v>10/12</c:v>
                </c:pt>
                <c:pt idx="9">
                  <c:v>10/13</c:v>
                </c:pt>
                <c:pt idx="10">
                  <c:v>10/14</c:v>
                </c:pt>
                <c:pt idx="11">
                  <c:v>10/15</c:v>
                </c:pt>
                <c:pt idx="12">
                  <c:v>10/16</c:v>
                </c:pt>
                <c:pt idx="13">
                  <c:v>10/19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5.4466900130744893</c:v>
                </c:pt>
                <c:pt idx="1">
                  <c:v>5.3994252076570888</c:v>
                </c:pt>
                <c:pt idx="2">
                  <c:v>5.415616311529174</c:v>
                </c:pt>
                <c:pt idx="3">
                  <c:v>5.3839146635235142</c:v>
                </c:pt>
                <c:pt idx="4">
                  <c:v>5.3937647418133912</c:v>
                </c:pt>
                <c:pt idx="5">
                  <c:v>5.3012502284821084</c:v>
                </c:pt>
                <c:pt idx="6">
                  <c:v>5.1657750709401151</c:v>
                </c:pt>
                <c:pt idx="7">
                  <c:v>5.0262703592037461</c:v>
                </c:pt>
                <c:pt idx="8">
                  <c:v>4.8252526373245521</c:v>
                </c:pt>
                <c:pt idx="9">
                  <c:v>4.7644873974473816</c:v>
                </c:pt>
                <c:pt idx="10">
                  <c:v>4.7669026360574485</c:v>
                </c:pt>
                <c:pt idx="11">
                  <c:v>4.7520132262104511</c:v>
                </c:pt>
                <c:pt idx="12">
                  <c:v>4.7189594914276434</c:v>
                </c:pt>
                <c:pt idx="13">
                  <c:v>4.7481357736258074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4688"/>
        <c:axId val="365425080"/>
      </c:lineChart>
      <c:catAx>
        <c:axId val="365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5080"/>
        <c:crosses val="autoZero"/>
        <c:auto val="1"/>
        <c:lblAlgn val="ctr"/>
        <c:lblOffset val="100"/>
        <c:noMultiLvlLbl val="0"/>
      </c:catAx>
      <c:valAx>
        <c:axId val="365425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10/09</c:v>
                </c:pt>
                <c:pt idx="1">
                  <c:v>10/12</c:v>
                </c:pt>
                <c:pt idx="2">
                  <c:v>10/13</c:v>
                </c:pt>
                <c:pt idx="3">
                  <c:v>10/14</c:v>
                </c:pt>
                <c:pt idx="4">
                  <c:v>10/15</c:v>
                </c:pt>
                <c:pt idx="5">
                  <c:v>10/16</c:v>
                </c:pt>
                <c:pt idx="6">
                  <c:v>10/19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36635.579999999994</c:v>
                </c:pt>
                <c:pt idx="1">
                  <c:v>35279.709999999992</c:v>
                </c:pt>
                <c:pt idx="2">
                  <c:v>24282.709999999992</c:v>
                </c:pt>
                <c:pt idx="3">
                  <c:v>24282.709999999992</c:v>
                </c:pt>
                <c:pt idx="4">
                  <c:v>24282.709999999992</c:v>
                </c:pt>
                <c:pt idx="5">
                  <c:v>24282.709999999992</c:v>
                </c:pt>
                <c:pt idx="6">
                  <c:v>26991.709999999992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6256"/>
        <c:axId val="36755094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10/09</c:v>
                </c:pt>
                <c:pt idx="1">
                  <c:v>10/12</c:v>
                </c:pt>
                <c:pt idx="2">
                  <c:v>10/13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103024.67970000001</c:v>
                </c:pt>
                <c:pt idx="1">
                  <c:v>103625.320352</c:v>
                </c:pt>
                <c:pt idx="2">
                  <c:v>103643.21000199999</c:v>
                </c:pt>
                <c:pt idx="3">
                  <c:v>103476.75979699999</c:v>
                </c:pt>
                <c:pt idx="4">
                  <c:v>103476.319852</c:v>
                </c:pt>
                <c:pt idx="5">
                  <c:v>103720.199549</c:v>
                </c:pt>
                <c:pt idx="6">
                  <c:v>102875.58979899999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6256"/>
        <c:axId val="367550944"/>
      </c:lineChart>
      <c:catAx>
        <c:axId val="365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0944"/>
        <c:crosses val="autoZero"/>
        <c:auto val="1"/>
        <c:lblAlgn val="ctr"/>
        <c:lblOffset val="100"/>
        <c:noMultiLvlLbl val="0"/>
      </c:catAx>
      <c:valAx>
        <c:axId val="3675509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croll" dx="22" fmlaLink="$V$3" horiz="1" max="22" page="0" val="2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161925</xdr:rowOff>
        </xdr:from>
        <xdr:to>
          <xdr:col>8</xdr:col>
          <xdr:colOff>114300</xdr:colOff>
          <xdr:row>29</xdr:row>
          <xdr:rowOff>180975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1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13</xdr:row>
          <xdr:rowOff>57150</xdr:rowOff>
        </xdr:from>
        <xdr:to>
          <xdr:col>20</xdr:col>
          <xdr:colOff>200025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00000000-0008-0000-1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bl_transaction" displayName="tbl_transaction" ref="A4:S72" totalsRowCount="1">
  <autoFilter ref="A4:S71"/>
  <tableColumns count="19">
    <tableColumn id="1" name="Symbol" totalsRowLabel="Total"/>
    <tableColumn id="2" name="Order Date" totalsRowFunction="count"/>
    <tableColumn id="3" name="Transaction Date"/>
    <tableColumn id="4" name="Transactions"/>
    <tableColumn id="5" name="Cancel Reason"/>
    <tableColumn id="6" name="Amount" dataDxfId="334"/>
    <tableColumn id="7" name="Execution_Price" dataDxfId="333"/>
    <tableColumn id="8" name="Month_order" dataDxfId="332">
      <calculatedColumnFormula>VALUE(LEFT(tbl_transaction[[#This Row],[Order Date]],FIND("/",tbl_transaction[[#This Row],[Order Date]])-1))</calculatedColumnFormula>
    </tableColumn>
    <tableColumn id="9" name="Date_order" dataDxfId="331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330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329">
      <calculatedColumnFormula>VALUE(LEFT(tbl_transaction[[#This Row],[Transaction Date]],FIND("/",tbl_transaction[[#This Row],[Transaction Date]])-1))</calculatedColumnFormula>
    </tableColumn>
    <tableColumn id="12" name="Date_Transact" dataDxfId="328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327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326">
      <calculatedColumnFormula>DATE(tbl_transaction[[#This Row],[Year_order]]+2000, tbl_transaction[[#This Row],[Month_order]], tbl_transaction[[#This Row],[Date_order]])</calculatedColumnFormula>
    </tableColumn>
    <tableColumn id="15" name="Transaction_Date" dataDxfId="325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324" totalsRowDxfId="323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322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321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320" totalsRowDxfId="319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55" totalsRowCount="1">
  <autoFilter ref="A4:S54"/>
  <tableColumns count="19">
    <tableColumn id="1" name="Date" totalsRowLabel="Total" dataDxfId="196"/>
    <tableColumn id="2" name="Open" dataDxfId="195"/>
    <tableColumn id="3" name="High" dataDxfId="194"/>
    <tableColumn id="4" name="Low" dataDxfId="193"/>
    <tableColumn id="5" name="Close" dataDxfId="192"/>
    <tableColumn id="6" name="Adj Close" dataDxfId="191"/>
    <tableColumn id="7" name="Volume"/>
    <tableColumn id="8" name="EMA" dataDxfId="190">
      <calculatedColumnFormula>IF(tbl_IBM[[#This Row],[Date]]=$A$5, $F5, EMA_Beta*$H4 + (1-EMA_Beta)*$F5)</calculatedColumnFormula>
    </tableColumn>
    <tableColumn id="9" name="RSI" dataDxfId="189">
      <calculatedColumnFormula>IF(tbl_IBM[[#This Row],[RS]]= "", "", 100-(100/(1+tbl_IBM[[#This Row],[RS]])))</calculatedColumnFormula>
    </tableColumn>
    <tableColumn id="10" name="BB_Mean" dataDxfId="188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87">
      <calculatedColumnFormula>IF(tbl_IBM[[#This Row],[BB_Mean]]="", "", tbl_IBM[[#This Row],[BB_Mean]]+(BB_Width*tbl_IBM[[#This Row],[BB_Stdev]]))</calculatedColumnFormula>
    </tableColumn>
    <tableColumn id="12" name="BB_Lower" dataDxfId="186">
      <calculatedColumnFormula>IF(tbl_IBM[[#This Row],[BB_Mean]]="", "", tbl_IBM[[#This Row],[BB_Mean]]-(BB_Width*tbl_IBM[[#This Row],[BB_Stdev]]))</calculatedColumnFormula>
    </tableColumn>
    <tableColumn id="13" name="Move" dataDxfId="185">
      <calculatedColumnFormula>IF(ROW(tbl_IBM[[#This Row],[Adj Close]])=5, 0, $F5-$F4)</calculatedColumnFormula>
    </tableColumn>
    <tableColumn id="14" name="Upmove" dataDxfId="184">
      <calculatedColumnFormula>MAX(tbl_IBM[[#This Row],[Move]],0)</calculatedColumnFormula>
    </tableColumn>
    <tableColumn id="15" name="Downmove" dataDxfId="183">
      <calculatedColumnFormula>MAX(-tbl_IBM[[#This Row],[Move]],0)</calculatedColumnFormula>
    </tableColumn>
    <tableColumn id="16" name="Avg_Upmove" dataDxfId="18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8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80">
      <calculatedColumnFormula>IF(tbl_IBM[[#This Row],[Avg_Upmove]]="", "", tbl_IBM[[#This Row],[Avg_Upmove]]/tbl_IBM[[#This Row],[Avg_Downmove]])</calculatedColumnFormula>
    </tableColumn>
    <tableColumn id="19" name="BB_Stdev" totalsRowFunction="count" dataDxfId="179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55" totalsRowCount="1">
  <autoFilter ref="A4:S54"/>
  <tableColumns count="19">
    <tableColumn id="1" name="Date" totalsRowLabel="Total" dataDxfId="178"/>
    <tableColumn id="2" name="Open" totalsRowDxfId="177" dataCellStyle="Currency"/>
    <tableColumn id="3" name="High" totalsRowDxfId="176" dataCellStyle="Currency"/>
    <tableColumn id="4" name="Low" totalsRowDxfId="175" dataCellStyle="Currency"/>
    <tableColumn id="5" name="Close" totalsRowDxfId="174" dataCellStyle="Currency"/>
    <tableColumn id="6" name="Adj Close" totalsRowDxfId="173" dataCellStyle="Currency"/>
    <tableColumn id="7" name="Volume"/>
    <tableColumn id="8" name="EMA" dataDxfId="172" totalsRowDxfId="171" dataCellStyle="Currency">
      <calculatedColumnFormula>IF(tbl_ORCL[[#This Row],[Date]]=$A$5, $F5, EMA_Beta*$H4 + (1-EMA_Beta)*$F5)</calculatedColumnFormula>
    </tableColumn>
    <tableColumn id="9" name="RSI" dataDxfId="170" totalsRowDxfId="169" dataCellStyle="Currency">
      <calculatedColumnFormula>IF(tbl_ORCL[[#This Row],[RS]]= "", "", 100-(100/(1+tbl_ORCL[[#This Row],[RS]])))</calculatedColumnFormula>
    </tableColumn>
    <tableColumn id="10" name="BB_Mean" dataDxfId="168" totalsRowDxfId="16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66" totalsRowDxfId="165" dataCellStyle="Currency">
      <calculatedColumnFormula>IF(tbl_ORCL[[#This Row],[BB_Mean]]="", "", tbl_ORCL[[#This Row],[BB_Mean]]+(BB_Width*tbl_ORCL[[#This Row],[BB_Stdev]]))</calculatedColumnFormula>
    </tableColumn>
    <tableColumn id="12" name="BB_Lower" dataDxfId="164" totalsRowDxfId="163" dataCellStyle="Currency">
      <calculatedColumnFormula>IF(tbl_ORCL[[#This Row],[BB_Mean]]="", "", tbl_ORCL[[#This Row],[BB_Mean]]-(BB_Width*tbl_ORCL[[#This Row],[BB_Stdev]]))</calculatedColumnFormula>
    </tableColumn>
    <tableColumn id="13" name="Move" dataDxfId="162" totalsRowDxfId="161" dataCellStyle="Currency">
      <calculatedColumnFormula>IF(ROW(tbl_ORCL[[#This Row],[Adj Close]])=5, 0, $F5-$F4)</calculatedColumnFormula>
    </tableColumn>
    <tableColumn id="14" name="Upmove" dataDxfId="160" totalsRowDxfId="159" dataCellStyle="Currency">
      <calculatedColumnFormula>MAX(tbl_ORCL[[#This Row],[Move]],0)</calculatedColumnFormula>
    </tableColumn>
    <tableColumn id="15" name="Downmove" dataDxfId="158" totalsRowDxfId="157" dataCellStyle="Currency">
      <calculatedColumnFormula>MAX(-tbl_ORCL[[#This Row],[Move]],0)</calculatedColumnFormula>
    </tableColumn>
    <tableColumn id="16" name="Avg_Upmove" dataDxfId="156" totalsRowDxfId="15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54" totalsRowDxfId="153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52" totalsRowDxfId="151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150" totalsRowDxfId="14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55" totalsRowCount="1">
  <autoFilter ref="A4:S54"/>
  <tableColumns count="19">
    <tableColumn id="1" name="Date" totalsRowLabel="Total" dataDxfId="148"/>
    <tableColumn id="2" name="Open" totalsRowDxfId="147" dataCellStyle="Currency"/>
    <tableColumn id="3" name="High" totalsRowDxfId="146" dataCellStyle="Currency"/>
    <tableColumn id="4" name="Low" totalsRowDxfId="145" dataCellStyle="Currency"/>
    <tableColumn id="5" name="Close" totalsRowDxfId="144" dataCellStyle="Currency"/>
    <tableColumn id="6" name="Adj Close" totalsRowDxfId="143" dataCellStyle="Currency"/>
    <tableColumn id="7" name="Volume"/>
    <tableColumn id="8" name="EMA" totalsRowDxfId="142" dataCellStyle="Currency">
      <calculatedColumnFormula>IF(tbl_AKRO[[#This Row],[Date]]=$A$5, $F5, EMA_Beta*$H4 + (1-EMA_Beta)*$F5)</calculatedColumnFormula>
    </tableColumn>
    <tableColumn id="9" name="RSI" dataDxfId="141">
      <calculatedColumnFormula>IF(tbl_AKRO[[#This Row],[RS]]= "", "", 100-(100/(1+tbl_AKRO[[#This Row],[RS]])))</calculatedColumnFormula>
    </tableColumn>
    <tableColumn id="10" name="BB_Mean" totalsRowDxfId="14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39" totalsRowDxfId="138" dataCellStyle="Currency">
      <calculatedColumnFormula>IF(tbl_AKRO[[#This Row],[BB_Mean]]="", "", tbl_AKRO[[#This Row],[BB_Mean]]+(BB_Width*tbl_AKRO[[#This Row],[BB_Stdev]]))</calculatedColumnFormula>
    </tableColumn>
    <tableColumn id="12" name="BB_Lower" dataDxfId="137" totalsRowDxfId="136" dataCellStyle="Currency">
      <calculatedColumnFormula>IF(tbl_AKRO[[#This Row],[BB_Mean]]="", "", tbl_AKRO[[#This Row],[BB_Mean]]-(BB_Width*tbl_AKRO[[#This Row],[BB_Stdev]]))</calculatedColumnFormula>
    </tableColumn>
    <tableColumn id="13" name="Move" dataDxfId="135">
      <calculatedColumnFormula>IF(ROW(tbl_AKRO[[#This Row],[Adj Close]])=5, 0, $F5-$F4)</calculatedColumnFormula>
    </tableColumn>
    <tableColumn id="14" name="Upmove" dataDxfId="134">
      <calculatedColumnFormula>MAX(tbl_AKRO[[#This Row],[Move]],0)</calculatedColumnFormula>
    </tableColumn>
    <tableColumn id="15" name="Downmove" dataDxfId="133">
      <calculatedColumnFormula>MAX(-tbl_AKRO[[#This Row],[Move]],0)</calculatedColumnFormula>
    </tableColumn>
    <tableColumn id="16" name="Avg_Upmove" dataDxfId="13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3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30">
      <calculatedColumnFormula>IF(tbl_AKRO[[#This Row],[Avg_Upmove]]="", "", tbl_AKRO[[#This Row],[Avg_Upmove]]/tbl_AKRO[[#This Row],[Avg_Downmove]])</calculatedColumnFormula>
    </tableColumn>
    <tableColumn id="19" name="BB_Stdev" totalsRowFunction="count" totalsRowDxfId="12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55" totalsRowCount="1">
  <autoFilter ref="A4:S54"/>
  <tableColumns count="19">
    <tableColumn id="1" name="Date" totalsRowLabel="Total" dataDxfId="128"/>
    <tableColumn id="2" name="Open" totalsRowDxfId="127" dataCellStyle="Currency"/>
    <tableColumn id="3" name="High" totalsRowDxfId="126" dataCellStyle="Currency"/>
    <tableColumn id="4" name="Low" totalsRowDxfId="125" dataCellStyle="Currency"/>
    <tableColumn id="5" name="Close" totalsRowDxfId="124" dataCellStyle="Currency"/>
    <tableColumn id="6" name="Adj Close" totalsRowDxfId="123" dataCellStyle="Currency"/>
    <tableColumn id="7" name="Volume"/>
    <tableColumn id="8" name="EMA" totalsRowDxfId="122" dataCellStyle="Currency">
      <calculatedColumnFormula>IF(tbl_FDX[[#This Row],[Date]]=$A$5, $F5, EMA_Beta*$H4 + (1-EMA_Beta)*$F5)</calculatedColumnFormula>
    </tableColumn>
    <tableColumn id="9" name="RSI" dataDxfId="121">
      <calculatedColumnFormula>IF(tbl_FDX[[#This Row],[RS]]= "", "", 100-(100/(1+tbl_FDX[[#This Row],[RS]])))</calculatedColumnFormula>
    </tableColumn>
    <tableColumn id="10" name="BB_Mean" totalsRowDxfId="12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19" dataCellStyle="Currency">
      <calculatedColumnFormula>IF(tbl_FDX[[#This Row],[BB_Mean]]="", "", tbl_FDX[[#This Row],[BB_Mean]]+(BB_Width*tbl_FDX[[#This Row],[BB_Stdev]]))</calculatedColumnFormula>
    </tableColumn>
    <tableColumn id="12" name="BB_Lower" dataDxfId="118" totalsRowDxfId="117" dataCellStyle="Currency">
      <calculatedColumnFormula>IF(tbl_FDX[[#This Row],[BB_Mean]]="", "", tbl_FDX[[#This Row],[BB_Mean]]-(BB_Width*tbl_FDX[[#This Row],[BB_Stdev]]))</calculatedColumnFormula>
    </tableColumn>
    <tableColumn id="13" name="Move" dataDxfId="116">
      <calculatedColumnFormula>IF(ROW(tbl_FDX[[#This Row],[Adj Close]])=5, 0, $F5-$F4)</calculatedColumnFormula>
    </tableColumn>
    <tableColumn id="14" name="Upmove" dataDxfId="115">
      <calculatedColumnFormula>MAX(tbl_FDX[[#This Row],[Move]],0)</calculatedColumnFormula>
    </tableColumn>
    <tableColumn id="15" name="Downmove" dataDxfId="114">
      <calculatedColumnFormula>MAX(-tbl_FDX[[#This Row],[Move]],0)</calculatedColumnFormula>
    </tableColumn>
    <tableColumn id="16" name="Avg_Upmove" dataDxfId="11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1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11">
      <calculatedColumnFormula>IF(tbl_FDX[[#This Row],[Avg_Upmove]]="", "", tbl_FDX[[#This Row],[Avg_Upmove]]/tbl_FDX[[#This Row],[Avg_Downmove]])</calculatedColumnFormula>
    </tableColumn>
    <tableColumn id="19" name="BB_Stdev" totalsRowFunction="count" totalsRowDxfId="11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55" totalsRowCount="1">
  <autoFilter ref="A4:S54"/>
  <tableColumns count="19">
    <tableColumn id="1" name="Date" totalsRowLabel="Total" dataDxfId="109"/>
    <tableColumn id="2" name="Open"/>
    <tableColumn id="3" name="High"/>
    <tableColumn id="4" name="Low"/>
    <tableColumn id="5" name="Close"/>
    <tableColumn id="6" name="Adj Close"/>
    <tableColumn id="7" name="Volume"/>
    <tableColumn id="8" name="EMA" totalsRowDxfId="108" dataCellStyle="Currency">
      <calculatedColumnFormula>IF(tbl_NKLA[[#This Row],[Date]]=$A$5, $F5, EMA_Beta*$H4 + (1-EMA_Beta)*$F5)</calculatedColumnFormula>
    </tableColumn>
    <tableColumn id="9" name="RSI" dataDxfId="107">
      <calculatedColumnFormula>IF(tbl_NKLA[[#This Row],[RS]]= "", "", 100-(100/(1+tbl_NKLA[[#This Row],[RS]])))</calculatedColumnFormula>
    </tableColumn>
    <tableColumn id="10" name="BB_Mean" totalsRowDxfId="10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05" dataCellStyle="Currency">
      <calculatedColumnFormula>IF(tbl_NKLA[[#This Row],[BB_Mean]]="", "", tbl_NKLA[[#This Row],[BB_Mean]]+(BB_Width*tbl_NKLA[[#This Row],[BB_Stdev]]))</calculatedColumnFormula>
    </tableColumn>
    <tableColumn id="12" name="BB_Lower" totalsRowDxfId="104" dataCellStyle="Currency">
      <calculatedColumnFormula>IF(tbl_NKLA[[#This Row],[BB_Mean]]="", "", tbl_NKLA[[#This Row],[BB_Mean]]-(BB_Width*tbl_NKLA[[#This Row],[BB_Stdev]]))</calculatedColumnFormula>
    </tableColumn>
    <tableColumn id="13" name="Move" dataDxfId="103">
      <calculatedColumnFormula>IF(ROW(tbl_NKLA[[#This Row],[Adj Close]])=5, 0, $F5-$F4)</calculatedColumnFormula>
    </tableColumn>
    <tableColumn id="14" name="Upmove" dataDxfId="102">
      <calculatedColumnFormula>MAX(tbl_NKLA[[#This Row],[Move]],0)</calculatedColumnFormula>
    </tableColumn>
    <tableColumn id="15" name="Downmove" dataDxfId="101">
      <calculatedColumnFormula>MAX(-tbl_NKLA[[#This Row],[Move]],0)</calculatedColumnFormula>
    </tableColumn>
    <tableColumn id="16" name="Avg_Upmove" dataDxfId="10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98">
      <calculatedColumnFormula>IF(tbl_NKLA[[#This Row],[Avg_Upmove]]="", "", tbl_NKLA[[#This Row],[Avg_Upmove]]/tbl_NKLA[[#This Row],[Avg_Downmove]])</calculatedColumnFormula>
    </tableColumn>
    <tableColumn id="19" name="BB_Stdev" totalsRowFunction="count" totalsRowDxfId="9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55" totalsRowCount="1">
  <autoFilter ref="A4:S54"/>
  <tableColumns count="19">
    <tableColumn id="1" name="Date" totalsRowLabel="Total" dataDxfId="96"/>
    <tableColumn id="2" name="Open" totalsRowDxfId="95" dataCellStyle="Currency"/>
    <tableColumn id="3" name="High" totalsRowDxfId="94" dataCellStyle="Currency"/>
    <tableColumn id="4" name="Low" totalsRowDxfId="93" dataCellStyle="Currency"/>
    <tableColumn id="5" name="Close" totalsRowDxfId="92" dataCellStyle="Currency"/>
    <tableColumn id="6" name="Adj Close" totalsRowDxfId="91" dataCellStyle="Currency"/>
    <tableColumn id="7" name="Volume"/>
    <tableColumn id="8" name="EMA" totalsRowDxfId="90" dataCellStyle="Currency">
      <calculatedColumnFormula>IF(tbl_SPXS[[#This Row],[Date]]=$A$5, $F5, EMA_Beta*$H4 + (1-EMA_Beta)*$F5)</calculatedColumnFormula>
    </tableColumn>
    <tableColumn id="9" name="RSI" dataDxfId="89">
      <calculatedColumnFormula>IF(tbl_SPXS[[#This Row],[RS]]= "", "", 100-(100/(1+tbl_SPXS[[#This Row],[RS]])))</calculatedColumnFormula>
    </tableColumn>
    <tableColumn id="10" name="BB_Mean" totalsRowDxfId="8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87" dataCellStyle="Currency">
      <calculatedColumnFormula>IF(tbl_SPXS[[#This Row],[BB_Mean]]="", "", tbl_SPXS[[#This Row],[BB_Mean]]+(BB_Width*tbl_SPXS[[#This Row],[BB_Stdev]]))</calculatedColumnFormula>
    </tableColumn>
    <tableColumn id="12" name="BB_Lower" totalsRowDxfId="86" dataCellStyle="Currency">
      <calculatedColumnFormula>IF(tbl_SPXS[[#This Row],[BB_Mean]]="", "", tbl_SPXS[[#This Row],[BB_Mean]]-(BB_Width*tbl_SPXS[[#This Row],[BB_Stdev]]))</calculatedColumnFormula>
    </tableColumn>
    <tableColumn id="13" name="Move" dataDxfId="85">
      <calculatedColumnFormula>IF(ROW(tbl_SPXS[[#This Row],[Adj Close]])=5, 0, $F5-$F4)</calculatedColumnFormula>
    </tableColumn>
    <tableColumn id="14" name="Upmove" dataDxfId="84">
      <calculatedColumnFormula>MAX(tbl_SPXS[[#This Row],[Move]],0)</calculatedColumnFormula>
    </tableColumn>
    <tableColumn id="15" name="Downmove" dataDxfId="83">
      <calculatedColumnFormula>MAX(-tbl_SPXS[[#This Row],[Move]],0)</calculatedColumnFormula>
    </tableColumn>
    <tableColumn id="16" name="Avg_Upmove" dataDxfId="8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8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80">
      <calculatedColumnFormula>IF(tbl_SPXS[[#This Row],[Avg_Upmove]]="", "", tbl_SPXS[[#This Row],[Avg_Upmove]]/tbl_SPXS[[#This Row],[Avg_Downmove]])</calculatedColumnFormula>
    </tableColumn>
    <tableColumn id="19" name="BB_Stdev" totalsRowFunction="count" totalsRowDxfId="7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tbl_AMD" displayName="tbl_AMD" ref="A4:S55" totalsRowCount="1">
  <autoFilter ref="A4:S54"/>
  <tableColumns count="19">
    <tableColumn id="1" name="Date" totalsRowLabel="Total" dataDxfId="78"/>
    <tableColumn id="2" name="Open" totalsRowDxfId="39" dataCellStyle="Currency"/>
    <tableColumn id="3" name="High" totalsRowDxfId="38" dataCellStyle="Currency"/>
    <tableColumn id="4" name="Low" totalsRowDxfId="37" dataCellStyle="Currency"/>
    <tableColumn id="5" name="Close" totalsRowDxfId="36" dataCellStyle="Currency"/>
    <tableColumn id="6" name="Adj Close" totalsRowDxfId="35" dataCellStyle="Currency"/>
    <tableColumn id="7" name="Volume"/>
    <tableColumn id="8" name="EMA" totalsRowDxfId="34" dataCellStyle="Currency">
      <calculatedColumnFormula>IF(tbl_AMD[[#This Row],[Date]]=$A$5, $F5, EMA_Beta*$H4 + (1-EMA_Beta)*$F5)</calculatedColumnFormula>
    </tableColumn>
    <tableColumn id="9" name="RSI" dataDxfId="77">
      <calculatedColumnFormula>IF(tbl_AMD[[#This Row],[RS]]= "", "", 100-(100/(1+tbl_AMD[[#This Row],[RS]])))</calculatedColumnFormula>
    </tableColumn>
    <tableColumn id="10" name="BB_Mean" totalsRowDxfId="3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32" dataCellStyle="Currency">
      <calculatedColumnFormula>IF(tbl_AMD[[#This Row],[BB_Mean]]="", "", tbl_AMD[[#This Row],[BB_Mean]]+(BB_Width*tbl_AMD[[#This Row],[BB_Stdev]]))</calculatedColumnFormula>
    </tableColumn>
    <tableColumn id="12" name="BB_Lower" totalsRowDxfId="31" dataCellStyle="Currency">
      <calculatedColumnFormula>IF(tbl_AMD[[#This Row],[BB_Mean]]="", "", tbl_AMD[[#This Row],[BB_Mean]]-(BB_Width*tbl_AMD[[#This Row],[BB_Stdev]]))</calculatedColumnFormula>
    </tableColumn>
    <tableColumn id="13" name="Move" dataDxfId="76">
      <calculatedColumnFormula>IF(ROW(tbl_AMD[[#This Row],[Adj Close]])=5, 0, $F5-$F4)</calculatedColumnFormula>
    </tableColumn>
    <tableColumn id="14" name="Upmove" dataDxfId="75">
      <calculatedColumnFormula>MAX(tbl_AMD[[#This Row],[Move]],0)</calculatedColumnFormula>
    </tableColumn>
    <tableColumn id="15" name="Downmove" dataDxfId="74">
      <calculatedColumnFormula>MAX(-tbl_AMD[[#This Row],[Move]],0)</calculatedColumnFormula>
    </tableColumn>
    <tableColumn id="16" name="Avg_Upmove" dataDxfId="7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7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71">
      <calculatedColumnFormula>IF(tbl_AMD[[#This Row],[Avg_Upmove]]="", "", tbl_AMD[[#This Row],[Avg_Upmove]]/tbl_AMD[[#This Row],[Avg_Downmove]])</calculatedColumnFormula>
    </tableColumn>
    <tableColumn id="19" name="BB_Stdev" totalsRowFunction="count" totalsRowDxfId="3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bl_CVX" displayName="tbl_CVX" ref="A4:S55" totalsRowCount="1">
  <autoFilter ref="A4:S54"/>
  <tableColumns count="19">
    <tableColumn id="1" name="Date" totalsRowLabel="Total" dataDxfId="70"/>
    <tableColumn id="2" name="Open" totalsRowDxfId="29" dataCellStyle="Currency"/>
    <tableColumn id="3" name="High" totalsRowDxfId="28" dataCellStyle="Currency"/>
    <tableColumn id="4" name="Low" totalsRowDxfId="27" dataCellStyle="Currency"/>
    <tableColumn id="5" name="Close" totalsRowDxfId="26" dataCellStyle="Currency"/>
    <tableColumn id="6" name="Adj Close" totalsRowDxfId="25" dataCellStyle="Currency"/>
    <tableColumn id="7" name="Volume"/>
    <tableColumn id="8" name="EMA" totalsRowDxfId="24" dataCellStyle="Currency">
      <calculatedColumnFormula>IF(tbl_CVX[[#This Row],[Date]]=$A$5, $F5, EMA_Beta*$H4 + (1-EMA_Beta)*$F5)</calculatedColumnFormula>
    </tableColumn>
    <tableColumn id="9" name="RSI" dataDxfId="69">
      <calculatedColumnFormula>IF(tbl_CVX[[#This Row],[RS]]= "", "", 100-(100/(1+tbl_CVX[[#This Row],[RS]])))</calculatedColumnFormula>
    </tableColumn>
    <tableColumn id="10" name="BB_Mean" totalsRowDxfId="2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2" dataCellStyle="Currency">
      <calculatedColumnFormula>IF(tbl_CVX[[#This Row],[BB_Mean]]="", "", tbl_CVX[[#This Row],[BB_Mean]]+(BB_Width*tbl_CVX[[#This Row],[BB_Stdev]]))</calculatedColumnFormula>
    </tableColumn>
    <tableColumn id="12" name="BB_Lower" totalsRowDxfId="21" dataCellStyle="Currency">
      <calculatedColumnFormula>IF(tbl_CVX[[#This Row],[BB_Mean]]="", "", tbl_CVX[[#This Row],[BB_Mean]]-(BB_Width*tbl_CVX[[#This Row],[BB_Stdev]]))</calculatedColumnFormula>
    </tableColumn>
    <tableColumn id="13" name="Move" dataDxfId="68">
      <calculatedColumnFormula>IF(ROW(tbl_CVX[[#This Row],[Adj Close]])=5, 0, $F5-$F4)</calculatedColumnFormula>
    </tableColumn>
    <tableColumn id="14" name="Upmove" dataDxfId="67">
      <calculatedColumnFormula>MAX(tbl_CVX[[#This Row],[Move]],0)</calculatedColumnFormula>
    </tableColumn>
    <tableColumn id="15" name="Downmove" dataDxfId="66">
      <calculatedColumnFormula>MAX(-tbl_CVX[[#This Row],[Move]],0)</calculatedColumnFormula>
    </tableColumn>
    <tableColumn id="16" name="Avg_Upmove" dataDxfId="6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6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63">
      <calculatedColumnFormula>IF(tbl_CVX[[#This Row],[Avg_Upmove]]="", "", tbl_CVX[[#This Row],[Avg_Upmove]]/tbl_CVX[[#This Row],[Avg_Downmove]])</calculatedColumnFormula>
    </tableColumn>
    <tableColumn id="19" name="BB_Stdev" totalsRowFunction="count" totalsRowDxfId="2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bl_QCOM" displayName="tbl_QCOM" ref="A4:S55" totalsRowCount="1">
  <autoFilter ref="A4:S54"/>
  <tableColumns count="19">
    <tableColumn id="1" name="Date" totalsRowLabel="Total" dataDxfId="62"/>
    <tableColumn id="2" name="Open" totalsRowDxfId="19" dataCellStyle="Currency"/>
    <tableColumn id="3" name="High" totalsRowDxfId="18" dataCellStyle="Currency"/>
    <tableColumn id="4" name="Low" totalsRowDxfId="17" dataCellStyle="Currency"/>
    <tableColumn id="5" name="Close" totalsRowDxfId="16" dataCellStyle="Currency"/>
    <tableColumn id="6" name="Adj Close" totalsRowDxfId="15" dataCellStyle="Currency"/>
    <tableColumn id="7" name="Volume"/>
    <tableColumn id="8" name="EMA" totalsRowDxfId="14" dataCellStyle="Currency">
      <calculatedColumnFormula>IF(tbl_QCOM[[#This Row],[Date]]=$A$5, $F5, EMA_Beta*$H4 + (1-EMA_Beta)*$F5)</calculatedColumnFormula>
    </tableColumn>
    <tableColumn id="9" name="RSI" dataDxfId="61">
      <calculatedColumnFormula>IF(tbl_QCOM[[#This Row],[RS]]= "", "", 100-(100/(1+tbl_QCOM[[#This Row],[RS]])))</calculatedColumnFormula>
    </tableColumn>
    <tableColumn id="10" name="BB_Mean" totalsRowDxfId="1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12" dataCellStyle="Currency">
      <calculatedColumnFormula>IF(tbl_QCOM[[#This Row],[BB_Mean]]="", "", tbl_QCOM[[#This Row],[BB_Mean]]+(BB_Width*tbl_QCOM[[#This Row],[BB_Stdev]]))</calculatedColumnFormula>
    </tableColumn>
    <tableColumn id="12" name="BB_Lower" totalsRowDxfId="11" dataCellStyle="Currency">
      <calculatedColumnFormula>IF(tbl_QCOM[[#This Row],[BB_Mean]]="", "", tbl_QCOM[[#This Row],[BB_Mean]]-(BB_Width*tbl_QCOM[[#This Row],[BB_Stdev]]))</calculatedColumnFormula>
    </tableColumn>
    <tableColumn id="13" name="Move" dataDxfId="60">
      <calculatedColumnFormula>IF(ROW(tbl_QCOM[[#This Row],[Adj Close]])=5, 0, $F5-$F4)</calculatedColumnFormula>
    </tableColumn>
    <tableColumn id="14" name="Upmove" dataDxfId="59">
      <calculatedColumnFormula>MAX(tbl_QCOM[[#This Row],[Move]],0)</calculatedColumnFormula>
    </tableColumn>
    <tableColumn id="15" name="Downmove" dataDxfId="58">
      <calculatedColumnFormula>MAX(-tbl_QCOM[[#This Row],[Move]],0)</calculatedColumnFormula>
    </tableColumn>
    <tableColumn id="16" name="Avg_Upmove" dataDxfId="5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5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55">
      <calculatedColumnFormula>IF(tbl_QCOM[[#This Row],[Avg_Upmove]]="", "", tbl_QCOM[[#This Row],[Avg_Upmove]]/tbl_QCOM[[#This Row],[Avg_Downmove]])</calculatedColumnFormula>
    </tableColumn>
    <tableColumn id="19" name="BB_Stdev" totalsRowFunction="count" totalsRowDxfId="1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bl_F" displayName="tbl_F" ref="A4:S55" totalsRowCount="1">
  <autoFilter ref="A4:S54"/>
  <tableColumns count="19">
    <tableColumn id="1" name="Date" totalsRowLabel="Total" dataDxfId="54"/>
    <tableColumn id="2" name="Open" totalsRowDxfId="9" dataCellStyle="Currency"/>
    <tableColumn id="3" name="High" totalsRowDxfId="8" dataCellStyle="Currency"/>
    <tableColumn id="4" name="Low" totalsRowDxfId="7" dataCellStyle="Currency"/>
    <tableColumn id="5" name="Close" totalsRowDxfId="6" dataCellStyle="Currency"/>
    <tableColumn id="6" name="Adj Close" totalsRowDxfId="5" dataCellStyle="Currency"/>
    <tableColumn id="7" name="Volume"/>
    <tableColumn id="8" name="EMA" totalsRowDxfId="4" dataCellStyle="Currency">
      <calculatedColumnFormula>IF(tbl_F[[#This Row],[Date]]=$A$5, $F5, EMA_Beta*$H4 + (1-EMA_Beta)*$F5)</calculatedColumnFormula>
    </tableColumn>
    <tableColumn id="9" name="RSI" dataDxfId="53">
      <calculatedColumnFormula>IF(tbl_F[[#This Row],[RS]]= "", "", 100-(100/(1+tbl_F[[#This Row],[RS]])))</calculatedColumnFormula>
    </tableColumn>
    <tableColumn id="10" name="BB_Mean" totalsRowDxfId="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totalsRowDxfId="2" dataCellStyle="Currency">
      <calculatedColumnFormula>IF(tbl_F[[#This Row],[BB_Mean]]="", "", tbl_F[[#This Row],[BB_Mean]]+(BB_Width*tbl_F[[#This Row],[BB_Stdev]]))</calculatedColumnFormula>
    </tableColumn>
    <tableColumn id="12" name="BB_Lower" totalsRowDxfId="1" dataCellStyle="Currency">
      <calculatedColumnFormula>IF(tbl_F[[#This Row],[BB_Mean]]="", "", tbl_F[[#This Row],[BB_Mean]]-(BB_Width*tbl_F[[#This Row],[BB_Stdev]]))</calculatedColumnFormula>
    </tableColumn>
    <tableColumn id="13" name="Move" dataDxfId="52">
      <calculatedColumnFormula>IF(ROW(tbl_F[[#This Row],[Adj Close]])=5, 0, $F5-$F4)</calculatedColumnFormula>
    </tableColumn>
    <tableColumn id="14" name="Upmove" dataDxfId="51">
      <calculatedColumnFormula>MAX(tbl_F[[#This Row],[Move]],0)</calculatedColumnFormula>
    </tableColumn>
    <tableColumn id="15" name="Downmove" dataDxfId="50">
      <calculatedColumnFormula>MAX(-tbl_F[[#This Row],[Move]],0)</calculatedColumnFormula>
    </tableColumn>
    <tableColumn id="16" name="Avg_Upmove" dataDxfId="4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4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7">
      <calculatedColumnFormula>IF(tbl_F[[#This Row],[Avg_Upmove]]="", "", tbl_F[[#This Row],[Avg_Upmove]]/tbl_F[[#This Row],[Avg_Downmove]])</calculatedColumnFormula>
    </tableColumn>
    <tableColumn id="19" name="BB_Stdev" totalsRowFunction="count" totalsRowDxfId="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7" totalsRowShown="0" headerRowDxfId="318">
  <autoFilter ref="A3:A17"/>
  <tableColumns count="1">
    <tableColumn id="1" name="Symbol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id="11" name="tbl_holdings" displayName="tbl_holdings" ref="B4:F19" totalsRowCount="1">
  <autoFilter ref="B4:F18"/>
  <tableColumns count="5">
    <tableColumn id="1" name="Index" totalsRowLabel="Total"/>
    <tableColumn id="2" name="Stock">
      <calculatedColumnFormula>INDEX(Symbol,B5)</calculatedColumnFormula>
    </tableColumn>
    <tableColumn id="3" name="Current Price">
      <calculatedColumnFormula>INDEX(INDIRECT("tbl_"&amp;C5),COUNT(INDIRECT("tbl_"&amp;C5&amp;"[Date]")), MATCH("Adj close", Price_Header,0))</calculatedColumnFormula>
    </tableColumn>
    <tableColumn id="4" name="# Holdings">
      <calculatedColumnFormula>INDEX(tbl_position[], COUNT(tbl_position[Date]), MATCH("Shares_"&amp;C5, pos_header,0))</calculatedColumnFormula>
    </tableColumn>
    <tableColumn id="5" name="Total" totalsRowFunction="sum" dataDxfId="46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tbl_transsummary" displayName="tbl_transsummary" ref="J4:P11" totalsRowShown="0">
  <autoFilter ref="J4:P11"/>
  <tableColumns count="7">
    <tableColumn id="1" name="Index"/>
    <tableColumn id="2" name="Start" dataDxfId="45">
      <calculatedColumnFormula>K4+7</calculatedColumnFormula>
    </tableColumn>
    <tableColumn id="3" name="End" dataDxfId="44">
      <calculatedColumnFormula>L4+7</calculatedColumnFormula>
    </tableColumn>
    <tableColumn id="4" name="BUY" dataDxfId="43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42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41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40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317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316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AG33" totalsRowCount="1">
  <autoFilter ref="A4:AG32"/>
  <tableColumns count="33">
    <tableColumn id="1" name="Date" totalsRowLabel="Total" dataDxfId="315"/>
    <tableColumn id="2" name="Price_AAPL" totalsRowFunction="count" dataCellStyle="Currency">
      <calculatedColumnFormula>VLOOKUP(tbl_position[[#This Row],[Date]], tbl_AAPL[], 5, 0)</calculatedColumnFormula>
    </tableColumn>
    <tableColumn id="3" name="Price_RIOT" dataDxfId="314" dataCellStyle="Currency">
      <calculatedColumnFormula>VLOOKUP(tbl_position[[#This Row],[Date]], tbl_RIOT[], 5, 0)</calculatedColumnFormula>
    </tableColumn>
    <tableColumn id="4" name="Price_HD" totalsRowDxfId="313" dataCellStyle="Currency">
      <calculatedColumnFormula>VLOOKUP(tbl_position[[#This Row],[Date]], tbl_HD[], 5, 0)</calculatedColumnFormula>
    </tableColumn>
    <tableColumn id="5" name="Price_WMT" dataDxfId="312" dataCellStyle="Currency">
      <calculatedColumnFormula>VLOOKUP(tbl_position[[#This Row],[Date]], tbl_WMT[], 5, 0)</calculatedColumnFormula>
    </tableColumn>
    <tableColumn id="6" name="Price_IBM" dataDxfId="311" dataCellStyle="Currency">
      <calculatedColumnFormula>VLOOKUP(tbl_position[[#This Row],[Date]], tbl_IBM[], 5, 0)</calculatedColumnFormula>
    </tableColumn>
    <tableColumn id="7" name="Price_ORCL" dataDxfId="310" dataCellStyle="Currency">
      <calculatedColumnFormula>VLOOKUP(tbl_position[[#This Row],[Date]], tbl_ORCL[], 5, 0)</calculatedColumnFormula>
    </tableColumn>
    <tableColumn id="20" name="Price_AKRO" dataDxfId="309" dataCellStyle="Currency">
      <calculatedColumnFormula>VLOOKUP(tbl_position[[#This Row],[Date]], tbl_AKRO[], 5, 0)</calculatedColumnFormula>
    </tableColumn>
    <tableColumn id="19" name="Price_FDX" dataDxfId="308" dataCellStyle="Currency">
      <calculatedColumnFormula>VLOOKUP(tbl_position[[#This Row],[Date]], tbl_FDX[], 5, 0)</calculatedColumnFormula>
    </tableColumn>
    <tableColumn id="21" name="Price_NKLA" dataDxfId="307" dataCellStyle="Currency">
      <calculatedColumnFormula>VLOOKUP(tbl_position[[#This Row],[Date]], tbl_NKLA[], 5, 0)</calculatedColumnFormula>
    </tableColumn>
    <tableColumn id="22" name="Price_SPXS" dataDxfId="306" dataCellStyle="Currency">
      <calculatedColumnFormula>VLOOKUP(tbl_position[[#This Row],[Date]], tbl_SPXS[], 5, 0)</calculatedColumnFormula>
    </tableColumn>
    <tableColumn id="17" name="Price_AMD" dataDxfId="305" dataCellStyle="Currency">
      <calculatedColumnFormula>VLOOKUP(tbl_position[[#This Row],[Date]], tbl_AMD[], 5, 0)</calculatedColumnFormula>
    </tableColumn>
    <tableColumn id="28" name="Price_CVX" dataDxfId="304" dataCellStyle="Currency">
      <calculatedColumnFormula>VLOOKUP(tbl_position[[#This Row],[Date]], tbl_CVX[], 5, 0)</calculatedColumnFormula>
    </tableColumn>
    <tableColumn id="31" name="Price_QCOM" dataDxfId="303" dataCellStyle="Currency">
      <calculatedColumnFormula>VLOOKUP(tbl_position[[#This Row],[Date]], tbl_QCOM[], 5, 0)</calculatedColumnFormula>
    </tableColumn>
    <tableColumn id="34" name="Price_F" dataDxfId="302" dataCellStyle="Currency">
      <calculatedColumnFormula>VLOOKUP(tbl_position[[#This Row],[Date]], tbl_F[], 5, 0)</calculatedColumnFormula>
    </tableColumn>
    <tableColumn id="8" name="Shares_AAPL" dataDxfId="301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$P4)</calculatedColumnFormula>
    </tableColumn>
    <tableColumn id="9" name="Shares_RIOT" dataDxfId="300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$Q4)</calculatedColumnFormula>
    </tableColumn>
    <tableColumn id="10" name="Shares_HD" dataDxfId="299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$R4)</calculatedColumnFormula>
    </tableColumn>
    <tableColumn id="11" name="Shares_WMT" dataDxfId="298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$S4)</calculatedColumnFormula>
    </tableColumn>
    <tableColumn id="12" name="Shares_IBM" dataDxfId="297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$T4)</calculatedColumnFormula>
    </tableColumn>
    <tableColumn id="13" name="Shares_ORCL" dataDxfId="296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$U4)</calculatedColumnFormula>
    </tableColumn>
    <tableColumn id="26" name="Shares_AKRO" dataDxfId="295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$V4)</calculatedColumnFormula>
    </tableColumn>
    <tableColumn id="25" name="Shares_FDX" dataDxfId="294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$W4)</calculatedColumnFormula>
    </tableColumn>
    <tableColumn id="24" name="Shares_NKLA" dataDxfId="293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$X4)</calculatedColumnFormula>
    </tableColumn>
    <tableColumn id="23" name="Shares_SPXS" dataDxfId="292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$Y4)</calculatedColumnFormula>
    </tableColumn>
    <tableColumn id="27" name="Shares_AMD" dataDxfId="291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$Z4)</calculatedColumnFormula>
    </tableColumn>
    <tableColumn id="29" name="Shares_CVX" dataDxfId="290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$AA4)</calculatedColumnFormula>
    </tableColumn>
    <tableColumn id="33" name="Shares_QCOM" dataDxfId="289">
      <calculatedColumnFormula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$AB4)</calculatedColumnFormula>
    </tableColumn>
    <tableColumn id="35" name="Shares_F" dataDxfId="288">
      <calculatedColumnFormula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$AC4)</calculatedColumnFormula>
    </tableColumn>
    <tableColumn id="14" name="Shares_Holding" dataCellStyle="Currency">
      <calculatedColumnFormula xml:space="preserve"> SUMPRODUCT(INDIRECT(ADDRESS(ROW(AD5), 2)):INDIRECT(ADDRESS(ROW(AD5), MATCH("Shares_AAPL", pos_header,0)-1)), INDIRECT(ADDRESS(ROW(AD5), MATCH("Shares_AAPL", pos_header,0))): INDIRECT(ADDRESS(ROW(AD5), MATCH("Shares_Holding", pos_header,0)-1)))</calculatedColumnFormula>
    </tableColumn>
    <tableColumn id="15" name="Cash_Holding" dataDxfId="287" totalsRowDxfId="286" dataCellStyle="Currency">
      <calculatedColumnFormula>SUMIFS(tbl_transaction[Net_Cash_Change], tbl_transaction[Transaction_Date],tbl_position[[#This Row],[Date]])+IF(tbl_position[[#This Row],[Date]]=$A$5, 100000, $AE4)</calculatedColumnFormula>
    </tableColumn>
    <tableColumn id="16" name="Liabilities_Holding" dataDxfId="285">
      <calculatedColumnFormula>SUMIFS(tbl_transaction[Net_Debt_Change], tbl_transaction[Transaction_Date],tbl_position[[#This Row],[Date]])+IF(tbl_position[[#This Row],[Date]]=$A$5, 0, $AF4)</calculatedColumnFormula>
    </tableColumn>
    <tableColumn id="18" name="Total_Net_Asset" dataDxfId="284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55" totalsRowCount="1">
  <autoFilter ref="A4:S54"/>
  <tableColumns count="19">
    <tableColumn id="1" name="Date" totalsRowLabel="Total" dataDxfId="283"/>
    <tableColumn id="2" name="Open" dataDxfId="282"/>
    <tableColumn id="3" name="High" dataDxfId="281"/>
    <tableColumn id="4" name="Low" dataDxfId="280"/>
    <tableColumn id="5" name="Close" dataDxfId="279"/>
    <tableColumn id="6" name="Adj Close" dataDxfId="278"/>
    <tableColumn id="7" name="Volume"/>
    <tableColumn id="8" name="EMA" totalsRowDxfId="277" dataCellStyle="Currency">
      <calculatedColumnFormula>IF(tbl_HD[[#This Row],[Date]]=$A$5, $F5, EMA_Beta*$H4 + (1-EMA_Beta)*$F5)</calculatedColumnFormula>
    </tableColumn>
    <tableColumn id="9" name="RSI" dataDxfId="276">
      <calculatedColumnFormula>IF(tbl_HD[[#This Row],[RS]]= "", "", 100-(100/(1+tbl_HD[[#This Row],[RS]])))</calculatedColumnFormula>
    </tableColumn>
    <tableColumn id="10" name="BB_Mean" totalsRowDxfId="27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74" totalsRowDxfId="273" dataCellStyle="Currency">
      <calculatedColumnFormula>IF(tbl_HD[[#This Row],[BB_Mean]]="", "", tbl_HD[[#This Row],[BB_Mean]]+(BB_Width*tbl_HD[[#This Row],[BB_Stdev]]))</calculatedColumnFormula>
    </tableColumn>
    <tableColumn id="12" name="BB_Lower" dataDxfId="272" totalsRowDxfId="271" dataCellStyle="Currency">
      <calculatedColumnFormula>IF(tbl_HD[[#This Row],[BB_Mean]]="", "", tbl_HD[[#This Row],[BB_Mean]]-(BB_Width*tbl_HD[[#This Row],[BB_Stdev]]))</calculatedColumnFormula>
    </tableColumn>
    <tableColumn id="13" name="Move" dataDxfId="270">
      <calculatedColumnFormula>IF(ROW(tbl_HD[[#This Row],[Adj Close]])=5, 0, $F5-$F4)</calculatedColumnFormula>
    </tableColumn>
    <tableColumn id="14" name="Upmove" dataDxfId="269">
      <calculatedColumnFormula>MAX(tbl_HD[[#This Row],[Move]],0)</calculatedColumnFormula>
    </tableColumn>
    <tableColumn id="15" name="Downmove" dataDxfId="268">
      <calculatedColumnFormula>MAX(-tbl_HD[[#This Row],[Move]],0)</calculatedColumnFormula>
    </tableColumn>
    <tableColumn id="16" name="Avg_Upmove" dataDxfId="26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6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65">
      <calculatedColumnFormula>IF(tbl_HD[[#This Row],[Avg_Upmove]]="", "", tbl_HD[[#This Row],[Avg_Upmove]]/tbl_HD[[#This Row],[Avg_Downmove]])</calculatedColumnFormula>
    </tableColumn>
    <tableColumn id="19" name="BB_Stdev" totalsRowFunction="count" totalsRowDxfId="26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55" totalsRowCount="1">
  <autoFilter ref="A4:S54"/>
  <tableColumns count="19">
    <tableColumn id="1" name="Date" totalsRowLabel="Total" dataDxfId="263"/>
    <tableColumn id="2" name="Open" totalsRowDxfId="262" dataCellStyle="Currency"/>
    <tableColumn id="3" name="High" totalsRowDxfId="261" dataCellStyle="Currency"/>
    <tableColumn id="4" name="Low" totalsRowDxfId="260" dataCellStyle="Currency"/>
    <tableColumn id="5" name="Close" totalsRowDxfId="259" dataCellStyle="Currency"/>
    <tableColumn id="6" name="Adj Close" totalsRowDxfId="258" dataCellStyle="Currency"/>
    <tableColumn id="7" name="Volume"/>
    <tableColumn id="8" name="EMA" dataDxfId="257" totalsRowDxfId="256" dataCellStyle="Currency">
      <calculatedColumnFormula>IF(tbl_AAPL[[#This Row],[Date]]=$A$5, $F5, EMA_Beta*$H4 + (1-EMA_Beta)*$F5)</calculatedColumnFormula>
    </tableColumn>
    <tableColumn id="9" name="RSI" dataDxfId="255" totalsRowDxfId="254" dataCellStyle="Currency">
      <calculatedColumnFormula>IF(tbl_AAPL[[#This Row],[RS]]= "", "", 100-(100/(1+tbl_AAPL[[#This Row],[RS]])))</calculatedColumnFormula>
    </tableColumn>
    <tableColumn id="10" name="BB_Mean" dataDxfId="253" totalsRowDxfId="252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51" totalsRowDxfId="250" dataCellStyle="Currency">
      <calculatedColumnFormula>IF(tbl_AAPL[[#This Row],[BB_Mean]]="", "", tbl_AAPL[[#This Row],[BB_Mean]]+(BB_Width*tbl_AAPL[[#This Row],[BB_Stdev]]))</calculatedColumnFormula>
    </tableColumn>
    <tableColumn id="12" name="BB_Lower" dataDxfId="249" totalsRowDxfId="248" dataCellStyle="Currency">
      <calculatedColumnFormula>IF(tbl_AAPL[[#This Row],[BB_Mean]]="", "", tbl_AAPL[[#This Row],[BB_Mean]]-(BB_Width*tbl_AAPL[[#This Row],[BB_Stdev]]))</calculatedColumnFormula>
    </tableColumn>
    <tableColumn id="13" name="Move" dataDxfId="247" totalsRowDxfId="246" dataCellStyle="Currency">
      <calculatedColumnFormula>IF(ROW(tbl_AAPL[[#This Row],[Adj Close]])=5, 0, $F5-$F4)</calculatedColumnFormula>
    </tableColumn>
    <tableColumn id="14" name="Upmove" dataDxfId="245" totalsRowDxfId="244" dataCellStyle="Currency">
      <calculatedColumnFormula>MAX(tbl_AAPL[[#This Row],[Move]],0)</calculatedColumnFormula>
    </tableColumn>
    <tableColumn id="15" name="Downmove" dataDxfId="243" totalsRowDxfId="242" dataCellStyle="Currency">
      <calculatedColumnFormula>MAX(-tbl_AAPL[[#This Row],[Move]],0)</calculatedColumnFormula>
    </tableColumn>
    <tableColumn id="16" name="Avg_Upmove" dataDxfId="241" totalsRowDxfId="240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39" totalsRowDxfId="238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37" totalsRowDxfId="236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235" totalsRowDxfId="23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55" totalsRowCount="1">
  <autoFilter ref="A4:S54"/>
  <tableColumns count="19">
    <tableColumn id="1" name="Date" totalsRowLabel="Total" dataDxfId="233"/>
    <tableColumn id="2" name="Open" dataDxfId="232"/>
    <tableColumn id="3" name="High" dataDxfId="231"/>
    <tableColumn id="4" name="Low" dataDxfId="230"/>
    <tableColumn id="5" name="Close" dataDxfId="229"/>
    <tableColumn id="6" name="Adj Close" dataDxfId="228"/>
    <tableColumn id="7" name="Volume"/>
    <tableColumn id="8" name="EMA" dataDxfId="227">
      <calculatedColumnFormula>IF(tbl_WMT[[#This Row],[Date]]=$A$5, $F5, EMA_Beta*$H4 + (1-EMA_Beta)*$F5)</calculatedColumnFormula>
    </tableColumn>
    <tableColumn id="9" name="RSI" dataDxfId="226" totalsRowDxfId="225" dataCellStyle="Currency">
      <calculatedColumnFormula>IF(tbl_WMT[[#This Row],[RS]]= "", "", 100-(100/(1+tbl_WMT[[#This Row],[RS]])))</calculatedColumnFormula>
    </tableColumn>
    <tableColumn id="10" name="BB_Mean" dataDxfId="22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23">
      <calculatedColumnFormula>IF(tbl_WMT[[#This Row],[BB_Mean]]="", "", tbl_WMT[[#This Row],[BB_Mean]]+(BB_Width*tbl_WMT[[#This Row],[BB_Stdev]]))</calculatedColumnFormula>
    </tableColumn>
    <tableColumn id="12" name="BB_Lower" dataDxfId="222">
      <calculatedColumnFormula>IF(tbl_WMT[[#This Row],[BB_Mean]]="", "", tbl_WMT[[#This Row],[BB_Mean]]-(BB_Width*tbl_WMT[[#This Row],[BB_Stdev]]))</calculatedColumnFormula>
    </tableColumn>
    <tableColumn id="13" name="Move" dataDxfId="221">
      <calculatedColumnFormula>IF(ROW(tbl_WMT[[#This Row],[Adj Close]])=5, 0, $F5-$F4)</calculatedColumnFormula>
    </tableColumn>
    <tableColumn id="14" name="Upmove" dataDxfId="220">
      <calculatedColumnFormula>MAX(tbl_WMT[[#This Row],[Move]],0)</calculatedColumnFormula>
    </tableColumn>
    <tableColumn id="15" name="Downmove" dataDxfId="219">
      <calculatedColumnFormula>MAX(-tbl_WMT[[#This Row],[Move]],0)</calculatedColumnFormula>
    </tableColumn>
    <tableColumn id="16" name="Avg_Upmove" dataDxfId="21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1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16">
      <calculatedColumnFormula>IF(tbl_WMT[[#This Row],[Avg_Upmove]]="", "", tbl_WMT[[#This Row],[Avg_Upmove]]/tbl_WMT[[#This Row],[Avg_Downmove]])</calculatedColumnFormula>
    </tableColumn>
    <tableColumn id="19" name="BB_Stdev" totalsRowFunction="count" dataDxfId="21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55" totalsRowCount="1">
  <autoFilter ref="A4:S54"/>
  <tableColumns count="19">
    <tableColumn id="1" name="Date" totalsRowLabel="Total" dataDxfId="214"/>
    <tableColumn id="2" name="Open" dataDxfId="213"/>
    <tableColumn id="3" name="High" dataDxfId="212"/>
    <tableColumn id="4" name="Low" dataDxfId="211"/>
    <tableColumn id="5" name="Close" dataDxfId="210"/>
    <tableColumn id="6" name="Adj Close" dataDxfId="209"/>
    <tableColumn id="7" name="Volume"/>
    <tableColumn id="8" name="EMA" dataDxfId="208">
      <calculatedColumnFormula>IF(tbl_RIOT[[#This Row],[Date]]=$A$5, $F5, EMA_Beta*$H4 + (1-EMA_Beta)*$F5)</calculatedColumnFormula>
    </tableColumn>
    <tableColumn id="9" name="RSI" dataDxfId="207">
      <calculatedColumnFormula>IF(tbl_RIOT[[#This Row],[RS]]= "", "", 100-(100/(1+tbl_RIOT[[#This Row],[RS]])))</calculatedColumnFormula>
    </tableColumn>
    <tableColumn id="10" name="BB_Mean" dataDxfId="20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205">
      <calculatedColumnFormula>IF(tbl_RIOT[[#This Row],[BB_Mean]]="", "", tbl_RIOT[[#This Row],[BB_Mean]]+(BB_Width*tbl_RIOT[[#This Row],[BB_Stdev]]))</calculatedColumnFormula>
    </tableColumn>
    <tableColumn id="12" name="BB_Lower" dataDxfId="204">
      <calculatedColumnFormula>IF(tbl_RIOT[[#This Row],[BB_Mean]]="", "", tbl_RIOT[[#This Row],[BB_Mean]]-(BB_Width*tbl_RIOT[[#This Row],[BB_Stdev]]))</calculatedColumnFormula>
    </tableColumn>
    <tableColumn id="13" name="Move" dataDxfId="203">
      <calculatedColumnFormula>IF(ROW(tbl_RIOT[[#This Row],[Adj Close]])=5, 0, $F5-$F4)</calculatedColumnFormula>
    </tableColumn>
    <tableColumn id="14" name="Upmove" dataDxfId="202">
      <calculatedColumnFormula>MAX(tbl_RIOT[[#This Row],[Move]],0)</calculatedColumnFormula>
    </tableColumn>
    <tableColumn id="15" name="Downmove" dataDxfId="201">
      <calculatedColumnFormula>MAX(-tbl_RIOT[[#This Row],[Move]],0)</calculatedColumnFormula>
    </tableColumn>
    <tableColumn id="16" name="Avg_Upmove" dataDxfId="20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9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98">
      <calculatedColumnFormula>IF(tbl_RIOT[[#This Row],[Avg_Upmove]]="", "", tbl_RIOT[[#This Row],[Avg_Upmove]]/tbl_RIOT[[#This Row],[Avg_Downmove]])</calculatedColumnFormula>
    </tableColumn>
    <tableColumn id="19" name="BB_Stdev" totalsRowFunction="count" dataDxfId="19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workbookViewId="0">
      <selection activeCell="E21" sqref="E21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30" zoomScale="110" zoomScaleNormal="110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2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2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2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2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2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2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2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2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2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2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2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2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121.97</v>
      </c>
      <c r="G45">
        <v>3872300</v>
      </c>
      <c r="H45" s="48">
        <f>IF(tbl_IBM[[#This Row],[Date]]=$A$5, $F45, EMA_Beta*$H44 + (1-EMA_Beta)*$F45)</f>
        <v>121.60485061591187</v>
      </c>
      <c r="I45" s="46">
        <f ca="1">IF(tbl_IBM[[#This Row],[RS]]= "", "", 100-(100/(1+tbl_IBM[[#This Row],[RS]])))</f>
        <v>42.875232069421209</v>
      </c>
      <c r="J45" s="48">
        <f ca="1">IF(ROW($N45)-4&lt;BB_Periods, "", AVERAGE(INDIRECT(ADDRESS(ROW($F45)-RSI_Periods +1, MATCH("Adj Close", Price_Header,0))): INDIRECT(ADDRESS(ROW($F45),MATCH("Adj Close", Price_Header,0)))))</f>
        <v>121.02071414285714</v>
      </c>
      <c r="K45" s="48">
        <f ca="1">IF(tbl_IBM[[#This Row],[BB_Mean]]="", "", tbl_IBM[[#This Row],[BB_Mean]]+(BB_Width*tbl_IBM[[#This Row],[BB_Stdev]]))</f>
        <v>124.5192622927222</v>
      </c>
      <c r="L45" s="48">
        <f ca="1">IF(tbl_IBM[[#This Row],[BB_Mean]]="", "", tbl_IBM[[#This Row],[BB_Mean]]-(BB_Width*tbl_IBM[[#This Row],[BB_Stdev]]))</f>
        <v>117.52216599299209</v>
      </c>
      <c r="M45" s="46">
        <f>IF(ROW(tbl_IBM[[#This Row],[Adj Close]])=5, 0, $F45-$F44)</f>
        <v>-4.0000000000006253E-2</v>
      </c>
      <c r="N45" s="46">
        <f>MAX(tbl_IBM[[#This Row],[Move]],0)</f>
        <v>0</v>
      </c>
      <c r="O45" s="46">
        <f>MAX(-tbl_IBM[[#This Row],[Move]],0)</f>
        <v>4.0000000000006253E-2</v>
      </c>
      <c r="P45" s="46">
        <f ca="1">IF(ROW($N45)-5&lt;RSI_Periods, "", AVERAGE(INDIRECT(ADDRESS(ROW($N45)-RSI_Periods +1, MATCH("Upmove", Price_Header,0))): INDIRECT(ADDRESS(ROW($N45),MATCH("Upmove", Price_Header,0)))))</f>
        <v>0.48357121428571659</v>
      </c>
      <c r="Q45" s="46">
        <f ca="1">IF(ROW($O45)-5&lt;RSI_Periods, "", AVERAGE(INDIRECT(ADDRESS(ROW($O45)-RSI_Periods +1, MATCH("Downmove", Price_Header,0))): INDIRECT(ADDRESS(ROW($O45),MATCH("Downmove", Price_Header,0)))))</f>
        <v>0.64428557142857357</v>
      </c>
      <c r="R45" s="46">
        <f ca="1">IF(tbl_IBM[[#This Row],[Avg_Upmove]]="", "", tbl_IBM[[#This Row],[Avg_Upmove]]/tbl_IBM[[#This Row],[Avg_Downmove]])</f>
        <v>0.75055415755081212</v>
      </c>
      <c r="S45" s="48">
        <f ca="1">IF(ROW($N45)-4&lt;BB_Periods, "", _xlfn.STDEV.S(INDIRECT(ADDRESS(ROW($F45)-RSI_Periods +1, MATCH("Adj Close", Price_Header,0))): INDIRECT(ADDRESS(ROW($F45),MATCH("Adj Close", Price_Header,0)))))</f>
        <v>1.7492740749325302</v>
      </c>
    </row>
    <row r="46" spans="1:19" x14ac:dyDescent="0.2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124.07</v>
      </c>
      <c r="G46">
        <v>2815400</v>
      </c>
      <c r="H46" s="48">
        <f>IF(tbl_IBM[[#This Row],[Date]]=$A$5, $F46, EMA_Beta*$H45 + (1-EMA_Beta)*$F46)</f>
        <v>121.85136555432068</v>
      </c>
      <c r="I46" s="46">
        <f ca="1">IF(tbl_IBM[[#This Row],[RS]]= "", "", 100-(100/(1+tbl_IBM[[#This Row],[RS]])))</f>
        <v>47.527637874070692</v>
      </c>
      <c r="J46" s="48">
        <f ca="1">IF(ROW($N46)-4&lt;BB_Periods, "", AVERAGE(INDIRECT(ADDRESS(ROW($F46)-RSI_Periods +1, MATCH("Adj Close", Price_Header,0))): INDIRECT(ADDRESS(ROW($F46),MATCH("Adj Close", Price_Header,0)))))</f>
        <v>120.96</v>
      </c>
      <c r="K46" s="48">
        <f ca="1">IF(tbl_IBM[[#This Row],[BB_Mean]]="", "", tbl_IBM[[#This Row],[BB_Mean]]+(BB_Width*tbl_IBM[[#This Row],[BB_Stdev]]))</f>
        <v>124.18593337715554</v>
      </c>
      <c r="L46" s="48">
        <f ca="1">IF(tbl_IBM[[#This Row],[BB_Mean]]="", "", tbl_IBM[[#This Row],[BB_Mean]]-(BB_Width*tbl_IBM[[#This Row],[BB_Stdev]]))</f>
        <v>117.73406662284445</v>
      </c>
      <c r="M46" s="46">
        <f>IF(ROW(tbl_IBM[[#This Row],[Adj Close]])=5, 0, $F46-$F45)</f>
        <v>2.0999999999999943</v>
      </c>
      <c r="N46" s="46">
        <f>MAX(tbl_IBM[[#This Row],[Move]],0)</f>
        <v>2.0999999999999943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0.58357142857142974</v>
      </c>
      <c r="Q46" s="46">
        <f ca="1">IF(ROW($O46)-5&lt;RSI_Periods, "", AVERAGE(INDIRECT(ADDRESS(ROW($O46)-RSI_Periods +1, MATCH("Downmove", Price_Header,0))): INDIRECT(ADDRESS(ROW($O46),MATCH("Downmove", Price_Header,0)))))</f>
        <v>0.64428557142857357</v>
      </c>
      <c r="R46" s="46">
        <f ca="1">IF(tbl_IBM[[#This Row],[Avg_Upmove]]="", "", tbl_IBM[[#This Row],[Avg_Upmove]]/tbl_IBM[[#This Row],[Avg_Downmove]])</f>
        <v>0.90576516757542402</v>
      </c>
      <c r="S46" s="48">
        <f ca="1">IF(ROW($N46)-4&lt;BB_Periods, "", _xlfn.STDEV.S(INDIRECT(ADDRESS(ROW($F46)-RSI_Periods +1, MATCH("Adj Close", Price_Header,0))): INDIRECT(ADDRESS(ROW($F46),MATCH("Adj Close", Price_Header,0)))))</f>
        <v>1.61296668857777</v>
      </c>
    </row>
    <row r="47" spans="1:19" x14ac:dyDescent="0.2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131.49</v>
      </c>
      <c r="G47">
        <v>25288900</v>
      </c>
      <c r="H47" s="48">
        <f>IF(tbl_IBM[[#This Row],[Date]]=$A$5, $F47, EMA_Beta*$H46 + (1-EMA_Beta)*$F47)</f>
        <v>122.81522899888861</v>
      </c>
      <c r="I47" s="46">
        <f ca="1">IF(tbl_IBM[[#This Row],[RS]]= "", "", 100-(100/(1+tbl_IBM[[#This Row],[RS]])))</f>
        <v>69.443207126948735</v>
      </c>
      <c r="J47" s="48">
        <f ca="1">IF(ROW($N47)-4&lt;BB_Periods, "", AVERAGE(INDIRECT(ADDRESS(ROW($F47)-RSI_Periods +1, MATCH("Adj Close", Price_Header,0))): INDIRECT(ADDRESS(ROW($F47),MATCH("Adj Close", Price_Header,0)))))</f>
        <v>121.58357142857142</v>
      </c>
      <c r="K47" s="48">
        <f ca="1">IF(tbl_IBM[[#This Row],[BB_Mean]]="", "", tbl_IBM[[#This Row],[BB_Mean]]+(BB_Width*tbl_IBM[[#This Row],[BB_Stdev]]))</f>
        <v>128.05287697752445</v>
      </c>
      <c r="L47" s="48">
        <f ca="1">IF(tbl_IBM[[#This Row],[BB_Mean]]="", "", tbl_IBM[[#This Row],[BB_Mean]]-(BB_Width*tbl_IBM[[#This Row],[BB_Stdev]]))</f>
        <v>115.1142658796184</v>
      </c>
      <c r="M47" s="46">
        <f>IF(ROW(tbl_IBM[[#This Row],[Adj Close]])=5, 0, $F47-$F46)</f>
        <v>7.4200000000000159</v>
      </c>
      <c r="N47" s="46">
        <f>MAX(tbl_IBM[[#This Row],[Move]],0)</f>
        <v>7.4200000000000159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1.1135714285714309</v>
      </c>
      <c r="Q47" s="46">
        <f ca="1">IF(ROW($O47)-5&lt;RSI_Periods, "", AVERAGE(INDIRECT(ADDRESS(ROW($O47)-RSI_Periods +1, MATCH("Downmove", Price_Header,0))): INDIRECT(ADDRESS(ROW($O47),MATCH("Downmove", Price_Header,0)))))</f>
        <v>0.49000000000000199</v>
      </c>
      <c r="R47" s="46">
        <f ca="1">IF(tbl_IBM[[#This Row],[Avg_Upmove]]="", "", tbl_IBM[[#This Row],[Avg_Upmove]]/tbl_IBM[[#This Row],[Avg_Downmove]])</f>
        <v>2.2725947521865844</v>
      </c>
      <c r="S47" s="48">
        <f ca="1">IF(ROW($N47)-4&lt;BB_Periods, "", _xlfn.STDEV.S(INDIRECT(ADDRESS(ROW($F47)-RSI_Periods +1, MATCH("Adj Close", Price_Header,0))): INDIRECT(ADDRESS(ROW($F47),MATCH("Adj Close", Price_Header,0)))))</f>
        <v>3.2346527744765097</v>
      </c>
    </row>
    <row r="48" spans="1:19" x14ac:dyDescent="0.2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127.79</v>
      </c>
      <c r="G48">
        <v>8347800</v>
      </c>
      <c r="H48" s="48">
        <f>IF(tbl_IBM[[#This Row],[Date]]=$A$5, $F48, EMA_Beta*$H47 + (1-EMA_Beta)*$F48)</f>
        <v>123.31270609899975</v>
      </c>
      <c r="I48" s="46">
        <f ca="1">IF(tbl_IBM[[#This Row],[RS]]= "", "", 100-(100/(1+tbl_IBM[[#This Row],[RS]])))</f>
        <v>65.947546531302848</v>
      </c>
      <c r="J48" s="48">
        <f ca="1">IF(ROW($N48)-4&lt;BB_Periods, "", AVERAGE(INDIRECT(ADDRESS(ROW($F48)-RSI_Periods +1, MATCH("Adj Close", Price_Header,0))): INDIRECT(ADDRESS(ROW($F48),MATCH("Adj Close", Price_Header,0)))))</f>
        <v>122.12214285714285</v>
      </c>
      <c r="K48" s="48">
        <f ca="1">IF(tbl_IBM[[#This Row],[BB_Mean]]="", "", tbl_IBM[[#This Row],[BB_Mean]]+(BB_Width*tbl_IBM[[#This Row],[BB_Stdev]]))</f>
        <v>129.3268258580012</v>
      </c>
      <c r="L48" s="48">
        <f ca="1">IF(tbl_IBM[[#This Row],[BB_Mean]]="", "", tbl_IBM[[#This Row],[BB_Mean]]-(BB_Width*tbl_IBM[[#This Row],[BB_Stdev]]))</f>
        <v>114.91745985628451</v>
      </c>
      <c r="M48" s="46">
        <f>IF(ROW(tbl_IBM[[#This Row],[Adj Close]])=5, 0, $F48-$F47)</f>
        <v>-3.7000000000000028</v>
      </c>
      <c r="N48" s="46">
        <f>MAX(tbl_IBM[[#This Row],[Move]],0)</f>
        <v>0</v>
      </c>
      <c r="O48" s="46">
        <f>MAX(-tbl_IBM[[#This Row],[Move]],0)</f>
        <v>3.7000000000000028</v>
      </c>
      <c r="P48" s="46">
        <f ca="1">IF(ROW($N48)-5&lt;RSI_Periods, "", AVERAGE(INDIRECT(ADDRESS(ROW($N48)-RSI_Periods +1, MATCH("Upmove", Price_Header,0))): INDIRECT(ADDRESS(ROW($N48),MATCH("Upmove", Price_Header,0)))))</f>
        <v>1.1135714285714309</v>
      </c>
      <c r="Q48" s="46">
        <f ca="1">IF(ROW($O48)-5&lt;RSI_Periods, "", AVERAGE(INDIRECT(ADDRESS(ROW($O48)-RSI_Periods +1, MATCH("Downmove", Price_Header,0))): INDIRECT(ADDRESS(ROW($O48),MATCH("Downmove", Price_Header,0)))))</f>
        <v>0.57500000000000184</v>
      </c>
      <c r="R48" s="46">
        <f ca="1">IF(tbl_IBM[[#This Row],[Avg_Upmove]]="", "", tbl_IBM[[#This Row],[Avg_Upmove]]/tbl_IBM[[#This Row],[Avg_Downmove]])</f>
        <v>1.9366459627329171</v>
      </c>
      <c r="S48" s="48">
        <f ca="1">IF(ROW($N48)-4&lt;BB_Periods, "", _xlfn.STDEV.S(INDIRECT(ADDRESS(ROW($F48)-RSI_Periods +1, MATCH("Adj Close", Price_Header,0))): INDIRECT(ADDRESS(ROW($F48),MATCH("Adj Close", Price_Header,0)))))</f>
        <v>3.6023415004291723</v>
      </c>
    </row>
    <row r="49" spans="1:19" x14ac:dyDescent="0.2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127.21</v>
      </c>
      <c r="G49">
        <v>4635100</v>
      </c>
      <c r="H49" s="48">
        <f>IF(tbl_IBM[[#This Row],[Date]]=$A$5, $F49, EMA_Beta*$H48 + (1-EMA_Beta)*$F49)</f>
        <v>123.70243548909977</v>
      </c>
      <c r="I49" s="46">
        <f ca="1">IF(tbl_IBM[[#This Row],[RS]]= "", "", 100-(100/(1+tbl_IBM[[#This Row],[RS]])))</f>
        <v>63.981636060100101</v>
      </c>
      <c r="J49" s="48">
        <f ca="1">IF(ROW($N49)-4&lt;BB_Periods, "", AVERAGE(INDIRECT(ADDRESS(ROW($F49)-RSI_Periods +1, MATCH("Adj Close", Price_Header,0))): INDIRECT(ADDRESS(ROW($F49),MATCH("Adj Close", Price_Header,0)))))</f>
        <v>122.60071428571428</v>
      </c>
      <c r="K49" s="48">
        <f ca="1">IF(tbl_IBM[[#This Row],[BB_Mean]]="", "", tbl_IBM[[#This Row],[BB_Mean]]+(BB_Width*tbl_IBM[[#This Row],[BB_Stdev]]))</f>
        <v>130.22214344418464</v>
      </c>
      <c r="L49" s="48">
        <f ca="1">IF(tbl_IBM[[#This Row],[BB_Mean]]="", "", tbl_IBM[[#This Row],[BB_Mean]]-(BB_Width*tbl_IBM[[#This Row],[BB_Stdev]]))</f>
        <v>114.9792851272439</v>
      </c>
      <c r="M49" s="46">
        <f>IF(ROW(tbl_IBM[[#This Row],[Adj Close]])=5, 0, $F49-$F48)</f>
        <v>-0.58000000000001251</v>
      </c>
      <c r="N49" s="46">
        <f>MAX(tbl_IBM[[#This Row],[Move]],0)</f>
        <v>0</v>
      </c>
      <c r="O49" s="46">
        <f>MAX(-tbl_IBM[[#This Row],[Move]],0)</f>
        <v>0.58000000000001251</v>
      </c>
      <c r="P49" s="46">
        <f ca="1">IF(ROW($N49)-5&lt;RSI_Periods, "", AVERAGE(INDIRECT(ADDRESS(ROW($N49)-RSI_Periods +1, MATCH("Upmove", Price_Header,0))): INDIRECT(ADDRESS(ROW($N49),MATCH("Upmove", Price_Header,0)))))</f>
        <v>1.095000000000002</v>
      </c>
      <c r="Q49" s="46">
        <f ca="1">IF(ROW($O49)-5&lt;RSI_Periods, "", AVERAGE(INDIRECT(ADDRESS(ROW($O49)-RSI_Periods +1, MATCH("Downmove", Price_Header,0))): INDIRECT(ADDRESS(ROW($O49),MATCH("Downmove", Price_Header,0)))))</f>
        <v>0.6164285714285741</v>
      </c>
      <c r="R49" s="46">
        <f ca="1">IF(tbl_IBM[[#This Row],[Avg_Upmove]]="", "", tbl_IBM[[#This Row],[Avg_Upmove]]/tbl_IBM[[#This Row],[Avg_Downmove]])</f>
        <v>1.7763615295480835</v>
      </c>
      <c r="S49" s="48">
        <f ca="1">IF(ROW($N49)-4&lt;BB_Periods, "", _xlfn.STDEV.S(INDIRECT(ADDRESS(ROW($F49)-RSI_Periods +1, MATCH("Adj Close", Price_Header,0))): INDIRECT(ADDRESS(ROW($F49),MATCH("Adj Close", Price_Header,0)))))</f>
        <v>3.8107145792351877</v>
      </c>
    </row>
    <row r="50" spans="1:19" x14ac:dyDescent="0.25">
      <c r="A50" s="8">
        <v>44117</v>
      </c>
      <c r="B50" s="48">
        <v>126.57</v>
      </c>
      <c r="C50" s="48">
        <v>127.15</v>
      </c>
      <c r="D50" s="48">
        <v>124.46</v>
      </c>
      <c r="E50" s="48">
        <v>125.1</v>
      </c>
      <c r="F50" s="48">
        <v>125.1</v>
      </c>
      <c r="G50">
        <v>5406100</v>
      </c>
      <c r="H50" s="48">
        <f>IF(tbl_IBM[[#This Row],[Date]]=$A$5, $F50, EMA_Beta*$H49 + (1-EMA_Beta)*$F50)</f>
        <v>123.84219194018979</v>
      </c>
      <c r="I50" s="46">
        <f ca="1">IF(tbl_IBM[[#This Row],[RS]]= "", "", 100-(100/(1+tbl_IBM[[#This Row],[RS]])))</f>
        <v>62.853628536285328</v>
      </c>
      <c r="J50" s="48">
        <f ca="1">IF(ROW($N50)-4&lt;BB_Periods, "", AVERAGE(INDIRECT(ADDRESS(ROW($F50)-RSI_Periods +1, MATCH("Adj Close", Price_Header,0))): INDIRECT(ADDRESS(ROW($F50),MATCH("Adj Close", Price_Header,0)))))</f>
        <v>123.04857142857142</v>
      </c>
      <c r="K50" s="48">
        <f ca="1">IF(tbl_IBM[[#This Row],[BB_Mean]]="", "", tbl_IBM[[#This Row],[BB_Mean]]+(BB_Width*tbl_IBM[[#This Row],[BB_Stdev]]))</f>
        <v>130.44919866661576</v>
      </c>
      <c r="L50" s="48">
        <f ca="1">IF(tbl_IBM[[#This Row],[BB_Mean]]="", "", tbl_IBM[[#This Row],[BB_Mean]]-(BB_Width*tbl_IBM[[#This Row],[BB_Stdev]]))</f>
        <v>115.6479441905271</v>
      </c>
      <c r="M50" s="46">
        <f>IF(ROW(tbl_IBM[[#This Row],[Adj Close]])=5, 0, $F50-$F49)</f>
        <v>-2.1099999999999994</v>
      </c>
      <c r="N50" s="46">
        <f>MAX(tbl_IBM[[#This Row],[Move]],0)</f>
        <v>0</v>
      </c>
      <c r="O50" s="46">
        <f>MAX(-tbl_IBM[[#This Row],[Move]],0)</f>
        <v>2.1099999999999994</v>
      </c>
      <c r="P50" s="46">
        <f ca="1">IF(ROW($N50)-5&lt;RSI_Periods, "", AVERAGE(INDIRECT(ADDRESS(ROW($N50)-RSI_Periods +1, MATCH("Upmove", Price_Header,0))): INDIRECT(ADDRESS(ROW($N50),MATCH("Upmove", Price_Header,0)))))</f>
        <v>1.095000000000002</v>
      </c>
      <c r="Q50" s="46">
        <f ca="1">IF(ROW($O50)-5&lt;RSI_Periods, "", AVERAGE(INDIRECT(ADDRESS(ROW($O50)-RSI_Periods +1, MATCH("Downmove", Price_Header,0))): INDIRECT(ADDRESS(ROW($O50),MATCH("Downmove", Price_Header,0)))))</f>
        <v>0.64714285714285935</v>
      </c>
      <c r="R50" s="46">
        <f ca="1">IF(tbl_IBM[[#This Row],[Avg_Upmove]]="", "", tbl_IBM[[#This Row],[Avg_Upmove]]/tbl_IBM[[#This Row],[Avg_Downmove]])</f>
        <v>1.6920529801324475</v>
      </c>
      <c r="S50" s="48">
        <f ca="1">IF(ROW($N50)-4&lt;BB_Periods, "", _xlfn.STDEV.S(INDIRECT(ADDRESS(ROW($F50)-RSI_Periods +1, MATCH("Adj Close", Price_Header,0))): INDIRECT(ADDRESS(ROW($F50),MATCH("Adj Close", Price_Header,0)))))</f>
        <v>3.7003136190221615</v>
      </c>
    </row>
    <row r="51" spans="1:19" x14ac:dyDescent="0.25">
      <c r="A51" s="8">
        <v>44118</v>
      </c>
      <c r="B51" s="48">
        <v>125.13</v>
      </c>
      <c r="C51" s="48">
        <v>126.94</v>
      </c>
      <c r="D51" s="48">
        <v>125.13</v>
      </c>
      <c r="E51" s="48">
        <v>125.94</v>
      </c>
      <c r="F51" s="48">
        <v>125.94</v>
      </c>
      <c r="G51">
        <v>3730100</v>
      </c>
      <c r="H51" s="48">
        <f>IF(tbl_IBM[[#This Row],[Date]]=$A$5, $F51, EMA_Beta*$H50 + (1-EMA_Beta)*$F51)</f>
        <v>124.0519727461708</v>
      </c>
      <c r="I51" s="46">
        <f ca="1">IF(tbl_IBM[[#This Row],[RS]]= "", "", 100-(100/(1+tbl_IBM[[#This Row],[RS]])))</f>
        <v>66.026949775418473</v>
      </c>
      <c r="J51" s="48">
        <f ca="1">IF(ROW($N51)-4&lt;BB_Periods, "", AVERAGE(INDIRECT(ADDRESS(ROW($F51)-RSI_Periods +1, MATCH("Adj Close", Price_Header,0))): INDIRECT(ADDRESS(ROW($F51),MATCH("Adj Close", Price_Header,0)))))</f>
        <v>123.60928571428572</v>
      </c>
      <c r="K51" s="48">
        <f ca="1">IF(tbl_IBM[[#This Row],[BB_Mean]]="", "", tbl_IBM[[#This Row],[BB_Mean]]+(BB_Width*tbl_IBM[[#This Row],[BB_Stdev]]))</f>
        <v>130.56787736793214</v>
      </c>
      <c r="L51" s="48">
        <f ca="1">IF(tbl_IBM[[#This Row],[BB_Mean]]="", "", tbl_IBM[[#This Row],[BB_Mean]]-(BB_Width*tbl_IBM[[#This Row],[BB_Stdev]]))</f>
        <v>116.65069406063928</v>
      </c>
      <c r="M51" s="46">
        <f>IF(ROW(tbl_IBM[[#This Row],[Adj Close]])=5, 0, $F51-$F50)</f>
        <v>0.84000000000000341</v>
      </c>
      <c r="N51" s="46">
        <f>MAX(tbl_IBM[[#This Row],[Move]],0)</f>
        <v>0.84000000000000341</v>
      </c>
      <c r="O51" s="46">
        <f>MAX(-tbl_IBM[[#This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1.1550000000000022</v>
      </c>
      <c r="Q51" s="46">
        <f ca="1">IF(ROW($O51)-5&lt;RSI_Periods, "", AVERAGE(INDIRECT(ADDRESS(ROW($O51)-RSI_Periods +1, MATCH("Downmove", Price_Header,0))): INDIRECT(ADDRESS(ROW($O51),MATCH("Downmove", Price_Header,0)))))</f>
        <v>0.59428571428571686</v>
      </c>
      <c r="R51" s="46">
        <f ca="1">IF(tbl_IBM[[#This Row],[Avg_Upmove]]="", "", tbl_IBM[[#This Row],[Avg_Upmove]]/tbl_IBM[[#This Row],[Avg_Downmove]])</f>
        <v>1.9435096153846108</v>
      </c>
      <c r="S51" s="48">
        <f ca="1">IF(ROW($N51)-4&lt;BB_Periods, "", _xlfn.STDEV.S(INDIRECT(ADDRESS(ROW($F51)-RSI_Periods +1, MATCH("Adj Close", Price_Header,0))): INDIRECT(ADDRESS(ROW($F51),MATCH("Adj Close", Price_Header,0)))))</f>
        <v>3.4792958268232175</v>
      </c>
    </row>
    <row r="52" spans="1:19" x14ac:dyDescent="0.25">
      <c r="A52" s="8">
        <v>44119</v>
      </c>
      <c r="B52" s="48">
        <v>124.08</v>
      </c>
      <c r="C52" s="48">
        <v>125.22</v>
      </c>
      <c r="D52" s="48">
        <v>123.85</v>
      </c>
      <c r="E52" s="48">
        <v>124.89</v>
      </c>
      <c r="F52" s="48">
        <v>124.89</v>
      </c>
      <c r="G52">
        <v>3385300</v>
      </c>
      <c r="H52" s="48">
        <f>IF(tbl_IBM[[#This Row],[Date]]=$A$5, $F52, EMA_Beta*$H51 + (1-EMA_Beta)*$F52)</f>
        <v>124.13577547155373</v>
      </c>
      <c r="I52" s="46">
        <f ca="1">IF(tbl_IBM[[#This Row],[RS]]= "", "", 100-(100/(1+tbl_IBM[[#This Row],[RS]])))</f>
        <v>62.034035656401919</v>
      </c>
      <c r="J52" s="48">
        <f ca="1">IF(ROW($N52)-4&lt;BB_Periods, "", AVERAGE(INDIRECT(ADDRESS(ROW($F52)-RSI_Periods +1, MATCH("Adj Close", Price_Header,0))): INDIRECT(ADDRESS(ROW($F52),MATCH("Adj Close", Price_Header,0)))))</f>
        <v>124.03357142857143</v>
      </c>
      <c r="K52" s="48">
        <f ca="1">IF(tbl_IBM[[#This Row],[BB_Mean]]="", "", tbl_IBM[[#This Row],[BB_Mean]]+(BB_Width*tbl_IBM[[#This Row],[BB_Stdev]]))</f>
        <v>130.47341188117156</v>
      </c>
      <c r="L52" s="48">
        <f ca="1">IF(tbl_IBM[[#This Row],[BB_Mean]]="", "", tbl_IBM[[#This Row],[BB_Mean]]-(BB_Width*tbl_IBM[[#This Row],[BB_Stdev]]))</f>
        <v>117.5937309759713</v>
      </c>
      <c r="M52" s="46">
        <f>IF(ROW(tbl_IBM[[#This Row],[Adj Close]])=5, 0, $F52-$F51)</f>
        <v>-1.0499999999999972</v>
      </c>
      <c r="N52" s="46">
        <f>MAX(tbl_IBM[[#This Row],[Move]],0)</f>
        <v>0</v>
      </c>
      <c r="O52" s="46">
        <f>MAX(-tbl_IBM[[#This Row],[Move]],0)</f>
        <v>1.0499999999999972</v>
      </c>
      <c r="P52" s="46">
        <f ca="1">IF(ROW($N52)-5&lt;RSI_Periods, "", AVERAGE(INDIRECT(ADDRESS(ROW($N52)-RSI_Periods +1, MATCH("Upmove", Price_Header,0))): INDIRECT(ADDRESS(ROW($N52),MATCH("Upmove", Price_Header,0)))))</f>
        <v>1.0935714285714309</v>
      </c>
      <c r="Q52" s="46">
        <f ca="1">IF(ROW($O52)-5&lt;RSI_Periods, "", AVERAGE(INDIRECT(ADDRESS(ROW($O52)-RSI_Periods +1, MATCH("Downmove", Price_Header,0))): INDIRECT(ADDRESS(ROW($O52),MATCH("Downmove", Price_Header,0)))))</f>
        <v>0.66928571428571659</v>
      </c>
      <c r="R52" s="46">
        <f ca="1">IF(tbl_IBM[[#This Row],[Avg_Upmove]]="", "", tbl_IBM[[#This Row],[Avg_Upmove]]/tbl_IBM[[#This Row],[Avg_Downmove]])</f>
        <v>1.6339381003201685</v>
      </c>
      <c r="S52" s="48">
        <f ca="1">IF(ROW($N52)-4&lt;BB_Periods, "", _xlfn.STDEV.S(INDIRECT(ADDRESS(ROW($F52)-RSI_Periods +1, MATCH("Adj Close", Price_Header,0))): INDIRECT(ADDRESS(ROW($F52),MATCH("Adj Close", Price_Header,0)))))</f>
        <v>3.2199202263000668</v>
      </c>
    </row>
    <row r="53" spans="1:19" x14ac:dyDescent="0.25">
      <c r="A53" s="8">
        <v>44120</v>
      </c>
      <c r="B53" s="48">
        <v>125.17</v>
      </c>
      <c r="C53" s="48">
        <v>126.43</v>
      </c>
      <c r="D53" s="48">
        <v>124.66</v>
      </c>
      <c r="E53" s="48">
        <v>125.93</v>
      </c>
      <c r="F53" s="48">
        <v>125.93</v>
      </c>
      <c r="G53">
        <v>4710400</v>
      </c>
      <c r="H53" s="48">
        <f>IF(tbl_IBM[[#This Row],[Date]]=$A$5, $F53, EMA_Beta*$H52 + (1-EMA_Beta)*$F53)</f>
        <v>124.31519792439836</v>
      </c>
      <c r="I53" s="46">
        <f ca="1">IF(tbl_IBM[[#This Row],[RS]]= "", "", 100-(100/(1+tbl_IBM[[#This Row],[RS]])))</f>
        <v>59.154315605928495</v>
      </c>
      <c r="J53" s="48">
        <f ca="1">IF(ROW($N53)-4&lt;BB_Periods, "", AVERAGE(INDIRECT(ADDRESS(ROW($F53)-RSI_Periods +1, MATCH("Adj Close", Price_Header,0))): INDIRECT(ADDRESS(ROW($F53),MATCH("Adj Close", Price_Header,0)))))</f>
        <v>124.33357142857145</v>
      </c>
      <c r="K53" s="48">
        <f ca="1">IF(tbl_IBM[[#This Row],[BB_Mean]]="", "", tbl_IBM[[#This Row],[BB_Mean]]+(BB_Width*tbl_IBM[[#This Row],[BB_Stdev]]))</f>
        <v>130.70206409961213</v>
      </c>
      <c r="L53" s="48">
        <f ca="1">IF(tbl_IBM[[#This Row],[BB_Mean]]="", "", tbl_IBM[[#This Row],[BB_Mean]]-(BB_Width*tbl_IBM[[#This Row],[BB_Stdev]]))</f>
        <v>117.96507875753076</v>
      </c>
      <c r="M53" s="46">
        <f>IF(ROW(tbl_IBM[[#This Row],[Adj Close]])=5, 0, $F53-$F52)</f>
        <v>1.0400000000000063</v>
      </c>
      <c r="N53" s="46">
        <f>MAX(tbl_IBM[[#This Row],[Move]],0)</f>
        <v>1.0400000000000063</v>
      </c>
      <c r="O53" s="46">
        <f>MAX(-tbl_IBM[[#This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0.96928571428571686</v>
      </c>
      <c r="Q53" s="46">
        <f ca="1">IF(ROW($O53)-5&lt;RSI_Periods, "", AVERAGE(INDIRECT(ADDRESS(ROW($O53)-RSI_Periods +1, MATCH("Downmove", Price_Header,0))): INDIRECT(ADDRESS(ROW($O53),MATCH("Downmove", Price_Header,0)))))</f>
        <v>0.66928571428571659</v>
      </c>
      <c r="R53" s="46">
        <f ca="1">IF(tbl_IBM[[#This Row],[Avg_Upmove]]="", "", tbl_IBM[[#This Row],[Avg_Upmove]]/tbl_IBM[[#This Row],[Avg_Downmove]])</f>
        <v>1.4482390608324429</v>
      </c>
      <c r="S53" s="48">
        <f ca="1">IF(ROW($N53)-4&lt;BB_Periods, "", _xlfn.STDEV.S(INDIRECT(ADDRESS(ROW($F53)-RSI_Periods +1, MATCH("Adj Close", Price_Header,0))): INDIRECT(ADDRESS(ROW($F53),MATCH("Adj Close", Price_Header,0)))))</f>
        <v>3.1842463355203439</v>
      </c>
    </row>
    <row r="54" spans="1:19" x14ac:dyDescent="0.25">
      <c r="A54" s="8">
        <v>44123</v>
      </c>
      <c r="B54" s="48">
        <v>126.8</v>
      </c>
      <c r="C54" s="48">
        <v>127.35</v>
      </c>
      <c r="D54" s="48">
        <v>125.08</v>
      </c>
      <c r="E54" s="48">
        <v>125.21</v>
      </c>
      <c r="F54" s="48">
        <v>125.21</v>
      </c>
      <c r="G54">
        <v>5127367</v>
      </c>
      <c r="H54" s="48">
        <f>IF(tbl_IBM[[#This Row],[Date]]=$A$5, $F54, EMA_Beta*$H53 + (1-EMA_Beta)*$F54)</f>
        <v>124.40467813195853</v>
      </c>
      <c r="I54" s="46">
        <f ca="1">IF(tbl_IBM[[#This Row],[RS]]= "", "", 100-(100/(1+tbl_IBM[[#This Row],[RS]])))</f>
        <v>59.335373852208093</v>
      </c>
      <c r="J54" s="48">
        <f ca="1">IF(ROW($N54)-4&lt;BB_Periods, "", AVERAGE(INDIRECT(ADDRESS(ROW($F54)-RSI_Periods +1, MATCH("Adj Close", Price_Header,0))): INDIRECT(ADDRESS(ROW($F54),MATCH("Adj Close", Price_Header,0)))))</f>
        <v>124.63857142857144</v>
      </c>
      <c r="K54" s="48">
        <f ca="1">IF(tbl_IBM[[#This Row],[BB_Mean]]="", "", tbl_IBM[[#This Row],[BB_Mean]]+(BB_Width*tbl_IBM[[#This Row],[BB_Stdev]]))</f>
        <v>130.70897811697688</v>
      </c>
      <c r="L54" s="48">
        <f ca="1">IF(tbl_IBM[[#This Row],[BB_Mean]]="", "", tbl_IBM[[#This Row],[BB_Mean]]-(BB_Width*tbl_IBM[[#This Row],[BB_Stdev]]))</f>
        <v>118.56816474016601</v>
      </c>
      <c r="M54" s="46">
        <f>IF(ROW(tbl_IBM[[#This Row],[Adj Close]])=5, 0, $F54-$F53)</f>
        <v>-0.72000000000001307</v>
      </c>
      <c r="N54" s="46">
        <f>MAX(tbl_IBM[[#This Row],[Move]],0)</f>
        <v>0</v>
      </c>
      <c r="O54" s="46">
        <f>MAX(-tbl_IBM[[#This Row],[Move]],0)</f>
        <v>0.72000000000001307</v>
      </c>
      <c r="P54" s="46">
        <f ca="1">IF(ROW($N54)-5&lt;RSI_Periods, "", AVERAGE(INDIRECT(ADDRESS(ROW($N54)-RSI_Periods +1, MATCH("Upmove", Price_Header,0))): INDIRECT(ADDRESS(ROW($N54),MATCH("Upmove", Price_Header,0)))))</f>
        <v>0.96928571428571686</v>
      </c>
      <c r="Q54" s="46">
        <f ca="1">IF(ROW($O54)-5&lt;RSI_Periods, "", AVERAGE(INDIRECT(ADDRESS(ROW($O54)-RSI_Periods +1, MATCH("Downmove", Price_Header,0))): INDIRECT(ADDRESS(ROW($O54),MATCH("Downmove", Price_Header,0)))))</f>
        <v>0.66428571428571714</v>
      </c>
      <c r="R54" s="46">
        <f ca="1">IF(tbl_IBM[[#This Row],[Avg_Upmove]]="", "", tbl_IBM[[#This Row],[Avg_Upmove]]/tbl_IBM[[#This Row],[Avg_Downmove]])</f>
        <v>1.4591397849462342</v>
      </c>
      <c r="S54" s="48">
        <f ca="1">IF(ROW($N54)-4&lt;BB_Periods, "", _xlfn.STDEV.S(INDIRECT(ADDRESS(ROW($F54)-RSI_Periods +1, MATCH("Adj Close", Price_Header,0))): INDIRECT(ADDRESS(ROW($F54),MATCH("Adj Close", Price_Header,0)))))</f>
        <v>3.0352033442027158</v>
      </c>
    </row>
    <row r="55" spans="1:19" x14ac:dyDescent="0.25">
      <c r="A55" t="s">
        <v>162</v>
      </c>
      <c r="S55">
        <f ca="1">SUBTOTAL(103,tbl_IBM[BB_Stdev])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41" workbookViewId="0">
      <selection activeCell="E55" sqref="E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2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2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2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2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2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2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2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2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2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2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2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2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2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2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2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2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25">
      <c r="A50" s="8">
        <v>44117</v>
      </c>
      <c r="B50" s="10">
        <v>61.57</v>
      </c>
      <c r="C50" s="10">
        <v>61.78</v>
      </c>
      <c r="D50" s="10">
        <v>60.88</v>
      </c>
      <c r="E50" s="10">
        <v>60.97</v>
      </c>
      <c r="F50" s="10">
        <v>60.97</v>
      </c>
      <c r="G50">
        <v>8896300</v>
      </c>
      <c r="H50" s="127">
        <f>IF(tbl_ORCL[[#This Row],[Date]]=$A$5, $F50, EMA_Beta*$H49 + (1-EMA_Beta)*$F50)</f>
        <v>59.891303736150405</v>
      </c>
      <c r="I50" s="50">
        <f ca="1">IF(tbl_ORCL[[#This Row],[RS]]= "", "", 100-(100/(1+tbl_ORCL[[#This Row],[RS]])))</f>
        <v>66.834170854271321</v>
      </c>
      <c r="J50" s="127">
        <f ca="1">IF(ROW($N50)-4&lt;BB_Periods, "", AVERAGE(INDIRECT(ADDRESS(ROW($F50)-RSI_Periods +1, MATCH("Adj Close", Price_Header,0))): INDIRECT(ADDRESS(ROW($F50),MATCH("Adj Close", Price_Header,0)))))</f>
        <v>60.017857142857153</v>
      </c>
      <c r="K50" s="127">
        <f ca="1">IF(tbl_ORCL[[#This Row],[BB_Mean]]="", "", tbl_ORCL[[#This Row],[BB_Mean]]+(BB_Width*tbl_ORCL[[#This Row],[BB_Stdev]]))</f>
        <v>61.663909363197661</v>
      </c>
      <c r="L50" s="127">
        <f ca="1">IF(tbl_ORCL[[#This Row],[BB_Mean]]="", "", tbl_ORCL[[#This Row],[BB_Mean]]-(BB_Width*tbl_ORCL[[#This Row],[BB_Stdev]]))</f>
        <v>58.371804922516645</v>
      </c>
      <c r="M50" s="50">
        <f>IF(ROW(tbl_ORCL[[#This Row],[Adj Close]])=5, 0, $F50-$F49)</f>
        <v>-0.49000000000000199</v>
      </c>
      <c r="N50" s="50">
        <f>MAX(tbl_ORCL[[#This Row],[Move]],0)</f>
        <v>0</v>
      </c>
      <c r="O50" s="50">
        <f>MAX(-tbl_ORCL[[#This Row],[Move]],0)</f>
        <v>0.49000000000000199</v>
      </c>
      <c r="P50" s="50">
        <f ca="1">IF(ROW($N50)-5&lt;RSI_Periods, "", AVERAGE(INDIRECT(ADDRESS(ROW($N50)-RSI_Periods +1, MATCH("Upmove", Price_Header,0))): INDIRECT(ADDRESS(ROW($N50),MATCH("Upmove", Price_Header,0)))))</f>
        <v>0.28500000000000014</v>
      </c>
      <c r="Q50" s="50">
        <f ca="1">IF(ROW($O50)-5&lt;RSI_Periods, "", AVERAGE(INDIRECT(ADDRESS(ROW($O50)-RSI_Periods +1, MATCH("Downmove", Price_Header,0))): INDIRECT(ADDRESS(ROW($O50),MATCH("Downmove", Price_Header,0)))))</f>
        <v>0.14142857142857171</v>
      </c>
      <c r="R50" s="50">
        <f ca="1">IF(tbl_ORCL[[#This Row],[Avg_Upmove]]="", "", tbl_ORCL[[#This Row],[Avg_Upmove]]/tbl_ORCL[[#This Row],[Avg_Downmove]])</f>
        <v>2.015151515151512</v>
      </c>
      <c r="S50" s="127">
        <f ca="1">IF(ROW($N50)-4&lt;BB_Periods, "", _xlfn.STDEV.S(INDIRECT(ADDRESS(ROW($F50)-RSI_Periods +1, MATCH("Adj Close", Price_Header,0))): INDIRECT(ADDRESS(ROW($F50),MATCH("Adj Close", Price_Header,0)))))</f>
        <v>0.82302611017025362</v>
      </c>
    </row>
    <row r="51" spans="1:19" x14ac:dyDescent="0.25">
      <c r="A51" s="8">
        <v>44118</v>
      </c>
      <c r="B51" s="10">
        <v>61.35</v>
      </c>
      <c r="C51" s="10">
        <v>61.53</v>
      </c>
      <c r="D51" s="10">
        <v>60.85</v>
      </c>
      <c r="E51" s="10">
        <v>60.96</v>
      </c>
      <c r="F51" s="10">
        <v>60.96</v>
      </c>
      <c r="G51">
        <v>6652200</v>
      </c>
      <c r="H51" s="127">
        <f>IF(tbl_ORCL[[#This Row],[Date]]=$A$5, $F51, EMA_Beta*$H50 + (1-EMA_Beta)*$F51)</f>
        <v>59.998173362535361</v>
      </c>
      <c r="I51" s="50">
        <f ca="1">IF(tbl_ORCL[[#This Row],[RS]]= "", "", 100-(100/(1+tbl_ORCL[[#This Row],[RS]])))</f>
        <v>64.716312056737593</v>
      </c>
      <c r="J51" s="127">
        <f ca="1">IF(ROW($N51)-4&lt;BB_Periods, "", AVERAGE(INDIRECT(ADDRESS(ROW($F51)-RSI_Periods +1, MATCH("Adj Close", Price_Header,0))): INDIRECT(ADDRESS(ROW($F51),MATCH("Adj Close", Price_Header,0)))))</f>
        <v>60.136428571428574</v>
      </c>
      <c r="K51" s="127">
        <f ca="1">IF(tbl_ORCL[[#This Row],[BB_Mean]]="", "", tbl_ORCL[[#This Row],[BB_Mean]]+(BB_Width*tbl_ORCL[[#This Row],[BB_Stdev]]))</f>
        <v>61.79880142866714</v>
      </c>
      <c r="L51" s="127">
        <f ca="1">IF(tbl_ORCL[[#This Row],[BB_Mean]]="", "", tbl_ORCL[[#This Row],[BB_Mean]]-(BB_Width*tbl_ORCL[[#This Row],[BB_Stdev]]))</f>
        <v>58.474055714190008</v>
      </c>
      <c r="M51" s="50">
        <f>IF(ROW(tbl_ORCL[[#This Row],[Adj Close]])=5, 0, $F51-$F50)</f>
        <v>-9.9999999999980105E-3</v>
      </c>
      <c r="N51" s="50">
        <f>MAX(tbl_ORCL[[#This Row],[Move]],0)</f>
        <v>0</v>
      </c>
      <c r="O51" s="50">
        <f>MAX(-tbl_ORCL[[#This Row],[Move]],0)</f>
        <v>9.9999999999980105E-3</v>
      </c>
      <c r="P51" s="50">
        <f ca="1">IF(ROW($N51)-5&lt;RSI_Periods, "", AVERAGE(INDIRECT(ADDRESS(ROW($N51)-RSI_Periods +1, MATCH("Upmove", Price_Header,0))): INDIRECT(ADDRESS(ROW($N51),MATCH("Upmove", Price_Header,0)))))</f>
        <v>0.26071428571428612</v>
      </c>
      <c r="Q51" s="50">
        <f ca="1">IF(ROW($O51)-5&lt;RSI_Periods, "", AVERAGE(INDIRECT(ADDRESS(ROW($O51)-RSI_Periods +1, MATCH("Downmove", Price_Header,0))): INDIRECT(ADDRESS(ROW($O51),MATCH("Downmove", Price_Header,0)))))</f>
        <v>0.14214285714285729</v>
      </c>
      <c r="R51" s="50">
        <f ca="1">IF(tbl_ORCL[[#This Row],[Avg_Upmove]]="", "", tbl_ORCL[[#This Row],[Avg_Upmove]]/tbl_ORCL[[#This Row],[Avg_Downmove]])</f>
        <v>1.8341708542713577</v>
      </c>
      <c r="S51" s="127">
        <f ca="1">IF(ROW($N51)-4&lt;BB_Periods, "", _xlfn.STDEV.S(INDIRECT(ADDRESS(ROW($F51)-RSI_Periods +1, MATCH("Adj Close", Price_Header,0))): INDIRECT(ADDRESS(ROW($F51),MATCH("Adj Close", Price_Header,0)))))</f>
        <v>0.83118642861928349</v>
      </c>
    </row>
    <row r="52" spans="1:19" x14ac:dyDescent="0.25">
      <c r="A52" s="8">
        <v>44119</v>
      </c>
      <c r="B52" s="10">
        <v>60.27</v>
      </c>
      <c r="C52" s="10">
        <v>60.74</v>
      </c>
      <c r="D52" s="10">
        <v>60.08</v>
      </c>
      <c r="E52" s="10">
        <v>60.52</v>
      </c>
      <c r="F52" s="10">
        <v>60.52</v>
      </c>
      <c r="G52">
        <v>6251600</v>
      </c>
      <c r="H52" s="127">
        <f>IF(tbl_ORCL[[#This Row],[Date]]=$A$5, $F52, EMA_Beta*$H51 + (1-EMA_Beta)*$F52)</f>
        <v>60.050356026281825</v>
      </c>
      <c r="I52" s="50">
        <f ca="1">IF(tbl_ORCL[[#This Row],[RS]]= "", "", 100-(100/(1+tbl_ORCL[[#This Row],[RS]])))</f>
        <v>56.45161290322585</v>
      </c>
      <c r="J52" s="127">
        <f ca="1">IF(ROW($N52)-4&lt;BB_Periods, "", AVERAGE(INDIRECT(ADDRESS(ROW($F52)-RSI_Periods +1, MATCH("Adj Close", Price_Header,0))): INDIRECT(ADDRESS(ROW($F52),MATCH("Adj Close", Price_Header,0)))))</f>
        <v>60.187857142857141</v>
      </c>
      <c r="K52" s="127">
        <f ca="1">IF(tbl_ORCL[[#This Row],[BB_Mean]]="", "", tbl_ORCL[[#This Row],[BB_Mean]]+(BB_Width*tbl_ORCL[[#This Row],[BB_Stdev]]))</f>
        <v>61.849944404686092</v>
      </c>
      <c r="L52" s="127">
        <f ca="1">IF(tbl_ORCL[[#This Row],[BB_Mean]]="", "", tbl_ORCL[[#This Row],[BB_Mean]]-(BB_Width*tbl_ORCL[[#This Row],[BB_Stdev]]))</f>
        <v>58.525769881028189</v>
      </c>
      <c r="M52" s="50">
        <f>IF(ROW(tbl_ORCL[[#This Row],[Adj Close]])=5, 0, $F52-$F51)</f>
        <v>-0.43999999999999773</v>
      </c>
      <c r="N52" s="50">
        <f>MAX(tbl_ORCL[[#This Row],[Move]],0)</f>
        <v>0</v>
      </c>
      <c r="O52" s="50">
        <f>MAX(-tbl_ORCL[[#This Row],[Move]],0)</f>
        <v>0.43999999999999773</v>
      </c>
      <c r="P52" s="50">
        <f ca="1">IF(ROW($N52)-5&lt;RSI_Periods, "", AVERAGE(INDIRECT(ADDRESS(ROW($N52)-RSI_Periods +1, MATCH("Upmove", Price_Header,0))): INDIRECT(ADDRESS(ROW($N52),MATCH("Upmove", Price_Header,0)))))</f>
        <v>0.22500000000000039</v>
      </c>
      <c r="Q52" s="50">
        <f ca="1">IF(ROW($O52)-5&lt;RSI_Periods, "", AVERAGE(INDIRECT(ADDRESS(ROW($O52)-RSI_Periods +1, MATCH("Downmove", Price_Header,0))): INDIRECT(ADDRESS(ROW($O52),MATCH("Downmove", Price_Header,0)))))</f>
        <v>0.17357142857142854</v>
      </c>
      <c r="R52" s="50">
        <f ca="1">IF(tbl_ORCL[[#This Row],[Avg_Upmove]]="", "", tbl_ORCL[[#This Row],[Avg_Upmove]]/tbl_ORCL[[#This Row],[Avg_Downmove]])</f>
        <v>1.2962962962962987</v>
      </c>
      <c r="S52" s="127">
        <f ca="1">IF(ROW($N52)-4&lt;BB_Periods, "", _xlfn.STDEV.S(INDIRECT(ADDRESS(ROW($F52)-RSI_Periods +1, MATCH("Adj Close", Price_Header,0))): INDIRECT(ADDRESS(ROW($F52),MATCH("Adj Close", Price_Header,0)))))</f>
        <v>0.83104363091447642</v>
      </c>
    </row>
    <row r="53" spans="1:19" x14ac:dyDescent="0.25">
      <c r="A53" s="8">
        <v>44120</v>
      </c>
      <c r="B53" s="10">
        <v>60.71</v>
      </c>
      <c r="C53" s="10">
        <v>61.11</v>
      </c>
      <c r="D53" s="10">
        <v>60.26</v>
      </c>
      <c r="E53" s="10">
        <v>60.29</v>
      </c>
      <c r="F53" s="10">
        <v>60.29</v>
      </c>
      <c r="G53">
        <v>6070800</v>
      </c>
      <c r="H53" s="127">
        <f>IF(tbl_ORCL[[#This Row],[Date]]=$A$5, $F53, EMA_Beta*$H52 + (1-EMA_Beta)*$F53)</f>
        <v>60.074320423653639</v>
      </c>
      <c r="I53" s="50">
        <f ca="1">IF(tbl_ORCL[[#This Row],[RS]]= "", "", 100-(100/(1+tbl_ORCL[[#This Row],[RS]])))</f>
        <v>56.350626118067972</v>
      </c>
      <c r="J53" s="127">
        <f ca="1">IF(ROW($N53)-4&lt;BB_Periods, "", AVERAGE(INDIRECT(ADDRESS(ROW($F53)-RSI_Periods +1, MATCH("Adj Close", Price_Header,0))): INDIRECT(ADDRESS(ROW($F53),MATCH("Adj Close", Price_Header,0)))))</f>
        <v>60.238571428571433</v>
      </c>
      <c r="K53" s="127">
        <f ca="1">IF(tbl_ORCL[[#This Row],[BB_Mean]]="", "", tbl_ORCL[[#This Row],[BB_Mean]]+(BB_Width*tbl_ORCL[[#This Row],[BB_Stdev]]))</f>
        <v>61.863679370886594</v>
      </c>
      <c r="L53" s="127">
        <f ca="1">IF(tbl_ORCL[[#This Row],[BB_Mean]]="", "", tbl_ORCL[[#This Row],[BB_Mean]]-(BB_Width*tbl_ORCL[[#This Row],[BB_Stdev]]))</f>
        <v>58.613463486256272</v>
      </c>
      <c r="M53" s="50">
        <f>IF(ROW(tbl_ORCL[[#This Row],[Adj Close]])=5, 0, $F53-$F52)</f>
        <v>-0.23000000000000398</v>
      </c>
      <c r="N53" s="50">
        <f>MAX(tbl_ORCL[[#This Row],[Move]],0)</f>
        <v>0</v>
      </c>
      <c r="O53" s="50">
        <f>MAX(-tbl_ORCL[[#This Row],[Move]],0)</f>
        <v>0.23000000000000398</v>
      </c>
      <c r="P53" s="50">
        <f ca="1">IF(ROW($N53)-5&lt;RSI_Periods, "", AVERAGE(INDIRECT(ADDRESS(ROW($N53)-RSI_Periods +1, MATCH("Upmove", Price_Header,0))): INDIRECT(ADDRESS(ROW($N53),MATCH("Upmove", Price_Header,0)))))</f>
        <v>0.22500000000000039</v>
      </c>
      <c r="Q53" s="50">
        <f ca="1">IF(ROW($O53)-5&lt;RSI_Periods, "", AVERAGE(INDIRECT(ADDRESS(ROW($O53)-RSI_Periods +1, MATCH("Downmove", Price_Header,0))): INDIRECT(ADDRESS(ROW($O53),MATCH("Downmove", Price_Header,0)))))</f>
        <v>0.17428571428571463</v>
      </c>
      <c r="R53" s="50">
        <f ca="1">IF(tbl_ORCL[[#This Row],[Avg_Upmove]]="", "", tbl_ORCL[[#This Row],[Avg_Upmove]]/tbl_ORCL[[#This Row],[Avg_Downmove]])</f>
        <v>1.2909836065573768</v>
      </c>
      <c r="S53" s="127">
        <f ca="1">IF(ROW($N53)-4&lt;BB_Periods, "", _xlfn.STDEV.S(INDIRECT(ADDRESS(ROW($F53)-RSI_Periods +1, MATCH("Adj Close", Price_Header,0))): INDIRECT(ADDRESS(ROW($F53),MATCH("Adj Close", Price_Header,0)))))</f>
        <v>0.81255397115758154</v>
      </c>
    </row>
    <row r="54" spans="1:19" x14ac:dyDescent="0.25">
      <c r="A54" s="8">
        <v>44123</v>
      </c>
      <c r="B54" s="10">
        <v>60.39</v>
      </c>
      <c r="C54" s="10">
        <v>60.75</v>
      </c>
      <c r="D54" s="10">
        <v>59.39</v>
      </c>
      <c r="E54" s="10">
        <v>59.62</v>
      </c>
      <c r="F54" s="10">
        <v>59.62</v>
      </c>
      <c r="G54">
        <v>8311000</v>
      </c>
      <c r="H54" s="127">
        <f>IF(tbl_ORCL[[#This Row],[Date]]=$A$5, $F54, EMA_Beta*$H53 + (1-EMA_Beta)*$F54)</f>
        <v>60.028888381288269</v>
      </c>
      <c r="I54" s="50">
        <f ca="1">IF(tbl_ORCL[[#This Row],[RS]]= "", "", 100-(100/(1+tbl_ORCL[[#This Row],[RS]])))</f>
        <v>51.219512195121936</v>
      </c>
      <c r="J54" s="127">
        <f ca="1">IF(ROW($N54)-4&lt;BB_Periods, "", AVERAGE(INDIRECT(ADDRESS(ROW($F54)-RSI_Periods +1, MATCH("Adj Close", Price_Header,0))): INDIRECT(ADDRESS(ROW($F54),MATCH("Adj Close", Price_Header,0)))))</f>
        <v>60.249285714285712</v>
      </c>
      <c r="K54" s="127">
        <f ca="1">IF(tbl_ORCL[[#This Row],[BB_Mean]]="", "", tbl_ORCL[[#This Row],[BB_Mean]]+(BB_Width*tbl_ORCL[[#This Row],[BB_Stdev]]))</f>
        <v>61.85442101719925</v>
      </c>
      <c r="L54" s="127">
        <f ca="1">IF(tbl_ORCL[[#This Row],[BB_Mean]]="", "", tbl_ORCL[[#This Row],[BB_Mean]]-(BB_Width*tbl_ORCL[[#This Row],[BB_Stdev]]))</f>
        <v>58.644150411372173</v>
      </c>
      <c r="M54" s="50">
        <f>IF(ROW(tbl_ORCL[[#This Row],[Adj Close]])=5, 0, $F54-$F53)</f>
        <v>-0.67000000000000171</v>
      </c>
      <c r="N54" s="50">
        <f>MAX(tbl_ORCL[[#This Row],[Move]],0)</f>
        <v>0</v>
      </c>
      <c r="O54" s="50">
        <f>MAX(-tbl_ORCL[[#This Row],[Move]],0)</f>
        <v>0.67000000000000171</v>
      </c>
      <c r="P54" s="50">
        <f ca="1">IF(ROW($N54)-5&lt;RSI_Periods, "", AVERAGE(INDIRECT(ADDRESS(ROW($N54)-RSI_Periods +1, MATCH("Upmove", Price_Header,0))): INDIRECT(ADDRESS(ROW($N54),MATCH("Upmove", Price_Header,0)))))</f>
        <v>0.22500000000000039</v>
      </c>
      <c r="Q54" s="50">
        <f ca="1">IF(ROW($O54)-5&lt;RSI_Periods, "", AVERAGE(INDIRECT(ADDRESS(ROW($O54)-RSI_Periods +1, MATCH("Downmove", Price_Header,0))): INDIRECT(ADDRESS(ROW($O54),MATCH("Downmove", Price_Header,0)))))</f>
        <v>0.2142857142857148</v>
      </c>
      <c r="R54" s="50">
        <f ca="1">IF(tbl_ORCL[[#This Row],[Avg_Upmove]]="", "", tbl_ORCL[[#This Row],[Avg_Upmove]]/tbl_ORCL[[#This Row],[Avg_Downmove]])</f>
        <v>1.0499999999999994</v>
      </c>
      <c r="S54" s="127">
        <f ca="1">IF(ROW($N54)-4&lt;BB_Periods, "", _xlfn.STDEV.S(INDIRECT(ADDRESS(ROW($F54)-RSI_Periods +1, MATCH("Adj Close", Price_Header,0))): INDIRECT(ADDRESS(ROW($F54),MATCH("Adj Close", Price_Header,0)))))</f>
        <v>0.80256765145676978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>
        <f ca="1">SUBTOTAL(103,tbl_ORCL[BB_Stdev])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2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2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2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2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2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2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2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2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2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2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2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2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2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2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2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2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2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25">
      <c r="A50" s="8">
        <v>44117</v>
      </c>
      <c r="B50" s="10">
        <v>28.82</v>
      </c>
      <c r="C50" s="10">
        <v>29.75</v>
      </c>
      <c r="D50" s="10">
        <v>28.82</v>
      </c>
      <c r="E50" s="10">
        <v>29.44</v>
      </c>
      <c r="F50" s="10">
        <v>29.44</v>
      </c>
      <c r="G50">
        <v>170800</v>
      </c>
      <c r="H50" s="10">
        <f>IF(tbl_AKRO[[#This Row],[Date]]=$A$5, $F50, EMA_Beta*$H49 + (1-EMA_Beta)*$F50)</f>
        <v>30.653128778254494</v>
      </c>
      <c r="I50" s="46">
        <f ca="1">IF(tbl_AKRO[[#This Row],[RS]]= "", "", 100-(100/(1+tbl_AKRO[[#This Row],[RS]])))</f>
        <v>34.174022698612887</v>
      </c>
      <c r="J50" s="10">
        <f ca="1">IF(ROW($N50)-4&lt;BB_Periods, "", AVERAGE(INDIRECT(ADDRESS(ROW($F50)-RSI_Periods +1, MATCH("Adj Close", Price_Header,0))): INDIRECT(ADDRESS(ROW($F50),MATCH("Adj Close", Price_Header,0)))))</f>
        <v>29.953571428571429</v>
      </c>
      <c r="K50" s="127">
        <f ca="1">IF(tbl_AKRO[[#This Row],[BB_Mean]]="", "", tbl_AKRO[[#This Row],[BB_Mean]]+(BB_Width*tbl_AKRO[[#This Row],[BB_Stdev]]))</f>
        <v>32.683852982301261</v>
      </c>
      <c r="L50" s="127">
        <f ca="1">IF(tbl_AKRO[[#This Row],[BB_Mean]]="", "", tbl_AKRO[[#This Row],[BB_Mean]]-(BB_Width*tbl_AKRO[[#This Row],[BB_Stdev]]))</f>
        <v>27.223289874841601</v>
      </c>
      <c r="M50" s="46">
        <f>IF(ROW(tbl_AKRO[[#This Row],[Adj Close]])=5, 0, $F50-$F49)</f>
        <v>0.51000000000000156</v>
      </c>
      <c r="N50" s="46">
        <f>MAX(tbl_AKRO[[#This Row],[Move]],0)</f>
        <v>0.51000000000000156</v>
      </c>
      <c r="O50" s="46">
        <f>MAX(-tbl_AKRO[[#This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0.19357142857142889</v>
      </c>
      <c r="Q50" s="46">
        <f ca="1">IF(ROW($O50)-5&lt;RSI_Periods, "", AVERAGE(INDIRECT(ADDRESS(ROW($O50)-RSI_Periods +1, MATCH("Downmove", Price_Header,0))): INDIRECT(ADDRESS(ROW($O50),MATCH("Downmove", Price_Header,0)))))</f>
        <v>0.37285714285714305</v>
      </c>
      <c r="R50" s="46">
        <f ca="1">IF(tbl_AKRO[[#This Row],[Avg_Upmove]]="", "", tbl_AKRO[[#This Row],[Avg_Upmove]]/tbl_AKRO[[#This Row],[Avg_Downmove]])</f>
        <v>0.51915708812260597</v>
      </c>
      <c r="S50" s="10">
        <f ca="1">IF(ROW($N50)-4&lt;BB_Periods, "", _xlfn.STDEV.S(INDIRECT(ADDRESS(ROW($F50)-RSI_Periods +1, MATCH("Adj Close", Price_Header,0))): INDIRECT(ADDRESS(ROW($F50),MATCH("Adj Close", Price_Header,0)))))</f>
        <v>1.3651407768649142</v>
      </c>
    </row>
    <row r="51" spans="1:19" x14ac:dyDescent="0.25">
      <c r="A51" s="8">
        <v>44118</v>
      </c>
      <c r="B51" s="10">
        <v>29.47</v>
      </c>
      <c r="C51" s="10">
        <v>29.75</v>
      </c>
      <c r="D51" s="10">
        <v>28.47</v>
      </c>
      <c r="E51" s="10">
        <v>28.56</v>
      </c>
      <c r="F51" s="10">
        <v>28.56</v>
      </c>
      <c r="G51">
        <v>184900</v>
      </c>
      <c r="H51" s="10">
        <f>IF(tbl_AKRO[[#This Row],[Date]]=$A$5, $F51, EMA_Beta*$H50 + (1-EMA_Beta)*$F51)</f>
        <v>30.443815900429044</v>
      </c>
      <c r="I51" s="46">
        <f ca="1">IF(tbl_AKRO[[#This Row],[RS]]= "", "", 100-(100/(1+tbl_AKRO[[#This Row],[RS]])))</f>
        <v>29.152148664343812</v>
      </c>
      <c r="J51" s="10">
        <f ca="1">IF(ROW($N51)-4&lt;BB_Periods, "", AVERAGE(INDIRECT(ADDRESS(ROW($F51)-RSI_Periods +1, MATCH("Adj Close", Price_Header,0))): INDIRECT(ADDRESS(ROW($F51),MATCH("Adj Close", Price_Header,0)))))</f>
        <v>29.697142857142861</v>
      </c>
      <c r="K51" s="127">
        <f ca="1">IF(tbl_AKRO[[#This Row],[BB_Mean]]="", "", tbl_AKRO[[#This Row],[BB_Mean]]+(BB_Width*tbl_AKRO[[#This Row],[BB_Stdev]]))</f>
        <v>32.204000265519745</v>
      </c>
      <c r="L51" s="127">
        <f ca="1">IF(tbl_AKRO[[#This Row],[BB_Mean]]="", "", tbl_AKRO[[#This Row],[BB_Mean]]-(BB_Width*tbl_AKRO[[#This Row],[BB_Stdev]]))</f>
        <v>27.190285448765977</v>
      </c>
      <c r="M51" s="46">
        <f>IF(ROW(tbl_AKRO[[#This Row],[Adj Close]])=5, 0, $F51-$F50)</f>
        <v>-0.88000000000000256</v>
      </c>
      <c r="N51" s="46">
        <f>MAX(tbl_AKRO[[#This Row],[Move]],0)</f>
        <v>0</v>
      </c>
      <c r="O51" s="46">
        <f>MAX(-tbl_AKRO[[#This Row],[Move]],0)</f>
        <v>0.88000000000000256</v>
      </c>
      <c r="P51" s="46">
        <f ca="1">IF(ROW($N51)-5&lt;RSI_Periods, "", AVERAGE(INDIRECT(ADDRESS(ROW($N51)-RSI_Periods +1, MATCH("Upmove", Price_Header,0))): INDIRECT(ADDRESS(ROW($N51),MATCH("Upmove", Price_Header,0)))))</f>
        <v>0.17928571428571466</v>
      </c>
      <c r="Q51" s="46">
        <f ca="1">IF(ROW($O51)-5&lt;RSI_Periods, "", AVERAGE(INDIRECT(ADDRESS(ROW($O51)-RSI_Periods +1, MATCH("Downmove", Price_Header,0))): INDIRECT(ADDRESS(ROW($O51),MATCH("Downmove", Price_Header,0)))))</f>
        <v>0.43571428571428605</v>
      </c>
      <c r="R51" s="46">
        <f ca="1">IF(tbl_AKRO[[#This Row],[Avg_Upmove]]="", "", tbl_AKRO[[#This Row],[Avg_Upmove]]/tbl_AKRO[[#This Row],[Avg_Downmove]])</f>
        <v>0.41147540983606612</v>
      </c>
      <c r="S51" s="10">
        <f ca="1">IF(ROW($N51)-4&lt;BB_Periods, "", _xlfn.STDEV.S(INDIRECT(ADDRESS(ROW($F51)-RSI_Periods +1, MATCH("Adj Close", Price_Header,0))): INDIRECT(ADDRESS(ROW($F51),MATCH("Adj Close", Price_Header,0)))))</f>
        <v>1.2534287041884427</v>
      </c>
    </row>
    <row r="52" spans="1:19" x14ac:dyDescent="0.25">
      <c r="A52" s="8">
        <v>44119</v>
      </c>
      <c r="B52" s="10">
        <v>28.5</v>
      </c>
      <c r="C52" s="10">
        <v>28.5</v>
      </c>
      <c r="D52" s="10">
        <v>27.15</v>
      </c>
      <c r="E52" s="10">
        <v>27.85</v>
      </c>
      <c r="F52" s="10">
        <v>27.85</v>
      </c>
      <c r="G52">
        <v>120900</v>
      </c>
      <c r="H52" s="10">
        <f>IF(tbl_AKRO[[#This Row],[Date]]=$A$5, $F52, EMA_Beta*$H51 + (1-EMA_Beta)*$F52)</f>
        <v>30.184434310386141</v>
      </c>
      <c r="I52" s="46">
        <f ca="1">IF(tbl_AKRO[[#This Row],[RS]]= "", "", 100-(100/(1+tbl_AKRO[[#This Row],[RS]])))</f>
        <v>26.989247311827981</v>
      </c>
      <c r="J52" s="10">
        <f ca="1">IF(ROW($N52)-4&lt;BB_Periods, "", AVERAGE(INDIRECT(ADDRESS(ROW($F52)-RSI_Periods +1, MATCH("Adj Close", Price_Header,0))): INDIRECT(ADDRESS(ROW($F52),MATCH("Adj Close", Price_Header,0)))))</f>
        <v>29.391428571428577</v>
      </c>
      <c r="K52" s="127">
        <f ca="1">IF(tbl_AKRO[[#This Row],[BB_Mean]]="", "", tbl_AKRO[[#This Row],[BB_Mean]]+(BB_Width*tbl_AKRO[[#This Row],[BB_Stdev]]))</f>
        <v>31.652046011154106</v>
      </c>
      <c r="L52" s="127">
        <f ca="1">IF(tbl_AKRO[[#This Row],[BB_Mean]]="", "", tbl_AKRO[[#This Row],[BB_Mean]]-(BB_Width*tbl_AKRO[[#This Row],[BB_Stdev]]))</f>
        <v>27.130811131703048</v>
      </c>
      <c r="M52" s="46">
        <f>IF(ROW(tbl_AKRO[[#This Row],[Adj Close]])=5, 0, $F52-$F51)</f>
        <v>-0.7099999999999973</v>
      </c>
      <c r="N52" s="46">
        <f>MAX(tbl_AKRO[[#This Row],[Move]],0)</f>
        <v>0</v>
      </c>
      <c r="O52" s="46">
        <f>MAX(-tbl_AKRO[[#This Row],[Move]],0)</f>
        <v>0.7099999999999973</v>
      </c>
      <c r="P52" s="46">
        <f ca="1">IF(ROW($N52)-5&lt;RSI_Periods, "", AVERAGE(INDIRECT(ADDRESS(ROW($N52)-RSI_Periods +1, MATCH("Upmove", Price_Header,0))): INDIRECT(ADDRESS(ROW($N52),MATCH("Upmove", Price_Header,0)))))</f>
        <v>0.17928571428571466</v>
      </c>
      <c r="Q52" s="46">
        <f ca="1">IF(ROW($O52)-5&lt;RSI_Periods, "", AVERAGE(INDIRECT(ADDRESS(ROW($O52)-RSI_Periods +1, MATCH("Downmove", Price_Header,0))): INDIRECT(ADDRESS(ROW($O52),MATCH("Downmove", Price_Header,0)))))</f>
        <v>0.48500000000000043</v>
      </c>
      <c r="R52" s="46">
        <f ca="1">IF(tbl_AKRO[[#This Row],[Avg_Upmove]]="", "", tbl_AKRO[[#This Row],[Avg_Upmove]]/tbl_AKRO[[#This Row],[Avg_Downmove]])</f>
        <v>0.36966126656848353</v>
      </c>
      <c r="S52" s="10">
        <f ca="1">IF(ROW($N52)-4&lt;BB_Periods, "", _xlfn.STDEV.S(INDIRECT(ADDRESS(ROW($F52)-RSI_Periods +1, MATCH("Adj Close", Price_Header,0))): INDIRECT(ADDRESS(ROW($F52),MATCH("Adj Close", Price_Header,0)))))</f>
        <v>1.130308719862765</v>
      </c>
    </row>
    <row r="53" spans="1:19" x14ac:dyDescent="0.25">
      <c r="A53" s="8">
        <v>44120</v>
      </c>
      <c r="B53" s="10">
        <v>27.96</v>
      </c>
      <c r="C53" s="10">
        <v>29.37</v>
      </c>
      <c r="D53" s="10">
        <v>27.39</v>
      </c>
      <c r="E53" s="10">
        <v>28.35</v>
      </c>
      <c r="F53" s="10">
        <v>28.35</v>
      </c>
      <c r="G53">
        <v>245200</v>
      </c>
      <c r="H53" s="10">
        <f>IF(tbl_AKRO[[#This Row],[Date]]=$A$5, $F53, EMA_Beta*$H52 + (1-EMA_Beta)*$F53)</f>
        <v>30.00099087934753</v>
      </c>
      <c r="I53" s="46">
        <f ca="1">IF(tbl_AKRO[[#This Row],[RS]]= "", "", 100-(100/(1+tbl_AKRO[[#This Row],[RS]])))</f>
        <v>32.575757575757592</v>
      </c>
      <c r="J53" s="10">
        <f ca="1">IF(ROW($N53)-4&lt;BB_Periods, "", AVERAGE(INDIRECT(ADDRESS(ROW($F53)-RSI_Periods +1, MATCH("Adj Close", Price_Header,0))): INDIRECT(ADDRESS(ROW($F53),MATCH("Adj Close", Price_Header,0)))))</f>
        <v>29.161428571428576</v>
      </c>
      <c r="K53" s="127">
        <f ca="1">IF(tbl_AKRO[[#This Row],[BB_Mean]]="", "", tbl_AKRO[[#This Row],[BB_Mean]]+(BB_Width*tbl_AKRO[[#This Row],[BB_Stdev]]))</f>
        <v>31.099434797390746</v>
      </c>
      <c r="L53" s="127">
        <f ca="1">IF(tbl_AKRO[[#This Row],[BB_Mean]]="", "", tbl_AKRO[[#This Row],[BB_Mean]]-(BB_Width*tbl_AKRO[[#This Row],[BB_Stdev]]))</f>
        <v>27.223422345466407</v>
      </c>
      <c r="M53" s="46">
        <f>IF(ROW(tbl_AKRO[[#This Row],[Adj Close]])=5, 0, $F53-$F52)</f>
        <v>0.5</v>
      </c>
      <c r="N53" s="46">
        <f>MAX(tbl_AKRO[[#This Row],[Move]],0)</f>
        <v>0.5</v>
      </c>
      <c r="O53" s="46">
        <f>MAX(-tbl_AKRO[[#This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0.21500000000000036</v>
      </c>
      <c r="Q53" s="46">
        <f ca="1">IF(ROW($O53)-5&lt;RSI_Periods, "", AVERAGE(INDIRECT(ADDRESS(ROW($O53)-RSI_Periods +1, MATCH("Downmove", Price_Header,0))): INDIRECT(ADDRESS(ROW($O53),MATCH("Downmove", Price_Header,0)))))</f>
        <v>0.44500000000000028</v>
      </c>
      <c r="R53" s="46">
        <f ca="1">IF(tbl_AKRO[[#This Row],[Avg_Upmove]]="", "", tbl_AKRO[[#This Row],[Avg_Upmove]]/tbl_AKRO[[#This Row],[Avg_Downmove]])</f>
        <v>0.48314606741573085</v>
      </c>
      <c r="S53" s="10">
        <f ca="1">IF(ROW($N53)-4&lt;BB_Periods, "", _xlfn.STDEV.S(INDIRECT(ADDRESS(ROW($F53)-RSI_Periods +1, MATCH("Adj Close", Price_Header,0))): INDIRECT(ADDRESS(ROW($F53),MATCH("Adj Close", Price_Header,0)))))</f>
        <v>0.96900311298108477</v>
      </c>
    </row>
    <row r="54" spans="1:19" x14ac:dyDescent="0.25">
      <c r="A54" s="8">
        <v>44123</v>
      </c>
      <c r="B54" s="10">
        <v>28.52</v>
      </c>
      <c r="C54" s="10">
        <v>28.57</v>
      </c>
      <c r="D54" s="10">
        <v>27.06</v>
      </c>
      <c r="E54" s="10">
        <v>27.4</v>
      </c>
      <c r="F54" s="10">
        <v>27.4</v>
      </c>
      <c r="G54">
        <v>318600</v>
      </c>
      <c r="H54" s="10">
        <f>IF(tbl_AKRO[[#This Row],[Date]]=$A$5, $F54, EMA_Beta*$H53 + (1-EMA_Beta)*$F54)</f>
        <v>29.740891791412775</v>
      </c>
      <c r="I54" s="46">
        <f ca="1">IF(tbl_AKRO[[#This Row],[RS]]= "", "", 100-(100/(1+tbl_AKRO[[#This Row],[RS]])))</f>
        <v>30.130130130130141</v>
      </c>
      <c r="J54" s="10">
        <f ca="1">IF(ROW($N54)-4&lt;BB_Periods, "", AVERAGE(INDIRECT(ADDRESS(ROW($F54)-RSI_Periods +1, MATCH("Adj Close", Price_Header,0))): INDIRECT(ADDRESS(ROW($F54),MATCH("Adj Close", Price_Header,0)))))</f>
        <v>28.877857142857145</v>
      </c>
      <c r="K54" s="127">
        <f ca="1">IF(tbl_AKRO[[#This Row],[BB_Mean]]="", "", tbl_AKRO[[#This Row],[BB_Mean]]+(BB_Width*tbl_AKRO[[#This Row],[BB_Stdev]]))</f>
        <v>30.569977861799067</v>
      </c>
      <c r="L54" s="127">
        <f ca="1">IF(tbl_AKRO[[#This Row],[BB_Mean]]="", "", tbl_AKRO[[#This Row],[BB_Mean]]-(BB_Width*tbl_AKRO[[#This Row],[BB_Stdev]]))</f>
        <v>27.185736423915223</v>
      </c>
      <c r="M54" s="46">
        <f>IF(ROW(tbl_AKRO[[#This Row],[Adj Close]])=5, 0, $F54-$F53)</f>
        <v>-0.95000000000000284</v>
      </c>
      <c r="N54" s="46">
        <f>MAX(tbl_AKRO[[#This Row],[Move]],0)</f>
        <v>0</v>
      </c>
      <c r="O54" s="46">
        <f>MAX(-tbl_AKRO[[#This Row],[Move]],0)</f>
        <v>0.95000000000000284</v>
      </c>
      <c r="P54" s="46">
        <f ca="1">IF(ROW($N54)-5&lt;RSI_Periods, "", AVERAGE(INDIRECT(ADDRESS(ROW($N54)-RSI_Periods +1, MATCH("Upmove", Price_Header,0))): INDIRECT(ADDRESS(ROW($N54),MATCH("Upmove", Price_Header,0)))))</f>
        <v>0.21500000000000036</v>
      </c>
      <c r="Q54" s="46">
        <f ca="1">IF(ROW($O54)-5&lt;RSI_Periods, "", AVERAGE(INDIRECT(ADDRESS(ROW($O54)-RSI_Periods +1, MATCH("Downmove", Price_Header,0))): INDIRECT(ADDRESS(ROW($O54),MATCH("Downmove", Price_Header,0)))))</f>
        <v>0.49857142857142911</v>
      </c>
      <c r="R54" s="46">
        <f ca="1">IF(tbl_AKRO[[#This Row],[Avg_Upmove]]="", "", tbl_AKRO[[#This Row],[Avg_Upmove]]/tbl_AKRO[[#This Row],[Avg_Downmove]])</f>
        <v>0.43123209169054466</v>
      </c>
      <c r="S54" s="10">
        <f ca="1">IF(ROW($N54)-4&lt;BB_Periods, "", _xlfn.STDEV.S(INDIRECT(ADDRESS(ROW($F54)-RSI_Periods +1, MATCH("Adj Close", Price_Header,0))): INDIRECT(ADDRESS(ROW($F54),MATCH("Adj Close", Price_Header,0)))))</f>
        <v>0.84606035947096103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SUBTOTAL(103,tbl_AKRO[BB_Stdev])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2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2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2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2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2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2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2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2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2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2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2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2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2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2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2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2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2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25">
      <c r="A50" s="8">
        <v>44117</v>
      </c>
      <c r="B50" s="10">
        <v>272.32</v>
      </c>
      <c r="C50" s="10">
        <v>275.24</v>
      </c>
      <c r="D50" s="10">
        <v>271.85000000000002</v>
      </c>
      <c r="E50" s="10">
        <v>272.24</v>
      </c>
      <c r="F50" s="10">
        <v>272.24</v>
      </c>
      <c r="G50">
        <v>1657100</v>
      </c>
      <c r="H50" s="10">
        <f>IF(tbl_FDX[[#This Row],[Date]]=$A$5, $F50, EMA_Beta*$H49 + (1-EMA_Beta)*$F50)</f>
        <v>256.27981439403038</v>
      </c>
      <c r="I50" s="46">
        <f ca="1">IF(tbl_FDX[[#This Row],[RS]]= "", "", 100-(100/(1+tbl_FDX[[#This Row],[RS]])))</f>
        <v>89.331291475242523</v>
      </c>
      <c r="J50" s="10">
        <f ca="1">IF(ROW($N50)-4&lt;BB_Periods, "", AVERAGE(INDIRECT(ADDRESS(ROW($F50)-RSI_Periods +1, MATCH("Adj Close", Price_Header,0))): INDIRECT(ADDRESS(ROW($F50),MATCH("Adj Close", Price_Header,0)))))</f>
        <v>259.67285714285714</v>
      </c>
      <c r="K50" s="10">
        <f ca="1">IF(tbl_FDX[[#This Row],[BB_Mean]]="", "", tbl_FDX[[#This Row],[BB_Mean]]+(BB_Width*tbl_FDX[[#This Row],[BB_Stdev]]))</f>
        <v>279.67813095302483</v>
      </c>
      <c r="L50" s="127">
        <f ca="1">IF(tbl_FDX[[#This Row],[BB_Mean]]="", "", tbl_FDX[[#This Row],[BB_Mean]]-(BB_Width*tbl_FDX[[#This Row],[BB_Stdev]]))</f>
        <v>239.66758333268947</v>
      </c>
      <c r="M50" s="46">
        <f>IF(ROW(tbl_FDX[[#This Row],[Adj Close]])=5, 0, $F50-$F49)</f>
        <v>-1.2599999999999909</v>
      </c>
      <c r="N50" s="46">
        <f>MAX(tbl_FDX[[#This Row],[Move]],0)</f>
        <v>0</v>
      </c>
      <c r="O50" s="46">
        <f>MAX(-tbl_FDX[[#This Row],[Move]],0)</f>
        <v>1.2599999999999909</v>
      </c>
      <c r="P50" s="46">
        <f ca="1">IF(ROW($N50)-5&lt;RSI_Periods, "", AVERAGE(INDIRECT(ADDRESS(ROW($N50)-RSI_Periods +1, MATCH("Upmove", Price_Header,0))): INDIRECT(ADDRESS(ROW($N50),MATCH("Upmove", Price_Header,0)))))</f>
        <v>2.5</v>
      </c>
      <c r="Q50" s="46">
        <f ca="1">IF(ROW($O50)-5&lt;RSI_Periods, "", AVERAGE(INDIRECT(ADDRESS(ROW($O50)-RSI_Periods +1, MATCH("Downmove", Price_Header,0))): INDIRECT(ADDRESS(ROW($O50),MATCH("Downmove", Price_Header,0)))))</f>
        <v>0.29857142857142704</v>
      </c>
      <c r="R50" s="46">
        <f ca="1">IF(tbl_FDX[[#This Row],[Avg_Upmove]]="", "", tbl_FDX[[#This Row],[Avg_Upmove]]/tbl_FDX[[#This Row],[Avg_Downmove]])</f>
        <v>8.3732057416268368</v>
      </c>
      <c r="S50" s="10">
        <f ca="1">IF(ROW($N50)-4&lt;BB_Periods, "", _xlfn.STDEV.S(INDIRECT(ADDRESS(ROW($F50)-RSI_Periods +1, MATCH("Adj Close", Price_Header,0))): INDIRECT(ADDRESS(ROW($F50),MATCH("Adj Close", Price_Header,0)))))</f>
        <v>10.002636905083834</v>
      </c>
    </row>
    <row r="51" spans="1:19" x14ac:dyDescent="0.25">
      <c r="A51" s="8">
        <v>44118</v>
      </c>
      <c r="B51" s="10">
        <v>274.75</v>
      </c>
      <c r="C51" s="10">
        <v>278.95999999999998</v>
      </c>
      <c r="D51" s="10">
        <v>273.77</v>
      </c>
      <c r="E51" s="10">
        <v>276.24</v>
      </c>
      <c r="F51" s="10">
        <v>276.24</v>
      </c>
      <c r="G51">
        <v>2080600</v>
      </c>
      <c r="H51" s="10">
        <f>IF(tbl_FDX[[#This Row],[Date]]=$A$5, $F51, EMA_Beta*$H50 + (1-EMA_Beta)*$F51)</f>
        <v>258.27583295462733</v>
      </c>
      <c r="I51" s="46">
        <f ca="1">IF(tbl_FDX[[#This Row],[RS]]= "", "", 100-(100/(1+tbl_FDX[[#This Row],[RS]])))</f>
        <v>90.319592403890738</v>
      </c>
      <c r="J51" s="10">
        <f ca="1">IF(ROW($N51)-4&lt;BB_Periods, "", AVERAGE(INDIRECT(ADDRESS(ROW($F51)-RSI_Periods +1, MATCH("Adj Close", Price_Header,0))): INDIRECT(ADDRESS(ROW($F51),MATCH("Adj Close", Price_Header,0)))))</f>
        <v>262.15999999999997</v>
      </c>
      <c r="K51" s="10">
        <f ca="1">IF(tbl_FDX[[#This Row],[BB_Mean]]="", "", tbl_FDX[[#This Row],[BB_Mean]]+(BB_Width*tbl_FDX[[#This Row],[BB_Stdev]]))</f>
        <v>281.01480391754922</v>
      </c>
      <c r="L51" s="127">
        <f ca="1">IF(tbl_FDX[[#This Row],[BB_Mean]]="", "", tbl_FDX[[#This Row],[BB_Mean]]-(BB_Width*tbl_FDX[[#This Row],[BB_Stdev]]))</f>
        <v>243.30519608245072</v>
      </c>
      <c r="M51" s="46">
        <f>IF(ROW(tbl_FDX[[#This Row],[Adj Close]])=5, 0, $F51-$F50)</f>
        <v>4</v>
      </c>
      <c r="N51" s="46">
        <f>MAX(tbl_FDX[[#This Row],[Move]],0)</f>
        <v>4</v>
      </c>
      <c r="O51" s="46">
        <f>MAX(-tbl_FDX[[#This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2.7857142857142856</v>
      </c>
      <c r="Q51" s="46">
        <f ca="1">IF(ROW($O51)-5&lt;RSI_Periods, "", AVERAGE(INDIRECT(ADDRESS(ROW($O51)-RSI_Periods +1, MATCH("Downmove", Price_Header,0))): INDIRECT(ADDRESS(ROW($O51),MATCH("Downmove", Price_Header,0)))))</f>
        <v>0.29857142857142704</v>
      </c>
      <c r="R51" s="46">
        <f ca="1">IF(tbl_FDX[[#This Row],[Avg_Upmove]]="", "", tbl_FDX[[#This Row],[Avg_Upmove]]/tbl_FDX[[#This Row],[Avg_Downmove]])</f>
        <v>9.3301435406699031</v>
      </c>
      <c r="S51" s="10">
        <f ca="1">IF(ROW($N51)-4&lt;BB_Periods, "", _xlfn.STDEV.S(INDIRECT(ADDRESS(ROW($F51)-RSI_Periods +1, MATCH("Adj Close", Price_Header,0))): INDIRECT(ADDRESS(ROW($F51),MATCH("Adj Close", Price_Header,0)))))</f>
        <v>9.4274019587746309</v>
      </c>
    </row>
    <row r="52" spans="1:19" x14ac:dyDescent="0.25">
      <c r="A52" s="8">
        <v>44119</v>
      </c>
      <c r="B52" s="10">
        <v>273.08999999999997</v>
      </c>
      <c r="C52" s="10">
        <v>282.14</v>
      </c>
      <c r="D52" s="10">
        <v>271.75</v>
      </c>
      <c r="E52" s="10">
        <v>282.11</v>
      </c>
      <c r="F52" s="10">
        <v>282.11</v>
      </c>
      <c r="G52">
        <v>2254700</v>
      </c>
      <c r="H52" s="10">
        <f>IF(tbl_FDX[[#This Row],[Date]]=$A$5, $F52, EMA_Beta*$H51 + (1-EMA_Beta)*$F52)</f>
        <v>260.65924965916463</v>
      </c>
      <c r="I52" s="46">
        <f ca="1">IF(tbl_FDX[[#This Row],[RS]]= "", "", 100-(100/(1+tbl_FDX[[#This Row],[RS]])))</f>
        <v>89.62779156327548</v>
      </c>
      <c r="J52" s="10">
        <f ca="1">IF(ROW($N52)-4&lt;BB_Periods, "", AVERAGE(INDIRECT(ADDRESS(ROW($F52)-RSI_Periods +1, MATCH("Adj Close", Price_Header,0))): INDIRECT(ADDRESS(ROW($F52),MATCH("Adj Close", Price_Header,0)))))</f>
        <v>264.44142857142856</v>
      </c>
      <c r="K52" s="10">
        <f ca="1">IF(tbl_FDX[[#This Row],[BB_Mean]]="", "", tbl_FDX[[#This Row],[BB_Mean]]+(BB_Width*tbl_FDX[[#This Row],[BB_Stdev]]))</f>
        <v>284.72222943126849</v>
      </c>
      <c r="L52" s="127">
        <f ca="1">IF(tbl_FDX[[#This Row],[BB_Mean]]="", "", tbl_FDX[[#This Row],[BB_Mean]]-(BB_Width*tbl_FDX[[#This Row],[BB_Stdev]]))</f>
        <v>244.16062771158863</v>
      </c>
      <c r="M52" s="46">
        <f>IF(ROW(tbl_FDX[[#This Row],[Adj Close]])=5, 0, $F52-$F51)</f>
        <v>5.8700000000000045</v>
      </c>
      <c r="N52" s="46">
        <f>MAX(tbl_FDX[[#This Row],[Move]],0)</f>
        <v>5.8700000000000045</v>
      </c>
      <c r="O52" s="46">
        <f>MAX(-tbl_FDX[[#This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2.5800000000000005</v>
      </c>
      <c r="Q52" s="46">
        <f ca="1">IF(ROW($O52)-5&lt;RSI_Periods, "", AVERAGE(INDIRECT(ADDRESS(ROW($O52)-RSI_Periods +1, MATCH("Downmove", Price_Header,0))): INDIRECT(ADDRESS(ROW($O52),MATCH("Downmove", Price_Header,0)))))</f>
        <v>0.29857142857142704</v>
      </c>
      <c r="R52" s="46">
        <f ca="1">IF(tbl_FDX[[#This Row],[Avg_Upmove]]="", "", tbl_FDX[[#This Row],[Avg_Upmove]]/tbl_FDX[[#This Row],[Avg_Downmove]])</f>
        <v>8.6411483253588983</v>
      </c>
      <c r="S52" s="10">
        <f ca="1">IF(ROW($N52)-4&lt;BB_Periods, "", _xlfn.STDEV.S(INDIRECT(ADDRESS(ROW($F52)-RSI_Periods +1, MATCH("Adj Close", Price_Header,0))): INDIRECT(ADDRESS(ROW($F52),MATCH("Adj Close", Price_Header,0)))))</f>
        <v>10.140400429919962</v>
      </c>
    </row>
    <row r="53" spans="1:19" x14ac:dyDescent="0.25">
      <c r="A53" s="8">
        <v>44120</v>
      </c>
      <c r="B53" s="10">
        <v>284</v>
      </c>
      <c r="C53" s="10">
        <v>287.16000000000003</v>
      </c>
      <c r="D53" s="10">
        <v>282</v>
      </c>
      <c r="E53" s="10">
        <v>283.87</v>
      </c>
      <c r="F53" s="10">
        <v>283.87</v>
      </c>
      <c r="G53">
        <v>2990300</v>
      </c>
      <c r="H53" s="10">
        <f>IF(tbl_FDX[[#This Row],[Date]]=$A$5, $F53, EMA_Beta*$H52 + (1-EMA_Beta)*$F53)</f>
        <v>262.98032469324818</v>
      </c>
      <c r="I53" s="46">
        <f ca="1">IF(tbl_FDX[[#This Row],[RS]]= "", "", 100-(100/(1+tbl_FDX[[#This Row],[RS]])))</f>
        <v>88.938872717650213</v>
      </c>
      <c r="J53" s="10">
        <f ca="1">IF(ROW($N53)-4&lt;BB_Periods, "", AVERAGE(INDIRECT(ADDRESS(ROW($F53)-RSI_Periods +1, MATCH("Adj Close", Price_Header,0))): INDIRECT(ADDRESS(ROW($F53),MATCH("Adj Close", Price_Header,0)))))</f>
        <v>266.54357142857145</v>
      </c>
      <c r="K53" s="10">
        <f ca="1">IF(tbl_FDX[[#This Row],[BB_Mean]]="", "", tbl_FDX[[#This Row],[BB_Mean]]+(BB_Width*tbl_FDX[[#This Row],[BB_Stdev]]))</f>
        <v>288.39858403035635</v>
      </c>
      <c r="L53" s="127">
        <f ca="1">IF(tbl_FDX[[#This Row],[BB_Mean]]="", "", tbl_FDX[[#This Row],[BB_Mean]]-(BB_Width*tbl_FDX[[#This Row],[BB_Stdev]]))</f>
        <v>244.68855882678656</v>
      </c>
      <c r="M53" s="46">
        <f>IF(ROW(tbl_FDX[[#This Row],[Adj Close]])=5, 0, $F53-$F52)</f>
        <v>1.7599999999999909</v>
      </c>
      <c r="N53" s="46">
        <f>MAX(tbl_FDX[[#This Row],[Move]],0)</f>
        <v>1.7599999999999909</v>
      </c>
      <c r="O53" s="46">
        <f>MAX(-tbl_FDX[[#This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2.4007142857142845</v>
      </c>
      <c r="Q53" s="46">
        <f ca="1">IF(ROW($O53)-5&lt;RSI_Periods, "", AVERAGE(INDIRECT(ADDRESS(ROW($O53)-RSI_Periods +1, MATCH("Downmove", Price_Header,0))): INDIRECT(ADDRESS(ROW($O53),MATCH("Downmove", Price_Header,0)))))</f>
        <v>0.29857142857142704</v>
      </c>
      <c r="R53" s="46">
        <f ca="1">IF(tbl_FDX[[#This Row],[Avg_Upmove]]="", "", tbl_FDX[[#This Row],[Avg_Upmove]]/tbl_FDX[[#This Row],[Avg_Downmove]])</f>
        <v>8.0406698564593668</v>
      </c>
      <c r="S53" s="10">
        <f ca="1">IF(ROW($N53)-4&lt;BB_Periods, "", _xlfn.STDEV.S(INDIRECT(ADDRESS(ROW($F53)-RSI_Periods +1, MATCH("Adj Close", Price_Header,0))): INDIRECT(ADDRESS(ROW($F53),MATCH("Adj Close", Price_Header,0)))))</f>
        <v>10.927506300892443</v>
      </c>
    </row>
    <row r="54" spans="1:19" x14ac:dyDescent="0.25">
      <c r="A54" s="8">
        <v>44123</v>
      </c>
      <c r="B54" s="10">
        <v>284.81</v>
      </c>
      <c r="C54" s="10">
        <v>291.22000000000003</v>
      </c>
      <c r="D54" s="10">
        <v>279.56</v>
      </c>
      <c r="E54" s="10">
        <v>281.97000000000003</v>
      </c>
      <c r="F54" s="10">
        <v>281.97000000000003</v>
      </c>
      <c r="G54">
        <v>3450900</v>
      </c>
      <c r="H54" s="10">
        <f>IF(tbl_FDX[[#This Row],[Date]]=$A$5, $F54, EMA_Beta*$H53 + (1-EMA_Beta)*$F54)</f>
        <v>264.87929222392336</v>
      </c>
      <c r="I54" s="46">
        <f ca="1">IF(tbl_FDX[[#This Row],[RS]]= "", "", 100-(100/(1+tbl_FDX[[#This Row],[RS]])))</f>
        <v>86.735483870967826</v>
      </c>
      <c r="J54" s="10">
        <f ca="1">IF(ROW($N54)-4&lt;BB_Periods, "", AVERAGE(INDIRECT(ADDRESS(ROW($F54)-RSI_Periods +1, MATCH("Adj Close", Price_Header,0))): INDIRECT(ADDRESS(ROW($F54),MATCH("Adj Close", Price_Header,0)))))</f>
        <v>268.57714285714286</v>
      </c>
      <c r="K54" s="10">
        <f ca="1">IF(tbl_FDX[[#This Row],[BB_Mean]]="", "", tbl_FDX[[#This Row],[BB_Mean]]+(BB_Width*tbl_FDX[[#This Row],[BB_Stdev]]))</f>
        <v>290.50204465125177</v>
      </c>
      <c r="L54" s="127">
        <f ca="1">IF(tbl_FDX[[#This Row],[BB_Mean]]="", "", tbl_FDX[[#This Row],[BB_Mean]]-(BB_Width*tbl_FDX[[#This Row],[BB_Stdev]]))</f>
        <v>246.65224106303396</v>
      </c>
      <c r="M54" s="46">
        <f>IF(ROW(tbl_FDX[[#This Row],[Adj Close]])=5, 0, $F54-$F53)</f>
        <v>-1.8999999999999773</v>
      </c>
      <c r="N54" s="46">
        <f>MAX(tbl_FDX[[#This Row],[Move]],0)</f>
        <v>0</v>
      </c>
      <c r="O54" s="46">
        <f>MAX(-tbl_FDX[[#This Row],[Move]],0)</f>
        <v>1.8999999999999773</v>
      </c>
      <c r="P54" s="46">
        <f ca="1">IF(ROW($N54)-5&lt;RSI_Periods, "", AVERAGE(INDIRECT(ADDRESS(ROW($N54)-RSI_Periods +1, MATCH("Upmove", Price_Header,0))): INDIRECT(ADDRESS(ROW($N54),MATCH("Upmove", Price_Header,0)))))</f>
        <v>2.4007142857142845</v>
      </c>
      <c r="Q54" s="46">
        <f ca="1">IF(ROW($O54)-5&lt;RSI_Periods, "", AVERAGE(INDIRECT(ADDRESS(ROW($O54)-RSI_Periods +1, MATCH("Downmove", Price_Header,0))): INDIRECT(ADDRESS(ROW($O54),MATCH("Downmove", Price_Header,0)))))</f>
        <v>0.36714285714285416</v>
      </c>
      <c r="R54" s="46">
        <f ca="1">IF(tbl_FDX[[#This Row],[Avg_Upmove]]="", "", tbl_FDX[[#This Row],[Avg_Upmove]]/tbl_FDX[[#This Row],[Avg_Downmove]])</f>
        <v>6.5389105058366255</v>
      </c>
      <c r="S54" s="10">
        <f ca="1">IF(ROW($N54)-4&lt;BB_Periods, "", _xlfn.STDEV.S(INDIRECT(ADDRESS(ROW($F54)-RSI_Periods +1, MATCH("Adj Close", Price_Header,0))): INDIRECT(ADDRESS(ROW($F54),MATCH("Adj Close", Price_Header,0)))))</f>
        <v>10.962450897054445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SUBTOTAL(103,tbl_FDX[BB_Stdev])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35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2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2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2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2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2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2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2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2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2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2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2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2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2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2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2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2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2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25">
      <c r="A50" s="8">
        <v>44117</v>
      </c>
      <c r="B50">
        <v>23.72</v>
      </c>
      <c r="C50">
        <v>25.18</v>
      </c>
      <c r="D50">
        <v>23.7</v>
      </c>
      <c r="E50">
        <v>24.23</v>
      </c>
      <c r="F50">
        <v>24.23</v>
      </c>
      <c r="G50">
        <v>13004600</v>
      </c>
      <c r="H50" s="10">
        <f>IF(tbl_NKLA[[#This Row],[Date]]=$A$5, $F50, EMA_Beta*$H49 + (1-EMA_Beta)*$F50)</f>
        <v>25.867985041589474</v>
      </c>
      <c r="I50" s="46">
        <f ca="1">IF(tbl_NKLA[[#This Row],[RS]]= "", "", 100-(100/(1+tbl_NKLA[[#This Row],[RS]])))</f>
        <v>60.377358490566046</v>
      </c>
      <c r="J50" s="10">
        <f ca="1">IF(ROW($N50)-4&lt;BB_Periods, "", AVERAGE(INDIRECT(ADDRESS(ROW($F50)-RSI_Periods +1, MATCH("Adj Close", Price_Header,0))): INDIRECT(ADDRESS(ROW($F50),MATCH("Adj Close", Price_Header,0)))))</f>
        <v>22.549285714285713</v>
      </c>
      <c r="K50" s="10">
        <f ca="1">IF(tbl_NKLA[[#This Row],[BB_Mean]]="", "", tbl_NKLA[[#This Row],[BB_Mean]]+(BB_Width*tbl_NKLA[[#This Row],[BB_Stdev]]))</f>
        <v>27.866013824900172</v>
      </c>
      <c r="L50" s="10">
        <f ca="1">IF(tbl_NKLA[[#This Row],[BB_Mean]]="", "", tbl_NKLA[[#This Row],[BB_Mean]]-(BB_Width*tbl_NKLA[[#This Row],[BB_Stdev]]))</f>
        <v>17.232557603671253</v>
      </c>
      <c r="M50" s="46">
        <f>IF(ROW(tbl_NKLA[[#This Row],[Adj Close]])=5, 0, $F50-$F49)</f>
        <v>8.0000000000001847E-2</v>
      </c>
      <c r="N50" s="46">
        <f>MAX(tbl_NKLA[[#This Row],[Move]],0)</f>
        <v>8.0000000000001847E-2</v>
      </c>
      <c r="O50" s="46">
        <f>MAX(-tbl_NKLA[[#This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0.64</v>
      </c>
      <c r="Q50" s="46">
        <f ca="1">IF(ROW($O50)-5&lt;RSI_Periods, "", AVERAGE(INDIRECT(ADDRESS(ROW($O50)-RSI_Periods +1, MATCH("Downmove", Price_Header,0))): INDIRECT(ADDRESS(ROW($O50),MATCH("Downmove", Price_Header,0)))))</f>
        <v>0.41999999999999993</v>
      </c>
      <c r="R50" s="46">
        <f ca="1">IF(tbl_NKLA[[#This Row],[Avg_Upmove]]="", "", tbl_NKLA[[#This Row],[Avg_Upmove]]/tbl_NKLA[[#This Row],[Avg_Downmove]])</f>
        <v>1.5238095238095242</v>
      </c>
      <c r="S50" s="10">
        <f ca="1">IF(ROW($N50)-4&lt;BB_Periods, "", _xlfn.STDEV.S(INDIRECT(ADDRESS(ROW($F50)-RSI_Periods +1, MATCH("Adj Close", Price_Header,0))): INDIRECT(ADDRESS(ROW($F50),MATCH("Adj Close", Price_Header,0)))))</f>
        <v>2.6583640553072296</v>
      </c>
    </row>
    <row r="51" spans="1:19" x14ac:dyDescent="0.25">
      <c r="A51" s="8">
        <v>44118</v>
      </c>
      <c r="B51">
        <v>24.37</v>
      </c>
      <c r="C51">
        <v>24.69</v>
      </c>
      <c r="D51">
        <v>23.74</v>
      </c>
      <c r="E51">
        <v>24.11</v>
      </c>
      <c r="F51">
        <v>24.11</v>
      </c>
      <c r="G51">
        <v>8592400</v>
      </c>
      <c r="H51" s="10">
        <f>IF(tbl_NKLA[[#This Row],[Date]]=$A$5, $F51, EMA_Beta*$H50 + (1-EMA_Beta)*$F51)</f>
        <v>25.69218653743053</v>
      </c>
      <c r="I51" s="46">
        <f ca="1">IF(tbl_NKLA[[#This Row],[RS]]= "", "", 100-(100/(1+tbl_NKLA[[#This Row],[RS]])))</f>
        <v>69.403563129357067</v>
      </c>
      <c r="J51" s="10">
        <f ca="1">IF(ROW($N51)-4&lt;BB_Periods, "", AVERAGE(INDIRECT(ADDRESS(ROW($F51)-RSI_Periods +1, MATCH("Adj Close", Price_Header,0))): INDIRECT(ADDRESS(ROW($F51),MATCH("Adj Close", Price_Header,0)))))</f>
        <v>22.907142857142855</v>
      </c>
      <c r="K51" s="10">
        <f ca="1">IF(tbl_NKLA[[#This Row],[BB_Mean]]="", "", tbl_NKLA[[#This Row],[BB_Mean]]+(BB_Width*tbl_NKLA[[#This Row],[BB_Stdev]]))</f>
        <v>27.887568718275791</v>
      </c>
      <c r="L51" s="10">
        <f ca="1">IF(tbl_NKLA[[#This Row],[BB_Mean]]="", "", tbl_NKLA[[#This Row],[BB_Mean]]-(BB_Width*tbl_NKLA[[#This Row],[BB_Stdev]]))</f>
        <v>17.926716996009919</v>
      </c>
      <c r="M51" s="46">
        <f>IF(ROW(tbl_NKLA[[#This Row],[Adj Close]])=5, 0, $F51-$F50)</f>
        <v>-0.12000000000000099</v>
      </c>
      <c r="N51" s="46">
        <f>MAX(tbl_NKLA[[#This Row],[Move]],0)</f>
        <v>0</v>
      </c>
      <c r="O51" s="46">
        <f>MAX(-tbl_NKLA[[#This Row],[Move]],0)</f>
        <v>0.12000000000000099</v>
      </c>
      <c r="P51" s="46">
        <f ca="1">IF(ROW($N51)-5&lt;RSI_Periods, "", AVERAGE(INDIRECT(ADDRESS(ROW($N51)-RSI_Periods +1, MATCH("Upmove", Price_Header,0))): INDIRECT(ADDRESS(ROW($N51),MATCH("Upmove", Price_Header,0)))))</f>
        <v>0.64</v>
      </c>
      <c r="Q51" s="46">
        <f ca="1">IF(ROW($O51)-5&lt;RSI_Periods, "", AVERAGE(INDIRECT(ADDRESS(ROW($O51)-RSI_Periods +1, MATCH("Downmove", Price_Header,0))): INDIRECT(ADDRESS(ROW($O51),MATCH("Downmove", Price_Header,0)))))</f>
        <v>0.28214285714285736</v>
      </c>
      <c r="R51" s="46">
        <f ca="1">IF(tbl_NKLA[[#This Row],[Avg_Upmove]]="", "", tbl_NKLA[[#This Row],[Avg_Upmove]]/tbl_NKLA[[#This Row],[Avg_Downmove]])</f>
        <v>2.2683544303797452</v>
      </c>
      <c r="S51" s="10">
        <f ca="1">IF(ROW($N51)-4&lt;BB_Periods, "", _xlfn.STDEV.S(INDIRECT(ADDRESS(ROW($F51)-RSI_Periods +1, MATCH("Adj Close", Price_Header,0))): INDIRECT(ADDRESS(ROW($F51),MATCH("Adj Close", Price_Header,0)))))</f>
        <v>2.490212930566468</v>
      </c>
    </row>
    <row r="52" spans="1:19" x14ac:dyDescent="0.25">
      <c r="A52" s="8">
        <v>44119</v>
      </c>
      <c r="B52">
        <v>23.41</v>
      </c>
      <c r="C52">
        <v>23.5</v>
      </c>
      <c r="D52">
        <v>22.72</v>
      </c>
      <c r="E52">
        <v>23.3</v>
      </c>
      <c r="F52">
        <v>23.3</v>
      </c>
      <c r="G52">
        <v>8774500</v>
      </c>
      <c r="H52" s="10">
        <f>IF(tbl_NKLA[[#This Row],[Date]]=$A$5, $F52, EMA_Beta*$H51 + (1-EMA_Beta)*$F52)</f>
        <v>25.452967883687474</v>
      </c>
      <c r="I52" s="46">
        <f ca="1">IF(tbl_NKLA[[#This Row],[RS]]= "", "", 100-(100/(1+tbl_NKLA[[#This Row],[RS]])))</f>
        <v>64.371257485029929</v>
      </c>
      <c r="J52" s="10">
        <f ca="1">IF(ROW($N52)-4&lt;BB_Periods, "", AVERAGE(INDIRECT(ADDRESS(ROW($F52)-RSI_Periods +1, MATCH("Adj Close", Price_Header,0))): INDIRECT(ADDRESS(ROW($F52),MATCH("Adj Close", Price_Header,0)))))</f>
        <v>23.181428571428572</v>
      </c>
      <c r="K52" s="10">
        <f ca="1">IF(tbl_NKLA[[#This Row],[BB_Mean]]="", "", tbl_NKLA[[#This Row],[BB_Mean]]+(BB_Width*tbl_NKLA[[#This Row],[BB_Stdev]]))</f>
        <v>27.749995807817527</v>
      </c>
      <c r="L52" s="10">
        <f ca="1">IF(tbl_NKLA[[#This Row],[BB_Mean]]="", "", tbl_NKLA[[#This Row],[BB_Mean]]-(BB_Width*tbl_NKLA[[#This Row],[BB_Stdev]]))</f>
        <v>18.612861335039618</v>
      </c>
      <c r="M52" s="46">
        <f>IF(ROW(tbl_NKLA[[#This Row],[Adj Close]])=5, 0, $F52-$F51)</f>
        <v>-0.80999999999999872</v>
      </c>
      <c r="N52" s="46">
        <f>MAX(tbl_NKLA[[#This Row],[Move]],0)</f>
        <v>0</v>
      </c>
      <c r="O52" s="46">
        <f>MAX(-tbl_NKLA[[#This Row],[Move]],0)</f>
        <v>0.80999999999999872</v>
      </c>
      <c r="P52" s="46">
        <f ca="1">IF(ROW($N52)-5&lt;RSI_Periods, "", AVERAGE(INDIRECT(ADDRESS(ROW($N52)-RSI_Periods +1, MATCH("Upmove", Price_Header,0))): INDIRECT(ADDRESS(ROW($N52),MATCH("Upmove", Price_Header,0)))))</f>
        <v>0.61428571428571443</v>
      </c>
      <c r="Q52" s="46">
        <f ca="1">IF(ROW($O52)-5&lt;RSI_Periods, "", AVERAGE(INDIRECT(ADDRESS(ROW($O52)-RSI_Periods +1, MATCH("Downmove", Price_Header,0))): INDIRECT(ADDRESS(ROW($O52),MATCH("Downmove", Price_Header,0)))))</f>
        <v>0.34000000000000014</v>
      </c>
      <c r="R52" s="46">
        <f ca="1">IF(tbl_NKLA[[#This Row],[Avg_Upmove]]="", "", tbl_NKLA[[#This Row],[Avg_Upmove]]/tbl_NKLA[[#This Row],[Avg_Downmove]])</f>
        <v>1.8067226890756301</v>
      </c>
      <c r="S52" s="10">
        <f ca="1">IF(ROW($N52)-4&lt;BB_Periods, "", _xlfn.STDEV.S(INDIRECT(ADDRESS(ROW($F52)-RSI_Periods +1, MATCH("Adj Close", Price_Header,0))): INDIRECT(ADDRESS(ROW($F52),MATCH("Adj Close", Price_Header,0)))))</f>
        <v>2.2842836181944763</v>
      </c>
    </row>
    <row r="53" spans="1:19" x14ac:dyDescent="0.25">
      <c r="A53" s="8">
        <v>44120</v>
      </c>
      <c r="B53">
        <v>22.97</v>
      </c>
      <c r="C53">
        <v>23.18</v>
      </c>
      <c r="D53">
        <v>19.5</v>
      </c>
      <c r="E53">
        <v>19.55</v>
      </c>
      <c r="F53">
        <v>19.55</v>
      </c>
      <c r="G53">
        <v>38065500</v>
      </c>
      <c r="H53" s="10">
        <f>IF(tbl_NKLA[[#This Row],[Date]]=$A$5, $F53, EMA_Beta*$H52 + (1-EMA_Beta)*$F53)</f>
        <v>24.862671095318724</v>
      </c>
      <c r="I53" s="46">
        <f ca="1">IF(tbl_NKLA[[#This Row],[RS]]= "", "", 100-(100/(1+tbl_NKLA[[#This Row],[RS]])))</f>
        <v>50.737463126843657</v>
      </c>
      <c r="J53" s="10">
        <f ca="1">IF(ROW($N53)-4&lt;BB_Periods, "", AVERAGE(INDIRECT(ADDRESS(ROW($F53)-RSI_Periods +1, MATCH("Adj Close", Price_Header,0))): INDIRECT(ADDRESS(ROW($F53),MATCH("Adj Close", Price_Header,0)))))</f>
        <v>23.199285714285715</v>
      </c>
      <c r="K53" s="10">
        <f ca="1">IF(tbl_NKLA[[#This Row],[BB_Mean]]="", "", tbl_NKLA[[#This Row],[BB_Mean]]+(BB_Width*tbl_NKLA[[#This Row],[BB_Stdev]]))</f>
        <v>27.70400777886649</v>
      </c>
      <c r="L53" s="10">
        <f ca="1">IF(tbl_NKLA[[#This Row],[BB_Mean]]="", "", tbl_NKLA[[#This Row],[BB_Mean]]-(BB_Width*tbl_NKLA[[#This Row],[BB_Stdev]]))</f>
        <v>18.694563649704939</v>
      </c>
      <c r="M53" s="46">
        <f>IF(ROW(tbl_NKLA[[#This Row],[Adj Close]])=5, 0, $F53-$F52)</f>
        <v>-3.75</v>
      </c>
      <c r="N53" s="46">
        <f>MAX(tbl_NKLA[[#This Row],[Move]],0)</f>
        <v>0</v>
      </c>
      <c r="O53" s="46">
        <f>MAX(-tbl_NKLA[[#This Row],[Move]],0)</f>
        <v>3.75</v>
      </c>
      <c r="P53" s="46">
        <f ca="1">IF(ROW($N53)-5&lt;RSI_Periods, "", AVERAGE(INDIRECT(ADDRESS(ROW($N53)-RSI_Periods +1, MATCH("Upmove", Price_Header,0))): INDIRECT(ADDRESS(ROW($N53),MATCH("Upmove", Price_Header,0)))))</f>
        <v>0.61428571428571443</v>
      </c>
      <c r="Q53" s="46">
        <f ca="1">IF(ROW($O53)-5&lt;RSI_Periods, "", AVERAGE(INDIRECT(ADDRESS(ROW($O53)-RSI_Periods +1, MATCH("Downmove", Price_Header,0))): INDIRECT(ADDRESS(ROW($O53),MATCH("Downmove", Price_Header,0)))))</f>
        <v>0.59642857142857153</v>
      </c>
      <c r="R53" s="46">
        <f ca="1">IF(tbl_NKLA[[#This Row],[Avg_Upmove]]="", "", tbl_NKLA[[#This Row],[Avg_Upmove]]/tbl_NKLA[[#This Row],[Avg_Downmove]])</f>
        <v>1.0299401197604792</v>
      </c>
      <c r="S53" s="10">
        <f ca="1">IF(ROW($N53)-4&lt;BB_Periods, "", _xlfn.STDEV.S(INDIRECT(ADDRESS(ROW($F53)-RSI_Periods +1, MATCH("Adj Close", Price_Header,0))): INDIRECT(ADDRESS(ROW($F53),MATCH("Adj Close", Price_Header,0)))))</f>
        <v>2.2523610322903878</v>
      </c>
    </row>
    <row r="54" spans="1:19" x14ac:dyDescent="0.25">
      <c r="A54" s="8">
        <v>44123</v>
      </c>
      <c r="B54">
        <v>20.14</v>
      </c>
      <c r="C54">
        <v>21.79</v>
      </c>
      <c r="D54">
        <v>20.079999999999998</v>
      </c>
      <c r="E54">
        <v>20.46</v>
      </c>
      <c r="F54">
        <v>20.46</v>
      </c>
      <c r="G54">
        <v>25112100</v>
      </c>
      <c r="H54" s="10">
        <f>IF(tbl_NKLA[[#This Row],[Date]]=$A$5, $F54, EMA_Beta*$H53 + (1-EMA_Beta)*$F54)</f>
        <v>24.42240398578685</v>
      </c>
      <c r="I54" s="46">
        <f ca="1">IF(tbl_NKLA[[#This Row],[RS]]= "", "", 100-(100/(1+tbl_NKLA[[#This Row],[RS]])))</f>
        <v>57.846715328467155</v>
      </c>
      <c r="J54" s="10">
        <f ca="1">IF(ROW($N54)-4&lt;BB_Periods, "", AVERAGE(INDIRECT(ADDRESS(ROW($F54)-RSI_Periods +1, MATCH("Adj Close", Price_Header,0))): INDIRECT(ADDRESS(ROW($F54),MATCH("Adj Close", Price_Header,0)))))</f>
        <v>23.383571428571429</v>
      </c>
      <c r="K54" s="10">
        <f ca="1">IF(tbl_NKLA[[#This Row],[BB_Mean]]="", "", tbl_NKLA[[#This Row],[BB_Mean]]+(BB_Width*tbl_NKLA[[#This Row],[BB_Stdev]]))</f>
        <v>27.091530495168637</v>
      </c>
      <c r="L54" s="10">
        <f ca="1">IF(tbl_NKLA[[#This Row],[BB_Mean]]="", "", tbl_NKLA[[#This Row],[BB_Mean]]-(BB_Width*tbl_NKLA[[#This Row],[BB_Stdev]]))</f>
        <v>19.67561236197422</v>
      </c>
      <c r="M54" s="46">
        <f>IF(ROW(tbl_NKLA[[#This Row],[Adj Close]])=5, 0, $F54-$F53)</f>
        <v>0.91000000000000014</v>
      </c>
      <c r="N54" s="46">
        <f>MAX(tbl_NKLA[[#This Row],[Move]],0)</f>
        <v>0.91000000000000014</v>
      </c>
      <c r="O54" s="46">
        <f>MAX(-tbl_NKLA[[#This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0.67928571428571438</v>
      </c>
      <c r="Q54" s="46">
        <f ca="1">IF(ROW($O54)-5&lt;RSI_Periods, "", AVERAGE(INDIRECT(ADDRESS(ROW($O54)-RSI_Periods +1, MATCH("Downmove", Price_Header,0))): INDIRECT(ADDRESS(ROW($O54),MATCH("Downmove", Price_Header,0)))))</f>
        <v>0.495</v>
      </c>
      <c r="R54" s="46">
        <f ca="1">IF(tbl_NKLA[[#This Row],[Avg_Upmove]]="", "", tbl_NKLA[[#This Row],[Avg_Upmove]]/tbl_NKLA[[#This Row],[Avg_Downmove]])</f>
        <v>1.3722943722943726</v>
      </c>
      <c r="S54" s="10">
        <f ca="1">IF(ROW($N54)-4&lt;BB_Periods, "", _xlfn.STDEV.S(INDIRECT(ADDRESS(ROW($F54)-RSI_Periods +1, MATCH("Adj Close", Price_Header,0))): INDIRECT(ADDRESS(ROW($F54),MATCH("Adj Close", Price_Header,0)))))</f>
        <v>1.8539795332986035</v>
      </c>
    </row>
    <row r="55" spans="1:19" x14ac:dyDescent="0.25">
      <c r="A55" t="s">
        <v>162</v>
      </c>
      <c r="H55" s="61"/>
      <c r="J55" s="61"/>
      <c r="K55" s="61"/>
      <c r="L55" s="61"/>
      <c r="S55" s="61">
        <f ca="1">SUBTOTAL(103,tbl_NKLA[BB_Stdev])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46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254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2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2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2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2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2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2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2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2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2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2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2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2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2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2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2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2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2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25">
      <c r="A50" s="8">
        <v>44117</v>
      </c>
      <c r="B50" s="10">
        <v>4.92</v>
      </c>
      <c r="C50" s="10">
        <v>5.05</v>
      </c>
      <c r="D50" s="10">
        <v>4.91</v>
      </c>
      <c r="E50" s="10">
        <v>5.01</v>
      </c>
      <c r="F50" s="10">
        <v>5.01</v>
      </c>
      <c r="G50">
        <v>29948400</v>
      </c>
      <c r="H50" s="10">
        <f>IF(tbl_SPXS[[#This Row],[Date]]=$A$5, $F50, EMA_Beta*$H49 + (1-EMA_Beta)*$F50)</f>
        <v>5.5457726317012881</v>
      </c>
      <c r="I50" s="46">
        <f ca="1">IF(tbl_SPXS[[#This Row],[RS]]= "", "", 100-(100/(1+tbl_SPXS[[#This Row],[RS]])))</f>
        <v>22.471910112359538</v>
      </c>
      <c r="J50" s="10">
        <f ca="1">IF(ROW($N50)-4&lt;BB_Periods, "", AVERAGE(INDIRECT(ADDRESS(ROW($F50)-RSI_Periods +1, MATCH("Adj Close", Price_Header,0))): INDIRECT(ADDRESS(ROW($F50),MATCH("Adj Close", Price_Header,0)))))</f>
        <v>5.607857142857144</v>
      </c>
      <c r="K50" s="10">
        <f ca="1">IF(tbl_SPXS[[#This Row],[BB_Mean]]="", "", tbl_SPXS[[#This Row],[BB_Mean]]+(BB_Width*tbl_SPXS[[#This Row],[BB_Stdev]]))</f>
        <v>6.4512268882669064</v>
      </c>
      <c r="L50" s="10">
        <f ca="1">IF(tbl_SPXS[[#This Row],[BB_Mean]]="", "", tbl_SPXS[[#This Row],[BB_Mean]]-(BB_Width*tbl_SPXS[[#This Row],[BB_Stdev]]))</f>
        <v>4.7644873974473816</v>
      </c>
      <c r="M50" s="46">
        <f>IF(ROW(tbl_SPXS[[#This Row],[Adj Close]])=5, 0, $F50-$F49)</f>
        <v>0.10999999999999943</v>
      </c>
      <c r="N50" s="46">
        <f>MAX(tbl_SPXS[[#This Row],[Move]],0)</f>
        <v>0.10999999999999943</v>
      </c>
      <c r="O50" s="46">
        <f>MAX(-tbl_SPXS[[#This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4.285714285714283E-2</v>
      </c>
      <c r="Q50" s="46">
        <f ca="1">IF(ROW($O50)-5&lt;RSI_Periods, "", AVERAGE(INDIRECT(ADDRESS(ROW($O50)-RSI_Periods +1, MATCH("Downmove", Price_Header,0))): INDIRECT(ADDRESS(ROW($O50),MATCH("Downmove", Price_Header,0)))))</f>
        <v>0.14785714285714288</v>
      </c>
      <c r="R50" s="46">
        <f ca="1">IF(tbl_SPXS[[#This Row],[Avg_Upmove]]="", "", tbl_SPXS[[#This Row],[Avg_Upmove]]/tbl_SPXS[[#This Row],[Avg_Downmove]])</f>
        <v>0.2898550724637679</v>
      </c>
      <c r="S50" s="10">
        <f ca="1">IF(ROW($N50)-4&lt;BB_Periods, "", _xlfn.STDEV.S(INDIRECT(ADDRESS(ROW($F50)-RSI_Periods +1, MATCH("Adj Close", Price_Header,0))): INDIRECT(ADDRESS(ROW($F50),MATCH("Adj Close", Price_Header,0)))))</f>
        <v>0.42168487270488109</v>
      </c>
    </row>
    <row r="51" spans="1:19" x14ac:dyDescent="0.25">
      <c r="A51" s="8">
        <v>44118</v>
      </c>
      <c r="B51" s="10">
        <v>4.97</v>
      </c>
      <c r="C51" s="10">
        <v>5.13</v>
      </c>
      <c r="D51" s="10">
        <v>4.92</v>
      </c>
      <c r="E51" s="10">
        <v>5.09</v>
      </c>
      <c r="F51" s="10">
        <v>5.09</v>
      </c>
      <c r="G51">
        <v>32484200</v>
      </c>
      <c r="H51" s="10">
        <f>IF(tbl_SPXS[[#This Row],[Date]]=$A$5, $F51, EMA_Beta*$H50 + (1-EMA_Beta)*$F51)</f>
        <v>5.5001953685311591</v>
      </c>
      <c r="I51" s="46">
        <f ca="1">IF(tbl_SPXS[[#This Row],[RS]]= "", "", 100-(100/(1+tbl_SPXS[[#This Row],[RS]])))</f>
        <v>25.373134328358205</v>
      </c>
      <c r="J51" s="10">
        <f ca="1">IF(ROW($N51)-4&lt;BB_Periods, "", AVERAGE(INDIRECT(ADDRESS(ROW($F51)-RSI_Periods +1, MATCH("Adj Close", Price_Header,0))): INDIRECT(ADDRESS(ROW($F51),MATCH("Adj Close", Price_Header,0)))))</f>
        <v>5.5135714285714288</v>
      </c>
      <c r="K51" s="10">
        <f ca="1">IF(tbl_SPXS[[#This Row],[BB_Mean]]="", "", tbl_SPXS[[#This Row],[BB_Mean]]+(BB_Width*tbl_SPXS[[#This Row],[BB_Stdev]]))</f>
        <v>6.2602402210854091</v>
      </c>
      <c r="L51" s="10">
        <f ca="1">IF(tbl_SPXS[[#This Row],[BB_Mean]]="", "", tbl_SPXS[[#This Row],[BB_Mean]]-(BB_Width*tbl_SPXS[[#This Row],[BB_Stdev]]))</f>
        <v>4.7669026360574485</v>
      </c>
      <c r="M51" s="46">
        <f>IF(ROW(tbl_SPXS[[#This Row],[Adj Close]])=5, 0, $F51-$F50)</f>
        <v>8.0000000000000071E-2</v>
      </c>
      <c r="N51" s="46">
        <f>MAX(tbl_SPXS[[#This Row],[Move]],0)</f>
        <v>8.0000000000000071E-2</v>
      </c>
      <c r="O51" s="46">
        <f>MAX(-tbl_SPXS[[#This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4.857142857142855E-2</v>
      </c>
      <c r="Q51" s="46">
        <f ca="1">IF(ROW($O51)-5&lt;RSI_Periods, "", AVERAGE(INDIRECT(ADDRESS(ROW($O51)-RSI_Periods +1, MATCH("Downmove", Price_Header,0))): INDIRECT(ADDRESS(ROW($O51),MATCH("Downmove", Price_Header,0)))))</f>
        <v>0.14285714285714285</v>
      </c>
      <c r="R51" s="46">
        <f ca="1">IF(tbl_SPXS[[#This Row],[Avg_Upmove]]="", "", tbl_SPXS[[#This Row],[Avg_Upmove]]/tbl_SPXS[[#This Row],[Avg_Downmove]])</f>
        <v>0.33999999999999986</v>
      </c>
      <c r="S51" s="10">
        <f ca="1">IF(ROW($N51)-4&lt;BB_Periods, "", _xlfn.STDEV.S(INDIRECT(ADDRESS(ROW($F51)-RSI_Periods +1, MATCH("Adj Close", Price_Header,0))): INDIRECT(ADDRESS(ROW($F51),MATCH("Adj Close", Price_Header,0)))))</f>
        <v>0.37333439625699011</v>
      </c>
    </row>
    <row r="52" spans="1:19" x14ac:dyDescent="0.25">
      <c r="A52" s="8">
        <v>44119</v>
      </c>
      <c r="B52" s="10">
        <v>5.29</v>
      </c>
      <c r="C52" s="10">
        <v>5.31</v>
      </c>
      <c r="D52" s="10">
        <v>5.09</v>
      </c>
      <c r="E52" s="10">
        <v>5.12</v>
      </c>
      <c r="F52" s="10">
        <v>5.12</v>
      </c>
      <c r="G52">
        <v>32052100</v>
      </c>
      <c r="H52" s="10">
        <f>IF(tbl_SPXS[[#This Row],[Date]]=$A$5, $F52, EMA_Beta*$H51 + (1-EMA_Beta)*$F52)</f>
        <v>5.4621758316780431</v>
      </c>
      <c r="I52" s="46">
        <f ca="1">IF(tbl_SPXS[[#This Row],[RS]]= "", "", 100-(100/(1+tbl_SPXS[[#This Row],[RS]])))</f>
        <v>29.583333333333343</v>
      </c>
      <c r="J52" s="10">
        <f ca="1">IF(ROW($N52)-4&lt;BB_Periods, "", AVERAGE(INDIRECT(ADDRESS(ROW($F52)-RSI_Periods +1, MATCH("Adj Close", Price_Header,0))): INDIRECT(ADDRESS(ROW($F52),MATCH("Adj Close", Price_Header,0)))))</f>
        <v>5.4435714285714285</v>
      </c>
      <c r="K52" s="10">
        <f ca="1">IF(tbl_SPXS[[#This Row],[BB_Mean]]="", "", tbl_SPXS[[#This Row],[BB_Mean]]+(BB_Width*tbl_SPXS[[#This Row],[BB_Stdev]]))</f>
        <v>6.1351296309324059</v>
      </c>
      <c r="L52" s="10">
        <f ca="1">IF(tbl_SPXS[[#This Row],[BB_Mean]]="", "", tbl_SPXS[[#This Row],[BB_Mean]]-(BB_Width*tbl_SPXS[[#This Row],[BB_Stdev]]))</f>
        <v>4.7520132262104511</v>
      </c>
      <c r="M52" s="46">
        <f>IF(ROW(tbl_SPXS[[#This Row],[Adj Close]])=5, 0, $F52-$F51)</f>
        <v>3.0000000000000249E-2</v>
      </c>
      <c r="N52" s="46">
        <f>MAX(tbl_SPXS[[#This Row],[Move]],0)</f>
        <v>3.0000000000000249E-2</v>
      </c>
      <c r="O52" s="46">
        <f>MAX(-tbl_SPXS[[#This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5.0714285714285712E-2</v>
      </c>
      <c r="Q52" s="46">
        <f ca="1">IF(ROW($O52)-5&lt;RSI_Periods, "", AVERAGE(INDIRECT(ADDRESS(ROW($O52)-RSI_Periods +1, MATCH("Downmove", Price_Header,0))): INDIRECT(ADDRESS(ROW($O52),MATCH("Downmove", Price_Header,0)))))</f>
        <v>0.12071428571428568</v>
      </c>
      <c r="R52" s="46">
        <f ca="1">IF(tbl_SPXS[[#This Row],[Avg_Upmove]]="", "", tbl_SPXS[[#This Row],[Avg_Upmove]]/tbl_SPXS[[#This Row],[Avg_Downmove]])</f>
        <v>0.42011834319526636</v>
      </c>
      <c r="S52" s="10">
        <f ca="1">IF(ROW($N52)-4&lt;BB_Periods, "", _xlfn.STDEV.S(INDIRECT(ADDRESS(ROW($F52)-RSI_Periods +1, MATCH("Adj Close", Price_Header,0))): INDIRECT(ADDRESS(ROW($F52),MATCH("Adj Close", Price_Header,0)))))</f>
        <v>0.34577910118048882</v>
      </c>
    </row>
    <row r="53" spans="1:19" x14ac:dyDescent="0.25">
      <c r="A53" s="8">
        <v>44120</v>
      </c>
      <c r="B53" s="10">
        <v>5.05</v>
      </c>
      <c r="C53" s="10">
        <v>5.13</v>
      </c>
      <c r="D53" s="10">
        <v>4.97</v>
      </c>
      <c r="E53" s="10">
        <v>5.13</v>
      </c>
      <c r="F53" s="10">
        <v>5.13</v>
      </c>
      <c r="G53">
        <v>23461300</v>
      </c>
      <c r="H53" s="10">
        <f>IF(tbl_SPXS[[#This Row],[Date]]=$A$5, $F53, EMA_Beta*$H52 + (1-EMA_Beta)*$F53)</f>
        <v>5.4289582485102388</v>
      </c>
      <c r="I53" s="46">
        <f ca="1">IF(tbl_SPXS[[#This Row],[RS]]= "", "", 100-(100/(1+tbl_SPXS[[#This Row],[RS]])))</f>
        <v>33.962264150943398</v>
      </c>
      <c r="J53" s="10">
        <f ca="1">IF(ROW($N53)-4&lt;BB_Periods, "", AVERAGE(INDIRECT(ADDRESS(ROW($F53)-RSI_Periods +1, MATCH("Adj Close", Price_Header,0))): INDIRECT(ADDRESS(ROW($F53),MATCH("Adj Close", Price_Header,0)))))</f>
        <v>5.3949999999999987</v>
      </c>
      <c r="K53" s="10">
        <f ca="1">IF(tbl_SPXS[[#This Row],[BB_Mean]]="", "", tbl_SPXS[[#This Row],[BB_Mean]]+(BB_Width*tbl_SPXS[[#This Row],[BB_Stdev]]))</f>
        <v>6.071040508572354</v>
      </c>
      <c r="L53" s="10">
        <f ca="1">IF(tbl_SPXS[[#This Row],[BB_Mean]]="", "", tbl_SPXS[[#This Row],[BB_Mean]]-(BB_Width*tbl_SPXS[[#This Row],[BB_Stdev]]))</f>
        <v>4.7189594914276434</v>
      </c>
      <c r="M53" s="46">
        <f>IF(ROW(tbl_SPXS[[#This Row],[Adj Close]])=5, 0, $F53-$F52)</f>
        <v>9.9999999999997868E-3</v>
      </c>
      <c r="N53" s="46">
        <f>MAX(tbl_SPXS[[#This Row],[Move]],0)</f>
        <v>9.9999999999997868E-3</v>
      </c>
      <c r="O53" s="46">
        <f>MAX(-tbl_SPXS[[#This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5.1428571428571414E-2</v>
      </c>
      <c r="Q53" s="46">
        <f ca="1">IF(ROW($O53)-5&lt;RSI_Periods, "", AVERAGE(INDIRECT(ADDRESS(ROW($O53)-RSI_Periods +1, MATCH("Downmove", Price_Header,0))): INDIRECT(ADDRESS(ROW($O53),MATCH("Downmove", Price_Header,0)))))</f>
        <v>9.9999999999999964E-2</v>
      </c>
      <c r="R53" s="46">
        <f ca="1">IF(tbl_SPXS[[#This Row],[Avg_Upmove]]="", "", tbl_SPXS[[#This Row],[Avg_Upmove]]/tbl_SPXS[[#This Row],[Avg_Downmove]])</f>
        <v>0.51428571428571435</v>
      </c>
      <c r="S53" s="10">
        <f ca="1">IF(ROW($N53)-4&lt;BB_Periods, "", _xlfn.STDEV.S(INDIRECT(ADDRESS(ROW($F53)-RSI_Periods +1, MATCH("Adj Close", Price_Header,0))): INDIRECT(ADDRESS(ROW($F53),MATCH("Adj Close", Price_Header,0)))))</f>
        <v>0.33802025428617771</v>
      </c>
    </row>
    <row r="54" spans="1:19" x14ac:dyDescent="0.25">
      <c r="A54" s="8">
        <v>44123</v>
      </c>
      <c r="B54" s="10">
        <v>5.0599999999999996</v>
      </c>
      <c r="C54" s="10">
        <v>5.4</v>
      </c>
      <c r="D54" s="10">
        <v>5.03</v>
      </c>
      <c r="E54" s="10">
        <v>5.36</v>
      </c>
      <c r="F54" s="10">
        <v>5.36</v>
      </c>
      <c r="G54">
        <v>28330900</v>
      </c>
      <c r="H54" s="10">
        <f>IF(tbl_SPXS[[#This Row],[Date]]=$A$5, $F54, EMA_Beta*$H53 + (1-EMA_Beta)*$F54)</f>
        <v>5.4220624236592148</v>
      </c>
      <c r="I54" s="46">
        <f ca="1">IF(tbl_SPXS[[#This Row],[RS]]= "", "", 100-(100/(1+tbl_SPXS[[#This Row],[RS]])))</f>
        <v>37.777777777777779</v>
      </c>
      <c r="J54" s="10">
        <f ca="1">IF(ROW($N54)-4&lt;BB_Periods, "", AVERAGE(INDIRECT(ADDRESS(ROW($F54)-RSI_Periods +1, MATCH("Adj Close", Price_Header,0))): INDIRECT(ADDRESS(ROW($F54),MATCH("Adj Close", Price_Header,0)))))</f>
        <v>5.355714285714285</v>
      </c>
      <c r="K54" s="10">
        <f ca="1">IF(tbl_SPXS[[#This Row],[BB_Mean]]="", "", tbl_SPXS[[#This Row],[BB_Mean]]+(BB_Width*tbl_SPXS[[#This Row],[BB_Stdev]]))</f>
        <v>5.9632927978027626</v>
      </c>
      <c r="L54" s="10">
        <f ca="1">IF(tbl_SPXS[[#This Row],[BB_Mean]]="", "", tbl_SPXS[[#This Row],[BB_Mean]]-(BB_Width*tbl_SPXS[[#This Row],[BB_Stdev]]))</f>
        <v>4.7481357736258074</v>
      </c>
      <c r="M54" s="46">
        <f>IF(ROW(tbl_SPXS[[#This Row],[Adj Close]])=5, 0, $F54-$F53)</f>
        <v>0.23000000000000043</v>
      </c>
      <c r="N54" s="46">
        <f>MAX(tbl_SPXS[[#This Row],[Move]],0)</f>
        <v>0.23000000000000043</v>
      </c>
      <c r="O54" s="46">
        <f>MAX(-tbl_SPXS[[#This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6.0714285714285686E-2</v>
      </c>
      <c r="Q54" s="46">
        <f ca="1">IF(ROW($O54)-5&lt;RSI_Periods, "", AVERAGE(INDIRECT(ADDRESS(ROW($O54)-RSI_Periods +1, MATCH("Downmove", Price_Header,0))): INDIRECT(ADDRESS(ROW($O54),MATCH("Downmove", Price_Header,0)))))</f>
        <v>9.9999999999999964E-2</v>
      </c>
      <c r="R54" s="46">
        <f ca="1">IF(tbl_SPXS[[#This Row],[Avg_Upmove]]="", "", tbl_SPXS[[#This Row],[Avg_Upmove]]/tbl_SPXS[[#This Row],[Avg_Downmove]])</f>
        <v>0.6071428571428571</v>
      </c>
      <c r="S54" s="10">
        <f ca="1">IF(ROW($N54)-4&lt;BB_Periods, "", _xlfn.STDEV.S(INDIRECT(ADDRESS(ROW($F54)-RSI_Periods +1, MATCH("Adj Close", Price_Header,0))): INDIRECT(ADDRESS(ROW($F54),MATCH("Adj Close", Price_Header,0)))))</f>
        <v>0.30378925604423873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SUBTOTAL(103,tbl_SPXS[BB_Stdev])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40" workbookViewId="0">
      <selection activeCell="S16" sqref="S16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319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85.050003000000004</v>
      </c>
      <c r="C5" s="10">
        <v>85.160004000000001</v>
      </c>
      <c r="D5" s="10">
        <v>79.319999999999993</v>
      </c>
      <c r="E5" s="10">
        <v>82.239998</v>
      </c>
      <c r="F5" s="10">
        <v>82.239998</v>
      </c>
      <c r="G5">
        <v>70536100</v>
      </c>
      <c r="H5" s="10">
        <f>IF(tbl_AMD[[#This Row],[Date]]=$A$5, $F5, EMA_Beta*$H4 + (1-EMA_Beta)*$F5)</f>
        <v>82.239998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80.709998999999996</v>
      </c>
      <c r="C6" s="10">
        <v>80.709998999999996</v>
      </c>
      <c r="D6" s="10">
        <v>76.099997999999999</v>
      </c>
      <c r="E6" s="10">
        <v>76.879997000000003</v>
      </c>
      <c r="F6" s="10">
        <v>76.879997000000003</v>
      </c>
      <c r="G6">
        <v>77877700</v>
      </c>
      <c r="H6" s="10">
        <f>IF(tbl_AMD[[#This Row],[Date]]=$A$5, $F6, EMA_Beta*$H5 + (1-EMA_Beta)*$F6)</f>
        <v>81.70399789999999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-5.3600009999999969</v>
      </c>
      <c r="N6" s="46">
        <f>MAX(tbl_AMD[[#This Row],[Move]],0)</f>
        <v>0</v>
      </c>
      <c r="O6" s="46">
        <f>MAX(-tbl_AMD[[#This Row],[Move]],0)</f>
        <v>5.3600009999999969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78.430000000000007</v>
      </c>
      <c r="C7" s="10">
        <v>82.879997000000003</v>
      </c>
      <c r="D7" s="10">
        <v>77.550003000000004</v>
      </c>
      <c r="E7" s="10">
        <v>82.610000999999997</v>
      </c>
      <c r="F7" s="10">
        <v>82.610000999999997</v>
      </c>
      <c r="G7">
        <v>88607800</v>
      </c>
      <c r="H7" s="10">
        <f>IF(tbl_AMD[[#This Row],[Date]]=$A$5, $F7, EMA_Beta*$H6 + (1-EMA_Beta)*$F7)</f>
        <v>81.794598210000004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5.7300039999999939</v>
      </c>
      <c r="N7" s="46">
        <f>MAX(tbl_AMD[[#This Row],[Move]],0)</f>
        <v>5.7300039999999939</v>
      </c>
      <c r="O7" s="46">
        <f>MAX(-tbl_AMD[[#This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82.879997000000003</v>
      </c>
      <c r="C8" s="10">
        <v>84.019997000000004</v>
      </c>
      <c r="D8" s="10">
        <v>81.540001000000004</v>
      </c>
      <c r="E8" s="10">
        <v>81.839995999999999</v>
      </c>
      <c r="F8" s="10">
        <v>81.839995999999999</v>
      </c>
      <c r="G8">
        <v>57407400</v>
      </c>
      <c r="H8" s="10">
        <f>IF(tbl_AMD[[#This Row],[Date]]=$A$5, $F8, EMA_Beta*$H7 + (1-EMA_Beta)*$F8)</f>
        <v>81.799137989000002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-0.77000499999999761</v>
      </c>
      <c r="N8" s="46">
        <f>MAX(tbl_AMD[[#This Row],[Move]],0)</f>
        <v>0</v>
      </c>
      <c r="O8" s="46">
        <f>MAX(-tbl_AMD[[#This Row],[Move]],0)</f>
        <v>0.77000499999999761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81.809997999999993</v>
      </c>
      <c r="C9" s="10">
        <v>83.239998</v>
      </c>
      <c r="D9" s="10">
        <v>80.879997000000003</v>
      </c>
      <c r="E9" s="10">
        <v>81.300003000000004</v>
      </c>
      <c r="F9" s="10">
        <v>81.300003000000004</v>
      </c>
      <c r="G9">
        <v>42389500</v>
      </c>
      <c r="H9" s="10">
        <f>IF(tbl_AMD[[#This Row],[Date]]=$A$5, $F9, EMA_Beta*$H8 + (1-EMA_Beta)*$F9)</f>
        <v>81.749224490100005</v>
      </c>
      <c r="I9" s="46" t="str">
        <f ca="1">IF(tbl_AMD[[#This Row],[RS]]= "", "", 100-(100/(1+tbl_AMD[[#This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IF(tbl_AMD[[#This Row],[BB_Mean]]="", "", tbl_AMD[[#This Row],[BB_Mean]]+(BB_Width*tbl_AMD[[#This Row],[BB_Stdev]]))</f>
        <v/>
      </c>
      <c r="L9" s="10" t="str">
        <f ca="1">IF(tbl_AMD[[#This Row],[BB_Mean]]="", "", tbl_AMD[[#This Row],[BB_Mean]]-(BB_Width*tbl_AMD[[#This Row],[BB_Stdev]]))</f>
        <v/>
      </c>
      <c r="M9" s="46">
        <f>IF(ROW(tbl_AMD[[#This Row],[Adj Close]])=5, 0, $F9-$F8)</f>
        <v>-0.5399929999999955</v>
      </c>
      <c r="N9" s="46">
        <f>MAX(tbl_AMD[[#This Row],[Move]],0)</f>
        <v>0</v>
      </c>
      <c r="O9" s="46">
        <f>MAX(-tbl_AMD[[#This Row],[Move]],0)</f>
        <v>0.5399929999999955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IF(tbl_AMD[[#This Row],[Avg_Upmove]]="", "", tbl_AMD[[#This Row],[Avg_Upmove]]/tbl_AMD[[#This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82.089995999999999</v>
      </c>
      <c r="C10" s="10">
        <v>83.059997999999993</v>
      </c>
      <c r="D10" s="10">
        <v>81.550003000000004</v>
      </c>
      <c r="E10" s="10">
        <v>82.419998000000007</v>
      </c>
      <c r="F10" s="10">
        <v>82.419998000000007</v>
      </c>
      <c r="G10">
        <v>31450200</v>
      </c>
      <c r="H10" s="10">
        <f>IF(tbl_AMD[[#This Row],[Date]]=$A$5, $F10, EMA_Beta*$H9 + (1-EMA_Beta)*$F10)</f>
        <v>81.816301841090009</v>
      </c>
      <c r="I10" s="46" t="str">
        <f ca="1">IF(tbl_AMD[[#This Row],[RS]]= "", "", 100-(100/(1+tbl_AMD[[#This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IF(tbl_AMD[[#This Row],[BB_Mean]]="", "", tbl_AMD[[#This Row],[BB_Mean]]+(BB_Width*tbl_AMD[[#This Row],[BB_Stdev]]))</f>
        <v/>
      </c>
      <c r="L10" s="10" t="str">
        <f ca="1">IF(tbl_AMD[[#This Row],[BB_Mean]]="", "", tbl_AMD[[#This Row],[BB_Mean]]-(BB_Width*tbl_AMD[[#This Row],[BB_Stdev]]))</f>
        <v/>
      </c>
      <c r="M10" s="46">
        <f>IF(ROW(tbl_AMD[[#This Row],[Adj Close]])=5, 0, $F10-$F9)</f>
        <v>1.119995000000003</v>
      </c>
      <c r="N10" s="46">
        <f>MAX(tbl_AMD[[#This Row],[Move]],0)</f>
        <v>1.119995000000003</v>
      </c>
      <c r="O10" s="46">
        <f>MAX(-tbl_AMD[[#This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IF(tbl_AMD[[#This Row],[Avg_Upmove]]="", "", tbl_AMD[[#This Row],[Avg_Upmove]]/tbl_AMD[[#This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82.800003000000004</v>
      </c>
      <c r="C11" s="10">
        <v>82.879997000000003</v>
      </c>
      <c r="D11" s="10">
        <v>81.029999000000004</v>
      </c>
      <c r="E11" s="10">
        <v>81.660004000000001</v>
      </c>
      <c r="F11" s="10">
        <v>81.660004000000001</v>
      </c>
      <c r="G11">
        <v>30970500</v>
      </c>
      <c r="H11" s="10">
        <f>IF(tbl_AMD[[#This Row],[Date]]=$A$5, $F11, EMA_Beta*$H10 + (1-EMA_Beta)*$F11)</f>
        <v>81.800672056981014</v>
      </c>
      <c r="I11" s="46" t="str">
        <f ca="1">IF(tbl_AMD[[#This Row],[RS]]= "", "", 100-(100/(1+tbl_AMD[[#This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IF(tbl_AMD[[#This Row],[BB_Mean]]="", "", tbl_AMD[[#This Row],[BB_Mean]]+(BB_Width*tbl_AMD[[#This Row],[BB_Stdev]]))</f>
        <v/>
      </c>
      <c r="L11" s="10" t="str">
        <f ca="1">IF(tbl_AMD[[#This Row],[BB_Mean]]="", "", tbl_AMD[[#This Row],[BB_Mean]]-(BB_Width*tbl_AMD[[#This Row],[BB_Stdev]]))</f>
        <v/>
      </c>
      <c r="M11" s="46">
        <f>IF(ROW(tbl_AMD[[#This Row],[Adj Close]])=5, 0, $F11-$F10)</f>
        <v>-0.75999400000000605</v>
      </c>
      <c r="N11" s="46">
        <f>MAX(tbl_AMD[[#This Row],[Move]],0)</f>
        <v>0</v>
      </c>
      <c r="O11" s="46">
        <f>MAX(-tbl_AMD[[#This Row],[Move]],0)</f>
        <v>0.75999400000000605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IF(tbl_AMD[[#This Row],[Avg_Upmove]]="", "", tbl_AMD[[#This Row],[Avg_Upmove]]/tbl_AMD[[#This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81.779999000000004</v>
      </c>
      <c r="C12" s="10">
        <v>81.849997999999999</v>
      </c>
      <c r="D12" s="10">
        <v>80.449996999999996</v>
      </c>
      <c r="E12" s="10">
        <v>81.089995999999999</v>
      </c>
      <c r="F12" s="10">
        <v>81.089995999999999</v>
      </c>
      <c r="G12">
        <v>37507400</v>
      </c>
      <c r="H12" s="10">
        <f>IF(tbl_AMD[[#This Row],[Date]]=$A$5, $F12, EMA_Beta*$H11 + (1-EMA_Beta)*$F12)</f>
        <v>81.729604451282924</v>
      </c>
      <c r="I12" s="46" t="str">
        <f ca="1">IF(tbl_AMD[[#This Row],[RS]]= "", "", 100-(100/(1+tbl_AMD[[#This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IF(tbl_AMD[[#This Row],[BB_Mean]]="", "", tbl_AMD[[#This Row],[BB_Mean]]+(BB_Width*tbl_AMD[[#This Row],[BB_Stdev]]))</f>
        <v/>
      </c>
      <c r="L12" s="10" t="str">
        <f ca="1">IF(tbl_AMD[[#This Row],[BB_Mean]]="", "", tbl_AMD[[#This Row],[BB_Mean]]-(BB_Width*tbl_AMD[[#This Row],[BB_Stdev]]))</f>
        <v/>
      </c>
      <c r="M12" s="46">
        <f>IF(ROW(tbl_AMD[[#This Row],[Adj Close]])=5, 0, $F12-$F11)</f>
        <v>-0.5700080000000014</v>
      </c>
      <c r="N12" s="46">
        <f>MAX(tbl_AMD[[#This Row],[Move]],0)</f>
        <v>0</v>
      </c>
      <c r="O12" s="46">
        <f>MAX(-tbl_AMD[[#This Row],[Move]],0)</f>
        <v>0.5700080000000014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IF(tbl_AMD[[#This Row],[Avg_Upmove]]="", "", tbl_AMD[[#This Row],[Avg_Upmove]]/tbl_AMD[[#This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79.739998</v>
      </c>
      <c r="C13" s="10">
        <v>82.839995999999999</v>
      </c>
      <c r="D13" s="10">
        <v>79.120002999999997</v>
      </c>
      <c r="E13" s="10">
        <v>82.769997000000004</v>
      </c>
      <c r="F13" s="10">
        <v>82.769997000000004</v>
      </c>
      <c r="G13">
        <v>42948900</v>
      </c>
      <c r="H13" s="10">
        <f>IF(tbl_AMD[[#This Row],[Date]]=$A$5, $F13, EMA_Beta*$H12 + (1-EMA_Beta)*$F13)</f>
        <v>81.833643706154632</v>
      </c>
      <c r="I13" s="46" t="str">
        <f ca="1">IF(tbl_AMD[[#This Row],[RS]]= "", "", 100-(100/(1+tbl_AMD[[#This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IF(tbl_AMD[[#This Row],[BB_Mean]]="", "", tbl_AMD[[#This Row],[BB_Mean]]+(BB_Width*tbl_AMD[[#This Row],[BB_Stdev]]))</f>
        <v/>
      </c>
      <c r="L13" s="10" t="str">
        <f ca="1">IF(tbl_AMD[[#This Row],[BB_Mean]]="", "", tbl_AMD[[#This Row],[BB_Mean]]-(BB_Width*tbl_AMD[[#This Row],[BB_Stdev]]))</f>
        <v/>
      </c>
      <c r="M13" s="46">
        <f>IF(ROW(tbl_AMD[[#This Row],[Adj Close]])=5, 0, $F13-$F12)</f>
        <v>1.6800010000000043</v>
      </c>
      <c r="N13" s="46">
        <f>MAX(tbl_AMD[[#This Row],[Move]],0)</f>
        <v>1.6800010000000043</v>
      </c>
      <c r="O13" s="46">
        <f>MAX(-tbl_AMD[[#This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IF(tbl_AMD[[#This Row],[Avg_Upmove]]="", "", tbl_AMD[[#This Row],[Avg_Upmove]]/tbl_AMD[[#This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83.290001000000004</v>
      </c>
      <c r="C14" s="10">
        <v>84.410004000000001</v>
      </c>
      <c r="D14" s="10">
        <v>82.230002999999996</v>
      </c>
      <c r="E14" s="10">
        <v>83.809997999999993</v>
      </c>
      <c r="F14" s="10">
        <v>83.809997999999993</v>
      </c>
      <c r="G14">
        <v>48280300</v>
      </c>
      <c r="H14" s="10">
        <f>IF(tbl_AMD[[#This Row],[Date]]=$A$5, $F14, EMA_Beta*$H13 + (1-EMA_Beta)*$F14)</f>
        <v>82.031279135539165</v>
      </c>
      <c r="I14" s="46" t="str">
        <f ca="1">IF(tbl_AMD[[#This Row],[RS]]= "", "", 100-(100/(1+tbl_AMD[[#This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IF(tbl_AMD[[#This Row],[BB_Mean]]="", "", tbl_AMD[[#This Row],[BB_Mean]]+(BB_Width*tbl_AMD[[#This Row],[BB_Stdev]]))</f>
        <v/>
      </c>
      <c r="L14" s="10" t="str">
        <f ca="1">IF(tbl_AMD[[#This Row],[BB_Mean]]="", "", tbl_AMD[[#This Row],[BB_Mean]]-(BB_Width*tbl_AMD[[#This Row],[BB_Stdev]]))</f>
        <v/>
      </c>
      <c r="M14" s="46">
        <f>IF(ROW(tbl_AMD[[#This Row],[Adj Close]])=5, 0, $F14-$F13)</f>
        <v>1.0400009999999895</v>
      </c>
      <c r="N14" s="46">
        <f>MAX(tbl_AMD[[#This Row],[Move]],0)</f>
        <v>1.0400009999999895</v>
      </c>
      <c r="O14" s="46">
        <f>MAX(-tbl_AMD[[#This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IF(tbl_AMD[[#This Row],[Avg_Upmove]]="", "", tbl_AMD[[#This Row],[Avg_Upmove]]/tbl_AMD[[#This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84.550003000000004</v>
      </c>
      <c r="C15" s="10">
        <v>85.330001999999993</v>
      </c>
      <c r="D15" s="10">
        <v>82.550003000000004</v>
      </c>
      <c r="E15" s="10">
        <v>83.080001999999993</v>
      </c>
      <c r="F15" s="10">
        <v>83.080001999999993</v>
      </c>
      <c r="G15">
        <v>38036100</v>
      </c>
      <c r="H15" s="10">
        <f>IF(tbl_AMD[[#This Row],[Date]]=$A$5, $F15, EMA_Beta*$H14 + (1-EMA_Beta)*$F15)</f>
        <v>82.136151421985247</v>
      </c>
      <c r="I15" s="46" t="str">
        <f ca="1">IF(tbl_AMD[[#This Row],[RS]]= "", "", 100-(100/(1+tbl_AMD[[#This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IF(tbl_AMD[[#This Row],[BB_Mean]]="", "", tbl_AMD[[#This Row],[BB_Mean]]+(BB_Width*tbl_AMD[[#This Row],[BB_Stdev]]))</f>
        <v/>
      </c>
      <c r="L15" s="10" t="str">
        <f ca="1">IF(tbl_AMD[[#This Row],[BB_Mean]]="", "", tbl_AMD[[#This Row],[BB_Mean]]-(BB_Width*tbl_AMD[[#This Row],[BB_Stdev]]))</f>
        <v/>
      </c>
      <c r="M15" s="46">
        <f>IF(ROW(tbl_AMD[[#This Row],[Adj Close]])=5, 0, $F15-$F14)</f>
        <v>-0.72999599999999987</v>
      </c>
      <c r="N15" s="46">
        <f>MAX(tbl_AMD[[#This Row],[Move]],0)</f>
        <v>0</v>
      </c>
      <c r="O15" s="46">
        <f>MAX(-tbl_AMD[[#This Row],[Move]],0)</f>
        <v>0.72999599999999987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IF(tbl_AMD[[#This Row],[Avg_Upmove]]="", "", tbl_AMD[[#This Row],[Avg_Upmove]]/tbl_AMD[[#This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83.360000999999997</v>
      </c>
      <c r="C16" s="10">
        <v>86.620002999999997</v>
      </c>
      <c r="D16" s="10">
        <v>82.349997999999999</v>
      </c>
      <c r="E16" s="10">
        <v>86.349997999999999</v>
      </c>
      <c r="F16" s="10">
        <v>86.349997999999999</v>
      </c>
      <c r="G16">
        <v>49234400</v>
      </c>
      <c r="H16" s="10">
        <f>IF(tbl_AMD[[#This Row],[Date]]=$A$5, $F16, EMA_Beta*$H15 + (1-EMA_Beta)*$F16)</f>
        <v>82.557536079786729</v>
      </c>
      <c r="I16" s="46" t="str">
        <f ca="1">IF(tbl_AMD[[#This Row],[RS]]= "", "", 100-(100/(1+tbl_AMD[[#This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IF(tbl_AMD[[#This Row],[BB_Mean]]="", "", tbl_AMD[[#This Row],[BB_Mean]]+(BB_Width*tbl_AMD[[#This Row],[BB_Stdev]]))</f>
        <v/>
      </c>
      <c r="L16" s="10" t="str">
        <f ca="1">IF(tbl_AMD[[#This Row],[BB_Mean]]="", "", tbl_AMD[[#This Row],[BB_Mean]]-(BB_Width*tbl_AMD[[#This Row],[BB_Stdev]]))</f>
        <v/>
      </c>
      <c r="M16" s="46">
        <f>IF(ROW(tbl_AMD[[#This Row],[Adj Close]])=5, 0, $F16-$F15)</f>
        <v>3.2699960000000061</v>
      </c>
      <c r="N16" s="46">
        <f>MAX(tbl_AMD[[#This Row],[Move]],0)</f>
        <v>3.2699960000000061</v>
      </c>
      <c r="O16" s="46">
        <f>MAX(-tbl_AMD[[#This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IF(tbl_AMD[[#This Row],[Avg_Upmove]]="", "", tbl_AMD[[#This Row],[Avg_Upmove]]/tbl_AMD[[#This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86.970000999999996</v>
      </c>
      <c r="C17" s="10">
        <v>87.720000999999996</v>
      </c>
      <c r="D17" s="10">
        <v>85.199996999999996</v>
      </c>
      <c r="E17" s="10">
        <v>86.019997000000004</v>
      </c>
      <c r="F17" s="10">
        <v>86.019997000000004</v>
      </c>
      <c r="G17">
        <v>47157300</v>
      </c>
      <c r="H17" s="10">
        <f>IF(tbl_AMD[[#This Row],[Date]]=$A$5, $F17, EMA_Beta*$H16 + (1-EMA_Beta)*$F17)</f>
        <v>82.903782171808047</v>
      </c>
      <c r="I17" s="46" t="str">
        <f ca="1">IF(tbl_AMD[[#This Row],[RS]]= "", "", 100-(100/(1+tbl_AMD[[#This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IF(tbl_AMD[[#This Row],[BB_Mean]]="", "", tbl_AMD[[#This Row],[BB_Mean]]+(BB_Width*tbl_AMD[[#This Row],[BB_Stdev]]))</f>
        <v/>
      </c>
      <c r="L17" s="10" t="str">
        <f ca="1">IF(tbl_AMD[[#This Row],[BB_Mean]]="", "", tbl_AMD[[#This Row],[BB_Mean]]-(BB_Width*tbl_AMD[[#This Row],[BB_Stdev]]))</f>
        <v/>
      </c>
      <c r="M17" s="46">
        <f>IF(ROW(tbl_AMD[[#This Row],[Adj Close]])=5, 0, $F17-$F16)</f>
        <v>-0.33000099999999577</v>
      </c>
      <c r="N17" s="46">
        <f>MAX(tbl_AMD[[#This Row],[Move]],0)</f>
        <v>0</v>
      </c>
      <c r="O17" s="46">
        <f>MAX(-tbl_AMD[[#This Row],[Move]],0)</f>
        <v>0.33000099999999577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IF(tbl_AMD[[#This Row],[Avg_Upmove]]="", "", tbl_AMD[[#This Row],[Avg_Upmove]]/tbl_AMD[[#This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86.349997999999999</v>
      </c>
      <c r="C18" s="10">
        <v>86.580001999999993</v>
      </c>
      <c r="D18" s="10">
        <v>82.940002000000007</v>
      </c>
      <c r="E18" s="10">
        <v>83.800003000000004</v>
      </c>
      <c r="F18" s="10">
        <v>83.800003000000004</v>
      </c>
      <c r="G18">
        <v>42194200</v>
      </c>
      <c r="H18" s="10">
        <f>IF(tbl_AMD[[#This Row],[Date]]=$A$5, $F18, EMA_Beta*$H17 + (1-EMA_Beta)*$F18)</f>
        <v>82.993404254627251</v>
      </c>
      <c r="I18" s="46" t="str">
        <f ca="1">IF(tbl_AMD[[#This Row],[RS]]= "", "", 100-(100/(1+tbl_AMD[[#This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82.562142000000009</v>
      </c>
      <c r="K18" s="10">
        <f ca="1">IF(tbl_AMD[[#This Row],[BB_Mean]]="", "", tbl_AMD[[#This Row],[BB_Mean]]+(BB_Width*tbl_AMD[[#This Row],[BB_Stdev]]))</f>
        <v>87.109805538255088</v>
      </c>
      <c r="L18" s="10">
        <f ca="1">IF(tbl_AMD[[#This Row],[BB_Mean]]="", "", tbl_AMD[[#This Row],[BB_Mean]]-(BB_Width*tbl_AMD[[#This Row],[BB_Stdev]]))</f>
        <v>78.014478461744929</v>
      </c>
      <c r="M18" s="46">
        <f>IF(ROW(tbl_AMD[[#This Row],[Adj Close]])=5, 0, $F18-$F17)</f>
        <v>-2.2199939999999998</v>
      </c>
      <c r="N18" s="46">
        <f>MAX(tbl_AMD[[#This Row],[Move]],0)</f>
        <v>0</v>
      </c>
      <c r="O18" s="46">
        <f>MAX(-tbl_AMD[[#This Row],[Move]],0)</f>
        <v>2.2199939999999998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IF(tbl_AMD[[#This Row],[Avg_Upmove]]="", "", tbl_AMD[[#This Row],[Avg_Upmove]]/tbl_AMD[[#This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2.273831769127542</v>
      </c>
    </row>
    <row r="19" spans="1:19" x14ac:dyDescent="0.25">
      <c r="A19" s="8">
        <v>44071</v>
      </c>
      <c r="B19" s="10">
        <v>84.300003000000004</v>
      </c>
      <c r="C19" s="10">
        <v>86.040001000000004</v>
      </c>
      <c r="D19" s="10">
        <v>84.190002000000007</v>
      </c>
      <c r="E19" s="10">
        <v>85.550003000000004</v>
      </c>
      <c r="F19" s="10">
        <v>85.550003000000004</v>
      </c>
      <c r="G19">
        <v>40723300</v>
      </c>
      <c r="H19" s="10">
        <f>IF(tbl_AMD[[#This Row],[Date]]=$A$5, $F19, EMA_Beta*$H18 + (1-EMA_Beta)*$F19)</f>
        <v>83.249064129164537</v>
      </c>
      <c r="I19" s="46">
        <f ca="1">IF(tbl_AMD[[#This Row],[RS]]= "", "", 100-(100/(1+tbl_AMD[[#This Row],[RS]])))</f>
        <v>56.397383856637909</v>
      </c>
      <c r="J19" s="10">
        <f ca="1">IF(ROW($N19)-4&lt;BB_Periods, "", AVERAGE(INDIRECT(ADDRESS(ROW($F19)-RSI_Periods +1, MATCH("Adj Close", Price_Header,0))): INDIRECT(ADDRESS(ROW($F19),MATCH("Adj Close", Price_Header,0)))))</f>
        <v>82.798570928571436</v>
      </c>
      <c r="K19" s="10">
        <f ca="1">IF(tbl_AMD[[#This Row],[BB_Mean]]="", "", tbl_AMD[[#This Row],[BB_Mean]]+(BB_Width*tbl_AMD[[#This Row],[BB_Stdev]]))</f>
        <v>87.610575070416544</v>
      </c>
      <c r="L19" s="10">
        <f ca="1">IF(tbl_AMD[[#This Row],[BB_Mean]]="", "", tbl_AMD[[#This Row],[BB_Mean]]-(BB_Width*tbl_AMD[[#This Row],[BB_Stdev]]))</f>
        <v>77.986566786726328</v>
      </c>
      <c r="M19" s="46">
        <f>IF(ROW(tbl_AMD[[#This Row],[Adj Close]])=5, 0, $F19-$F18)</f>
        <v>1.75</v>
      </c>
      <c r="N19" s="46">
        <f>MAX(tbl_AMD[[#This Row],[Move]],0)</f>
        <v>1.75</v>
      </c>
      <c r="O19" s="46">
        <f>MAX(-tbl_AMD[[#This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1.0421426428571425</v>
      </c>
      <c r="Q19" s="46">
        <f ca="1">IF(ROW($O19)-5&lt;RSI_Periods, "", AVERAGE(INDIRECT(ADDRESS(ROW($O19)-RSI_Periods +1, MATCH("Downmove", Price_Header,0))): INDIRECT(ADDRESS(ROW($O19),MATCH("Downmove", Price_Header,0)))))</f>
        <v>0.80571371428571381</v>
      </c>
      <c r="R19" s="46">
        <f ca="1">IF(tbl_AMD[[#This Row],[Avg_Upmove]]="", "", tbl_AMD[[#This Row],[Avg_Upmove]]/tbl_AMD[[#This Row],[Avg_Downmove]])</f>
        <v>1.2934403676882045</v>
      </c>
      <c r="S19" s="10">
        <f ca="1">IF(ROW($N19)-4&lt;BB_Periods, "", _xlfn.STDEV.S(INDIRECT(ADDRESS(ROW($F19)-RSI_Periods +1, MATCH("Adj Close", Price_Header,0))): INDIRECT(ADDRESS(ROW($F19),MATCH("Adj Close", Price_Header,0)))))</f>
        <v>2.4060020709225518</v>
      </c>
    </row>
    <row r="20" spans="1:19" x14ac:dyDescent="0.25">
      <c r="A20" s="8">
        <v>44074</v>
      </c>
      <c r="B20" s="10">
        <v>85.050003000000004</v>
      </c>
      <c r="C20" s="10">
        <v>92.639999000000003</v>
      </c>
      <c r="D20" s="10">
        <v>85.050003000000004</v>
      </c>
      <c r="E20" s="10">
        <v>90.82</v>
      </c>
      <c r="F20" s="10">
        <v>90.82</v>
      </c>
      <c r="G20">
        <v>90655900</v>
      </c>
      <c r="H20" s="10">
        <f>IF(tbl_AMD[[#This Row],[Date]]=$A$5, $F20, EMA_Beta*$H19 + (1-EMA_Beta)*$F20)</f>
        <v>84.006157716248083</v>
      </c>
      <c r="I20" s="46">
        <f ca="1">IF(tbl_AMD[[#This Row],[RS]]= "", "", 100-(100/(1+tbl_AMD[[#This Row],[RS]])))</f>
        <v>77.036483923477846</v>
      </c>
      <c r="J20" s="10">
        <f ca="1">IF(ROW($N20)-4&lt;BB_Periods, "", AVERAGE(INDIRECT(ADDRESS(ROW($F20)-RSI_Periods +1, MATCH("Adj Close", Price_Header,0))): INDIRECT(ADDRESS(ROW($F20),MATCH("Adj Close", Price_Header,0)))))</f>
        <v>83.794285428571442</v>
      </c>
      <c r="K20" s="10">
        <f ca="1">IF(tbl_AMD[[#This Row],[BB_Mean]]="", "", tbl_AMD[[#This Row],[BB_Mean]]+(BB_Width*tbl_AMD[[#This Row],[BB_Stdev]]))</f>
        <v>89.076724883436896</v>
      </c>
      <c r="L20" s="10">
        <f ca="1">IF(tbl_AMD[[#This Row],[BB_Mean]]="", "", tbl_AMD[[#This Row],[BB_Mean]]-(BB_Width*tbl_AMD[[#This Row],[BB_Stdev]]))</f>
        <v>78.511845973705988</v>
      </c>
      <c r="M20" s="46">
        <f>IF(ROW(tbl_AMD[[#This Row],[Adj Close]])=5, 0, $F20-$F19)</f>
        <v>5.2699969999999894</v>
      </c>
      <c r="N20" s="46">
        <f>MAX(tbl_AMD[[#This Row],[Move]],0)</f>
        <v>5.2699969999999894</v>
      </c>
      <c r="O20" s="46">
        <f>MAX(-tbl_AMD[[#This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1.4185709999999989</v>
      </c>
      <c r="Q20" s="46">
        <f ca="1">IF(ROW($O20)-5&lt;RSI_Periods, "", AVERAGE(INDIRECT(ADDRESS(ROW($O20)-RSI_Periods +1, MATCH("Downmove", Price_Header,0))): INDIRECT(ADDRESS(ROW($O20),MATCH("Downmove", Price_Header,0)))))</f>
        <v>0.42285649999999969</v>
      </c>
      <c r="R20" s="46">
        <f ca="1">IF(tbl_AMD[[#This Row],[Avg_Upmove]]="", "", tbl_AMD[[#This Row],[Avg_Upmove]]/tbl_AMD[[#This Row],[Avg_Downmove]])</f>
        <v>3.3547338163183018</v>
      </c>
      <c r="S20" s="10">
        <f ca="1">IF(ROW($N20)-4&lt;BB_Periods, "", _xlfn.STDEV.S(INDIRECT(ADDRESS(ROW($F20)-RSI_Periods +1, MATCH("Adj Close", Price_Header,0))): INDIRECT(ADDRESS(ROW($F20),MATCH("Adj Close", Price_Header,0)))))</f>
        <v>2.6412197274327243</v>
      </c>
    </row>
    <row r="21" spans="1:19" x14ac:dyDescent="0.25">
      <c r="A21" s="8">
        <v>44075</v>
      </c>
      <c r="B21" s="10">
        <v>91.919998000000007</v>
      </c>
      <c r="C21" s="10">
        <v>92.510002</v>
      </c>
      <c r="D21" s="10">
        <v>90.190002000000007</v>
      </c>
      <c r="E21" s="10">
        <v>92.18</v>
      </c>
      <c r="F21" s="10">
        <v>92.18</v>
      </c>
      <c r="G21">
        <v>56117100</v>
      </c>
      <c r="H21" s="10">
        <f>IF(tbl_AMD[[#This Row],[Date]]=$A$5, $F21, EMA_Beta*$H20 + (1-EMA_Beta)*$F21)</f>
        <v>84.823541944623287</v>
      </c>
      <c r="I21" s="46">
        <f ca="1">IF(tbl_AMD[[#This Row],[RS]]= "", "", 100-(100/(1+tbl_AMD[[#This Row],[RS]])))</f>
        <v>72.349386951814694</v>
      </c>
      <c r="J21" s="10">
        <f ca="1">IF(ROW($N21)-4&lt;BB_Periods, "", AVERAGE(INDIRECT(ADDRESS(ROW($F21)-RSI_Periods +1, MATCH("Adj Close", Price_Header,0))): INDIRECT(ADDRESS(ROW($F21),MATCH("Adj Close", Price_Header,0)))))</f>
        <v>84.477856785714295</v>
      </c>
      <c r="K21" s="10">
        <f ca="1">IF(tbl_AMD[[#This Row],[BB_Mean]]="", "", tbl_AMD[[#This Row],[BB_Mean]]+(BB_Width*tbl_AMD[[#This Row],[BB_Stdev]]))</f>
        <v>91.340564111834865</v>
      </c>
      <c r="L21" s="10">
        <f ca="1">IF(tbl_AMD[[#This Row],[BB_Mean]]="", "", tbl_AMD[[#This Row],[BB_Mean]]-(BB_Width*tbl_AMD[[#This Row],[BB_Stdev]]))</f>
        <v>77.615149459593724</v>
      </c>
      <c r="M21" s="46">
        <f>IF(ROW(tbl_AMD[[#This Row],[Adj Close]])=5, 0, $F21-$F20)</f>
        <v>1.3600000000000136</v>
      </c>
      <c r="N21" s="46">
        <f>MAX(tbl_AMD[[#This Row],[Move]],0)</f>
        <v>1.3600000000000136</v>
      </c>
      <c r="O21" s="46">
        <f>MAX(-tbl_AMD[[#This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1.1064278571428576</v>
      </c>
      <c r="Q21" s="46">
        <f ca="1">IF(ROW($O21)-5&lt;RSI_Periods, "", AVERAGE(INDIRECT(ADDRESS(ROW($O21)-RSI_Periods +1, MATCH("Downmove", Price_Header,0))): INDIRECT(ADDRESS(ROW($O21),MATCH("Downmove", Price_Header,0)))))</f>
        <v>0.42285649999999969</v>
      </c>
      <c r="R21" s="46">
        <f ca="1">IF(tbl_AMD[[#This Row],[Avg_Upmove]]="", "", tbl_AMD[[#This Row],[Avg_Upmove]]/tbl_AMD[[#This Row],[Avg_Downmove]])</f>
        <v>2.6165563427376863</v>
      </c>
      <c r="S21" s="10">
        <f ca="1">IF(ROW($N21)-4&lt;BB_Periods, "", _xlfn.STDEV.S(INDIRECT(ADDRESS(ROW($F21)-RSI_Periods +1, MATCH("Adj Close", Price_Header,0))): INDIRECT(ADDRESS(ROW($F21),MATCH("Adj Close", Price_Header,0)))))</f>
        <v>3.4313536630602881</v>
      </c>
    </row>
    <row r="22" spans="1:19" x14ac:dyDescent="0.25">
      <c r="A22" s="8">
        <v>44076</v>
      </c>
      <c r="B22" s="10">
        <v>94.010002</v>
      </c>
      <c r="C22" s="10">
        <v>94.279999000000004</v>
      </c>
      <c r="D22" s="10">
        <v>88.739998</v>
      </c>
      <c r="E22" s="10">
        <v>90.220000999999996</v>
      </c>
      <c r="F22" s="10">
        <v>90.220000999999996</v>
      </c>
      <c r="G22">
        <v>50366900</v>
      </c>
      <c r="H22" s="10">
        <f>IF(tbl_AMD[[#This Row],[Date]]=$A$5, $F22, EMA_Beta*$H21 + (1-EMA_Beta)*$F22)</f>
        <v>85.363187850160955</v>
      </c>
      <c r="I22" s="46">
        <f ca="1">IF(tbl_AMD[[#This Row],[RS]]= "", "", 100-(100/(1+tbl_AMD[[#This Row],[RS]])))</f>
        <v>68.539854579485137</v>
      </c>
      <c r="J22" s="10">
        <f ca="1">IF(ROW($N22)-4&lt;BB_Periods, "", AVERAGE(INDIRECT(ADDRESS(ROW($F22)-RSI_Periods +1, MATCH("Adj Close", Price_Header,0))): INDIRECT(ADDRESS(ROW($F22),MATCH("Adj Close", Price_Header,0)))))</f>
        <v>85.076428571428565</v>
      </c>
      <c r="K22" s="10">
        <f ca="1">IF(tbl_AMD[[#This Row],[BB_Mean]]="", "", tbl_AMD[[#This Row],[BB_Mean]]+(BB_Width*tbl_AMD[[#This Row],[BB_Stdev]]))</f>
        <v>92.394736900305702</v>
      </c>
      <c r="L22" s="10">
        <f ca="1">IF(tbl_AMD[[#This Row],[BB_Mean]]="", "", tbl_AMD[[#This Row],[BB_Mean]]-(BB_Width*tbl_AMD[[#This Row],[BB_Stdev]]))</f>
        <v>77.758120242551428</v>
      </c>
      <c r="M22" s="46">
        <f>IF(ROW(tbl_AMD[[#This Row],[Adj Close]])=5, 0, $F22-$F21)</f>
        <v>-1.9599990000000105</v>
      </c>
      <c r="N22" s="46">
        <f>MAX(tbl_AMD[[#This Row],[Move]],0)</f>
        <v>0</v>
      </c>
      <c r="O22" s="46">
        <f>MAX(-tbl_AMD[[#This Row],[Move]],0)</f>
        <v>1.9599990000000105</v>
      </c>
      <c r="P22" s="46">
        <f ca="1">IF(ROW($N22)-5&lt;RSI_Periods, "", AVERAGE(INDIRECT(ADDRESS(ROW($N22)-RSI_Periods +1, MATCH("Upmove", Price_Header,0))): INDIRECT(ADDRESS(ROW($N22),MATCH("Upmove", Price_Header,0)))))</f>
        <v>1.1064278571428576</v>
      </c>
      <c r="Q22" s="46">
        <f ca="1">IF(ROW($O22)-5&lt;RSI_Periods, "", AVERAGE(INDIRECT(ADDRESS(ROW($O22)-RSI_Periods +1, MATCH("Downmove", Price_Header,0))): INDIRECT(ADDRESS(ROW($O22),MATCH("Downmove", Price_Header,0)))))</f>
        <v>0.50785607142857203</v>
      </c>
      <c r="R22" s="46">
        <f ca="1">IF(tbl_AMD[[#This Row],[Avg_Upmove]]="", "", tbl_AMD[[#This Row],[Avg_Upmove]]/tbl_AMD[[#This Row],[Avg_Downmove]])</f>
        <v>2.1786248494195117</v>
      </c>
      <c r="S22" s="10">
        <f ca="1">IF(ROW($N22)-4&lt;BB_Periods, "", _xlfn.STDEV.S(INDIRECT(ADDRESS(ROW($F22)-RSI_Periods +1, MATCH("Adj Close", Price_Header,0))): INDIRECT(ADDRESS(ROW($F22),MATCH("Adj Close", Price_Header,0)))))</f>
        <v>3.6591541644385668</v>
      </c>
    </row>
    <row r="23" spans="1:19" x14ac:dyDescent="0.25">
      <c r="A23" s="8">
        <v>44077</v>
      </c>
      <c r="B23" s="10">
        <v>87.839995999999999</v>
      </c>
      <c r="C23" s="10">
        <v>88.470000999999996</v>
      </c>
      <c r="D23" s="10">
        <v>81.589995999999999</v>
      </c>
      <c r="E23" s="10">
        <v>82.540001000000004</v>
      </c>
      <c r="F23" s="10">
        <v>82.540001000000004</v>
      </c>
      <c r="G23">
        <v>87462700</v>
      </c>
      <c r="H23" s="10">
        <f>IF(tbl_AMD[[#This Row],[Date]]=$A$5, $F23, EMA_Beta*$H22 + (1-EMA_Beta)*$F23)</f>
        <v>85.080869165144861</v>
      </c>
      <c r="I23" s="46">
        <f ca="1">IF(tbl_AMD[[#This Row],[RS]]= "", "", 100-(100/(1+tbl_AMD[[#This Row],[RS]])))</f>
        <v>52.084732263792226</v>
      </c>
      <c r="J23" s="10">
        <f ca="1">IF(ROW($N23)-4&lt;BB_Periods, "", AVERAGE(INDIRECT(ADDRESS(ROW($F23)-RSI_Periods +1, MATCH("Adj Close", Price_Header,0))): INDIRECT(ADDRESS(ROW($F23),MATCH("Adj Close", Price_Header,0)))))</f>
        <v>85.16499985714286</v>
      </c>
      <c r="K23" s="10">
        <f ca="1">IF(tbl_AMD[[#This Row],[BB_Mean]]="", "", tbl_AMD[[#This Row],[BB_Mean]]+(BB_Width*tbl_AMD[[#This Row],[BB_Stdev]]))</f>
        <v>92.314492923627967</v>
      </c>
      <c r="L23" s="10">
        <f ca="1">IF(tbl_AMD[[#This Row],[BB_Mean]]="", "", tbl_AMD[[#This Row],[BB_Mean]]-(BB_Width*tbl_AMD[[#This Row],[BB_Stdev]]))</f>
        <v>78.015506790657753</v>
      </c>
      <c r="M23" s="46">
        <f>IF(ROW(tbl_AMD[[#This Row],[Adj Close]])=5, 0, $F23-$F22)</f>
        <v>-7.6799999999999926</v>
      </c>
      <c r="N23" s="46">
        <f>MAX(tbl_AMD[[#This Row],[Move]],0)</f>
        <v>0</v>
      </c>
      <c r="O23" s="46">
        <f>MAX(-tbl_AMD[[#This Row],[Move]],0)</f>
        <v>7.6799999999999926</v>
      </c>
      <c r="P23" s="46">
        <f ca="1">IF(ROW($N23)-5&lt;RSI_Periods, "", AVERAGE(INDIRECT(ADDRESS(ROW($N23)-RSI_Periods +1, MATCH("Upmove", Price_Header,0))): INDIRECT(ADDRESS(ROW($N23),MATCH("Upmove", Price_Header,0)))))</f>
        <v>1.1064278571428576</v>
      </c>
      <c r="Q23" s="46">
        <f ca="1">IF(ROW($O23)-5&lt;RSI_Periods, "", AVERAGE(INDIRECT(ADDRESS(ROW($O23)-RSI_Periods +1, MATCH("Downmove", Price_Header,0))): INDIRECT(ADDRESS(ROW($O23),MATCH("Downmove", Price_Header,0)))))</f>
        <v>1.0178565714285719</v>
      </c>
      <c r="R23" s="46">
        <f ca="1">IF(tbl_AMD[[#This Row],[Avg_Upmove]]="", "", tbl_AMD[[#This Row],[Avg_Upmove]]/tbl_AMD[[#This Row],[Avg_Downmove]])</f>
        <v>1.087017452360675</v>
      </c>
      <c r="S23" s="10">
        <f ca="1">IF(ROW($N23)-4&lt;BB_Periods, "", _xlfn.STDEV.S(INDIRECT(ADDRESS(ROW($F23)-RSI_Periods +1, MATCH("Adj Close", Price_Header,0))): INDIRECT(ADDRESS(ROW($F23),MATCH("Adj Close", Price_Header,0)))))</f>
        <v>3.5747465332425552</v>
      </c>
    </row>
    <row r="24" spans="1:19" x14ac:dyDescent="0.25">
      <c r="A24" s="8">
        <v>44078</v>
      </c>
      <c r="B24" s="10">
        <v>81.449996999999996</v>
      </c>
      <c r="C24" s="10">
        <v>84.389999000000003</v>
      </c>
      <c r="D24" s="10">
        <v>76.330001999999993</v>
      </c>
      <c r="E24" s="10">
        <v>82.010002</v>
      </c>
      <c r="F24" s="10">
        <v>82.010002</v>
      </c>
      <c r="G24">
        <v>82267800</v>
      </c>
      <c r="H24" s="10">
        <f>IF(tbl_AMD[[#This Row],[Date]]=$A$5, $F24, EMA_Beta*$H23 + (1-EMA_Beta)*$F24)</f>
        <v>84.773782448630371</v>
      </c>
      <c r="I24" s="46">
        <f ca="1">IF(tbl_AMD[[#This Row],[RS]]= "", "", 100-(100/(1+tbl_AMD[[#This Row],[RS]])))</f>
        <v>49.296747518163457</v>
      </c>
      <c r="J24" s="10">
        <f ca="1">IF(ROW($N24)-4&lt;BB_Periods, "", AVERAGE(INDIRECT(ADDRESS(ROW($F24)-RSI_Periods +1, MATCH("Adj Close", Price_Header,0))): INDIRECT(ADDRESS(ROW($F24),MATCH("Adj Close", Price_Header,0)))))</f>
        <v>85.135714428571433</v>
      </c>
      <c r="K24" s="10">
        <f ca="1">IF(tbl_AMD[[#This Row],[BB_Mean]]="", "", tbl_AMD[[#This Row],[BB_Mean]]+(BB_Width*tbl_AMD[[#This Row],[BB_Stdev]]))</f>
        <v>92.336815529725158</v>
      </c>
      <c r="L24" s="10">
        <f ca="1">IF(tbl_AMD[[#This Row],[BB_Mean]]="", "", tbl_AMD[[#This Row],[BB_Mean]]-(BB_Width*tbl_AMD[[#This Row],[BB_Stdev]]))</f>
        <v>77.934613327417708</v>
      </c>
      <c r="M24" s="46">
        <f>IF(ROW(tbl_AMD[[#This Row],[Adj Close]])=5, 0, $F24-$F23)</f>
        <v>-0.52999900000000366</v>
      </c>
      <c r="N24" s="46">
        <f>MAX(tbl_AMD[[#This Row],[Move]],0)</f>
        <v>0</v>
      </c>
      <c r="O24" s="46">
        <f>MAX(-tbl_AMD[[#This Row],[Move]],0)</f>
        <v>0.52999900000000366</v>
      </c>
      <c r="P24" s="46">
        <f ca="1">IF(ROW($N24)-5&lt;RSI_Periods, "", AVERAGE(INDIRECT(ADDRESS(ROW($N24)-RSI_Periods +1, MATCH("Upmove", Price_Header,0))): INDIRECT(ADDRESS(ROW($N24),MATCH("Upmove", Price_Header,0)))))</f>
        <v>1.0264282142857144</v>
      </c>
      <c r="Q24" s="46">
        <f ca="1">IF(ROW($O24)-5&lt;RSI_Periods, "", AVERAGE(INDIRECT(ADDRESS(ROW($O24)-RSI_Periods +1, MATCH("Downmove", Price_Header,0))): INDIRECT(ADDRESS(ROW($O24),MATCH("Downmove", Price_Header,0)))))</f>
        <v>1.0557136428571436</v>
      </c>
      <c r="R24" s="46">
        <f ca="1">IF(tbl_AMD[[#This Row],[Avg_Upmove]]="", "", tbl_AMD[[#This Row],[Avg_Upmove]]/tbl_AMD[[#This Row],[Avg_Downmove]])</f>
        <v>0.97226006429909129</v>
      </c>
      <c r="S24" s="10">
        <f ca="1">IF(ROW($N24)-4&lt;BB_Periods, "", _xlfn.STDEV.S(INDIRECT(ADDRESS(ROW($F24)-RSI_Periods +1, MATCH("Adj Close", Price_Header,0))): INDIRECT(ADDRESS(ROW($F24),MATCH("Adj Close", Price_Header,0)))))</f>
        <v>3.6005505505768616</v>
      </c>
    </row>
    <row r="25" spans="1:19" x14ac:dyDescent="0.25">
      <c r="A25" s="8">
        <v>44082</v>
      </c>
      <c r="B25" s="10">
        <v>78.050003000000004</v>
      </c>
      <c r="C25" s="10">
        <v>81.879997000000003</v>
      </c>
      <c r="D25" s="10">
        <v>78</v>
      </c>
      <c r="E25" s="10">
        <v>78.690002000000007</v>
      </c>
      <c r="F25" s="10">
        <v>78.690002000000007</v>
      </c>
      <c r="G25">
        <v>54955700</v>
      </c>
      <c r="H25" s="10">
        <f>IF(tbl_AMD[[#This Row],[Date]]=$A$5, $F25, EMA_Beta*$H24 + (1-EMA_Beta)*$F25)</f>
        <v>84.16540440376734</v>
      </c>
      <c r="I25" s="46">
        <f ca="1">IF(tbl_AMD[[#This Row],[RS]]= "", "", 100-(100/(1+tbl_AMD[[#This Row],[RS]])))</f>
        <v>45.316930385854405</v>
      </c>
      <c r="J25" s="10">
        <f ca="1">IF(ROW($N25)-4&lt;BB_Periods, "", AVERAGE(INDIRECT(ADDRESS(ROW($F25)-RSI_Periods +1, MATCH("Adj Close", Price_Header,0))): INDIRECT(ADDRESS(ROW($F25),MATCH("Adj Close", Price_Header,0)))))</f>
        <v>84.923571428571435</v>
      </c>
      <c r="K25" s="10">
        <f ca="1">IF(tbl_AMD[[#This Row],[BB_Mean]]="", "", tbl_AMD[[#This Row],[BB_Mean]]+(BB_Width*tbl_AMD[[#This Row],[BB_Stdev]]))</f>
        <v>92.716430409590188</v>
      </c>
      <c r="L25" s="10">
        <f ca="1">IF(tbl_AMD[[#This Row],[BB_Mean]]="", "", tbl_AMD[[#This Row],[BB_Mean]]-(BB_Width*tbl_AMD[[#This Row],[BB_Stdev]]))</f>
        <v>77.130712447552682</v>
      </c>
      <c r="M25" s="46">
        <f>IF(ROW(tbl_AMD[[#This Row],[Adj Close]])=5, 0, $F25-$F24)</f>
        <v>-3.3199999999999932</v>
      </c>
      <c r="N25" s="46">
        <f>MAX(tbl_AMD[[#This Row],[Move]],0)</f>
        <v>0</v>
      </c>
      <c r="O25" s="46">
        <f>MAX(-tbl_AMD[[#This Row],[Move]],0)</f>
        <v>3.3199999999999932</v>
      </c>
      <c r="P25" s="46">
        <f ca="1">IF(ROW($N25)-5&lt;RSI_Periods, "", AVERAGE(INDIRECT(ADDRESS(ROW($N25)-RSI_Periods +1, MATCH("Upmove", Price_Header,0))): INDIRECT(ADDRESS(ROW($N25),MATCH("Upmove", Price_Header,0)))))</f>
        <v>1.0264282142857144</v>
      </c>
      <c r="Q25" s="46">
        <f ca="1">IF(ROW($O25)-5&lt;RSI_Periods, "", AVERAGE(INDIRECT(ADDRESS(ROW($O25)-RSI_Periods +1, MATCH("Downmove", Price_Header,0))): INDIRECT(ADDRESS(ROW($O25),MATCH("Downmove", Price_Header,0)))))</f>
        <v>1.2385712142857142</v>
      </c>
      <c r="R25" s="46">
        <f ca="1">IF(tbl_AMD[[#This Row],[Avg_Upmove]]="", "", tbl_AMD[[#This Row],[Avg_Upmove]]/tbl_AMD[[#This Row],[Avg_Downmove]])</f>
        <v>0.82871957820984643</v>
      </c>
      <c r="S25" s="10">
        <f ca="1">IF(ROW($N25)-4&lt;BB_Periods, "", _xlfn.STDEV.S(INDIRECT(ADDRESS(ROW($F25)-RSI_Periods +1, MATCH("Adj Close", Price_Header,0))): INDIRECT(ADDRESS(ROW($F25),MATCH("Adj Close", Price_Header,0)))))</f>
        <v>3.8964294905093788</v>
      </c>
    </row>
    <row r="26" spans="1:19" x14ac:dyDescent="0.25">
      <c r="A26" s="8">
        <v>44083</v>
      </c>
      <c r="B26" s="10">
        <v>81.400002000000001</v>
      </c>
      <c r="C26" s="10">
        <v>82.440002000000007</v>
      </c>
      <c r="D26" s="10">
        <v>79.279999000000004</v>
      </c>
      <c r="E26" s="10">
        <v>81.910004000000001</v>
      </c>
      <c r="F26" s="10">
        <v>81.910004000000001</v>
      </c>
      <c r="G26">
        <v>54163900</v>
      </c>
      <c r="H26" s="10">
        <f>IF(tbl_AMD[[#This Row],[Date]]=$A$5, $F26, EMA_Beta*$H25 + (1-EMA_Beta)*$F26)</f>
        <v>83.939864363390598</v>
      </c>
      <c r="I26" s="46">
        <f ca="1">IF(tbl_AMD[[#This Row],[RS]]= "", "", 100-(100/(1+tbl_AMD[[#This Row],[RS]])))</f>
        <v>51.193260090385373</v>
      </c>
      <c r="J26" s="10">
        <f ca="1">IF(ROW($N26)-4&lt;BB_Periods, "", AVERAGE(INDIRECT(ADDRESS(ROW($F26)-RSI_Periods +1, MATCH("Adj Close", Price_Header,0))): INDIRECT(ADDRESS(ROW($F26),MATCH("Adj Close", Price_Header,0)))))</f>
        <v>84.982143428571447</v>
      </c>
      <c r="K26" s="10">
        <f ca="1">IF(tbl_AMD[[#This Row],[BB_Mean]]="", "", tbl_AMD[[#This Row],[BB_Mean]]+(BB_Width*tbl_AMD[[#This Row],[BB_Stdev]]))</f>
        <v>92.662395320275351</v>
      </c>
      <c r="L26" s="10">
        <f ca="1">IF(tbl_AMD[[#This Row],[BB_Mean]]="", "", tbl_AMD[[#This Row],[BB_Mean]]-(BB_Width*tbl_AMD[[#This Row],[BB_Stdev]]))</f>
        <v>77.301891536867544</v>
      </c>
      <c r="M26" s="46">
        <f>IF(ROW(tbl_AMD[[#This Row],[Adj Close]])=5, 0, $F26-$F25)</f>
        <v>3.2200019999999938</v>
      </c>
      <c r="N26" s="46">
        <f>MAX(tbl_AMD[[#This Row],[Move]],0)</f>
        <v>3.2200019999999938</v>
      </c>
      <c r="O26" s="46">
        <f>MAX(-tbl_AMD[[#This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1.2564283571428569</v>
      </c>
      <c r="Q26" s="46">
        <f ca="1">IF(ROW($O26)-5&lt;RSI_Periods, "", AVERAGE(INDIRECT(ADDRESS(ROW($O26)-RSI_Periods +1, MATCH("Downmove", Price_Header,0))): INDIRECT(ADDRESS(ROW($O26),MATCH("Downmove", Price_Header,0)))))</f>
        <v>1.1978563571428569</v>
      </c>
      <c r="R26" s="46">
        <f ca="1">IF(tbl_AMD[[#This Row],[Avg_Upmove]]="", "", tbl_AMD[[#This Row],[Avg_Upmove]]/tbl_AMD[[#This Row],[Avg_Downmove]])</f>
        <v>1.0488973487102466</v>
      </c>
      <c r="S26" s="10">
        <f ca="1">IF(ROW($N26)-4&lt;BB_Periods, "", _xlfn.STDEV.S(INDIRECT(ADDRESS(ROW($F26)-RSI_Periods +1, MATCH("Adj Close", Price_Header,0))): INDIRECT(ADDRESS(ROW($F26),MATCH("Adj Close", Price_Header,0)))))</f>
        <v>3.8401259458519501</v>
      </c>
    </row>
    <row r="27" spans="1:19" x14ac:dyDescent="0.25">
      <c r="A27" s="8">
        <v>44084</v>
      </c>
      <c r="B27" s="10">
        <v>83.07</v>
      </c>
      <c r="C27" s="10">
        <v>83.309997999999993</v>
      </c>
      <c r="D27" s="10">
        <v>78.379997000000003</v>
      </c>
      <c r="E27" s="10">
        <v>78.980002999999996</v>
      </c>
      <c r="F27" s="10">
        <v>78.980002999999996</v>
      </c>
      <c r="G27">
        <v>51499400</v>
      </c>
      <c r="H27" s="10">
        <f>IF(tbl_AMD[[#This Row],[Date]]=$A$5, $F27, EMA_Beta*$H26 + (1-EMA_Beta)*$F27)</f>
        <v>83.443878227051528</v>
      </c>
      <c r="I27" s="46">
        <f ca="1">IF(tbl_AMD[[#This Row],[RS]]= "", "", 100-(100/(1+tbl_AMD[[#This Row],[RS]])))</f>
        <v>44.678467438880752</v>
      </c>
      <c r="J27" s="10">
        <f ca="1">IF(ROW($N27)-4&lt;BB_Periods, "", AVERAGE(INDIRECT(ADDRESS(ROW($F27)-RSI_Periods +1, MATCH("Adj Close", Price_Header,0))): INDIRECT(ADDRESS(ROW($F27),MATCH("Adj Close", Price_Header,0)))))</f>
        <v>84.711429571428567</v>
      </c>
      <c r="K27" s="10">
        <f ca="1">IF(tbl_AMD[[#This Row],[BB_Mean]]="", "", tbl_AMD[[#This Row],[BB_Mean]]+(BB_Width*tbl_AMD[[#This Row],[BB_Stdev]]))</f>
        <v>92.972766186112494</v>
      </c>
      <c r="L27" s="10">
        <f ca="1">IF(tbl_AMD[[#This Row],[BB_Mean]]="", "", tbl_AMD[[#This Row],[BB_Mean]]-(BB_Width*tbl_AMD[[#This Row],[BB_Stdev]]))</f>
        <v>76.450092956744641</v>
      </c>
      <c r="M27" s="46">
        <f>IF(ROW(tbl_AMD[[#This Row],[Adj Close]])=5, 0, $F27-$F26)</f>
        <v>-2.9300010000000043</v>
      </c>
      <c r="N27" s="46">
        <f>MAX(tbl_AMD[[#This Row],[Move]],0)</f>
        <v>0</v>
      </c>
      <c r="O27" s="46">
        <f>MAX(-tbl_AMD[[#This Row],[Move]],0)</f>
        <v>2.9300010000000043</v>
      </c>
      <c r="P27" s="46">
        <f ca="1">IF(ROW($N27)-5&lt;RSI_Periods, "", AVERAGE(INDIRECT(ADDRESS(ROW($N27)-RSI_Periods +1, MATCH("Upmove", Price_Header,0))): INDIRECT(ADDRESS(ROW($N27),MATCH("Upmove", Price_Header,0)))))</f>
        <v>1.1364282857142851</v>
      </c>
      <c r="Q27" s="46">
        <f ca="1">IF(ROW($O27)-5&lt;RSI_Periods, "", AVERAGE(INDIRECT(ADDRESS(ROW($O27)-RSI_Periods +1, MATCH("Downmove", Price_Header,0))): INDIRECT(ADDRESS(ROW($O27),MATCH("Downmove", Price_Header,0)))))</f>
        <v>1.4071421428571429</v>
      </c>
      <c r="R27" s="46">
        <f ca="1">IF(tbl_AMD[[#This Row],[Avg_Upmove]]="", "", tbl_AMD[[#This Row],[Avg_Upmove]]/tbl_AMD[[#This Row],[Avg_Downmove]])</f>
        <v>0.80761442010884221</v>
      </c>
      <c r="S27" s="10">
        <f ca="1">IF(ROW($N27)-4&lt;BB_Periods, "", _xlfn.STDEV.S(INDIRECT(ADDRESS(ROW($F27)-RSI_Periods +1, MATCH("Adj Close", Price_Header,0))): INDIRECT(ADDRESS(ROW($F27),MATCH("Adj Close", Price_Header,0)))))</f>
        <v>4.1306683073419661</v>
      </c>
    </row>
    <row r="28" spans="1:19" x14ac:dyDescent="0.25">
      <c r="A28" s="8">
        <v>44085</v>
      </c>
      <c r="B28" s="10">
        <v>79.819999999999993</v>
      </c>
      <c r="C28" s="10">
        <v>79.989998</v>
      </c>
      <c r="D28" s="10">
        <v>75.040001000000004</v>
      </c>
      <c r="E28" s="10">
        <v>76.339995999999999</v>
      </c>
      <c r="F28" s="10">
        <v>76.339995999999999</v>
      </c>
      <c r="G28">
        <v>54763000</v>
      </c>
      <c r="H28" s="10">
        <f>IF(tbl_AMD[[#This Row],[Date]]=$A$5, $F28, EMA_Beta*$H27 + (1-EMA_Beta)*$F28)</f>
        <v>82.733490004346379</v>
      </c>
      <c r="I28" s="46">
        <f ca="1">IF(tbl_AMD[[#This Row],[RS]]= "", "", 100-(100/(1+tbl_AMD[[#This Row],[RS]])))</f>
        <v>39.962370859956124</v>
      </c>
      <c r="J28" s="10">
        <f ca="1">IF(ROW($N28)-4&lt;BB_Periods, "", AVERAGE(INDIRECT(ADDRESS(ROW($F28)-RSI_Periods +1, MATCH("Adj Close", Price_Header,0))): INDIRECT(ADDRESS(ROW($F28),MATCH("Adj Close", Price_Header,0)))))</f>
        <v>84.177858000000001</v>
      </c>
      <c r="K28" s="10">
        <f ca="1">IF(tbl_AMD[[#This Row],[BB_Mean]]="", "", tbl_AMD[[#This Row],[BB_Mean]]+(BB_Width*tbl_AMD[[#This Row],[BB_Stdev]]))</f>
        <v>93.576614204221755</v>
      </c>
      <c r="L28" s="10">
        <f ca="1">IF(tbl_AMD[[#This Row],[BB_Mean]]="", "", tbl_AMD[[#This Row],[BB_Mean]]-(BB_Width*tbl_AMD[[#This Row],[BB_Stdev]]))</f>
        <v>74.779101795778246</v>
      </c>
      <c r="M28" s="46">
        <f>IF(ROW(tbl_AMD[[#This Row],[Adj Close]])=5, 0, $F28-$F27)</f>
        <v>-2.6400069999999971</v>
      </c>
      <c r="N28" s="46">
        <f>MAX(tbl_AMD[[#This Row],[Move]],0)</f>
        <v>0</v>
      </c>
      <c r="O28" s="46">
        <f>MAX(-tbl_AMD[[#This Row],[Move]],0)</f>
        <v>2.6400069999999971</v>
      </c>
      <c r="P28" s="46">
        <f ca="1">IF(ROW($N28)-5&lt;RSI_Periods, "", AVERAGE(INDIRECT(ADDRESS(ROW($N28)-RSI_Periods +1, MATCH("Upmove", Price_Header,0))): INDIRECT(ADDRESS(ROW($N28),MATCH("Upmove", Price_Header,0)))))</f>
        <v>1.0621425000000002</v>
      </c>
      <c r="Q28" s="46">
        <f ca="1">IF(ROW($O28)-5&lt;RSI_Periods, "", AVERAGE(INDIRECT(ADDRESS(ROW($O28)-RSI_Periods +1, MATCH("Downmove", Price_Header,0))): INDIRECT(ADDRESS(ROW($O28),MATCH("Downmove", Price_Header,0)))))</f>
        <v>1.5957140714285711</v>
      </c>
      <c r="R28" s="46">
        <f ca="1">IF(tbl_AMD[[#This Row],[Avg_Upmove]]="", "", tbl_AMD[[#This Row],[Avg_Upmove]]/tbl_AMD[[#This Row],[Avg_Downmove]])</f>
        <v>0.66562206789911416</v>
      </c>
      <c r="S28" s="10">
        <f ca="1">IF(ROW($N28)-4&lt;BB_Periods, "", _xlfn.STDEV.S(INDIRECT(ADDRESS(ROW($F28)-RSI_Periods +1, MATCH("Adj Close", Price_Header,0))): INDIRECT(ADDRESS(ROW($F28),MATCH("Adj Close", Price_Header,0)))))</f>
        <v>4.6993781021108765</v>
      </c>
    </row>
    <row r="29" spans="1:19" x14ac:dyDescent="0.25">
      <c r="A29" s="8">
        <v>44088</v>
      </c>
      <c r="B29" s="10">
        <v>76.800003000000004</v>
      </c>
      <c r="C29" s="10">
        <v>78.819999999999993</v>
      </c>
      <c r="D29" s="10">
        <v>76.260002</v>
      </c>
      <c r="E29" s="10">
        <v>77.900002000000001</v>
      </c>
      <c r="F29" s="10">
        <v>77.900002000000001</v>
      </c>
      <c r="G29">
        <v>47448700</v>
      </c>
      <c r="H29" s="10">
        <f>IF(tbl_AMD[[#This Row],[Date]]=$A$5, $F29, EMA_Beta*$H28 + (1-EMA_Beta)*$F29)</f>
        <v>82.250141203911738</v>
      </c>
      <c r="I29" s="46">
        <f ca="1">IF(tbl_AMD[[#This Row],[RS]]= "", "", 100-(100/(1+tbl_AMD[[#This Row],[RS]])))</f>
        <v>43.191377855342921</v>
      </c>
      <c r="J29" s="10">
        <f ca="1">IF(ROW($N29)-4&lt;BB_Periods, "", AVERAGE(INDIRECT(ADDRESS(ROW($F29)-RSI_Periods +1, MATCH("Adj Close", Price_Header,0))): INDIRECT(ADDRESS(ROW($F29),MATCH("Adj Close", Price_Header,0)))))</f>
        <v>83.80785800000001</v>
      </c>
      <c r="K29" s="10">
        <f ca="1">IF(tbl_AMD[[#This Row],[BB_Mean]]="", "", tbl_AMD[[#This Row],[BB_Mean]]+(BB_Width*tbl_AMD[[#This Row],[BB_Stdev]]))</f>
        <v>93.782959268285495</v>
      </c>
      <c r="L29" s="10">
        <f ca="1">IF(tbl_AMD[[#This Row],[BB_Mean]]="", "", tbl_AMD[[#This Row],[BB_Mean]]-(BB_Width*tbl_AMD[[#This Row],[BB_Stdev]]))</f>
        <v>73.832756731714525</v>
      </c>
      <c r="M29" s="46">
        <f>IF(ROW(tbl_AMD[[#This Row],[Adj Close]])=5, 0, $F29-$F28)</f>
        <v>1.5600060000000013</v>
      </c>
      <c r="N29" s="46">
        <f>MAX(tbl_AMD[[#This Row],[Move]],0)</f>
        <v>1.5600060000000013</v>
      </c>
      <c r="O29" s="46">
        <f>MAX(-tbl_AMD[[#This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1.1735715000000002</v>
      </c>
      <c r="Q29" s="46">
        <f ca="1">IF(ROW($O29)-5&lt;RSI_Periods, "", AVERAGE(INDIRECT(ADDRESS(ROW($O29)-RSI_Periods +1, MATCH("Downmove", Price_Header,0))): INDIRECT(ADDRESS(ROW($O29),MATCH("Downmove", Price_Header,0)))))</f>
        <v>1.5435714999999999</v>
      </c>
      <c r="R29" s="46">
        <f ca="1">IF(tbl_AMD[[#This Row],[Avg_Upmove]]="", "", tbl_AMD[[#This Row],[Avg_Upmove]]/tbl_AMD[[#This Row],[Avg_Downmove]])</f>
        <v>0.7602961702778267</v>
      </c>
      <c r="S29" s="10">
        <f ca="1">IF(ROW($N29)-4&lt;BB_Periods, "", _xlfn.STDEV.S(INDIRECT(ADDRESS(ROW($F29)-RSI_Periods +1, MATCH("Adj Close", Price_Header,0))): INDIRECT(ADDRESS(ROW($F29),MATCH("Adj Close", Price_Header,0)))))</f>
        <v>4.9875506341427442</v>
      </c>
    </row>
    <row r="30" spans="1:19" x14ac:dyDescent="0.25">
      <c r="A30" s="8">
        <v>44089</v>
      </c>
      <c r="B30" s="10">
        <v>77.660004000000001</v>
      </c>
      <c r="C30" s="10">
        <v>80.330001999999993</v>
      </c>
      <c r="D30" s="10">
        <v>75.970000999999996</v>
      </c>
      <c r="E30" s="10">
        <v>78.930000000000007</v>
      </c>
      <c r="F30" s="10">
        <v>78.930000000000007</v>
      </c>
      <c r="G30">
        <v>57874400</v>
      </c>
      <c r="H30" s="10">
        <f>IF(tbl_AMD[[#This Row],[Date]]=$A$5, $F30, EMA_Beta*$H29 + (1-EMA_Beta)*$F30)</f>
        <v>81.918127083520574</v>
      </c>
      <c r="I30" s="46">
        <f ca="1">IF(tbl_AMD[[#This Row],[RS]]= "", "", 100-(100/(1+tbl_AMD[[#This Row],[RS]])))</f>
        <v>39.636875459566994</v>
      </c>
      <c r="J30" s="10">
        <f ca="1">IF(ROW($N30)-4&lt;BB_Periods, "", AVERAGE(INDIRECT(ADDRESS(ROW($F30)-RSI_Periods +1, MATCH("Adj Close", Price_Header,0))): INDIRECT(ADDRESS(ROW($F30),MATCH("Adj Close", Price_Header,0)))))</f>
        <v>83.277858142857141</v>
      </c>
      <c r="K30" s="10">
        <f ca="1">IF(tbl_AMD[[#This Row],[BB_Mean]]="", "", tbl_AMD[[#This Row],[BB_Mean]]+(BB_Width*tbl_AMD[[#This Row],[BB_Stdev]]))</f>
        <v>93.457506350083065</v>
      </c>
      <c r="L30" s="10">
        <f ca="1">IF(tbl_AMD[[#This Row],[BB_Mean]]="", "", tbl_AMD[[#This Row],[BB_Mean]]-(BB_Width*tbl_AMD[[#This Row],[BB_Stdev]]))</f>
        <v>73.098209935631218</v>
      </c>
      <c r="M30" s="46">
        <f>IF(ROW(tbl_AMD[[#This Row],[Adj Close]])=5, 0, $F30-$F29)</f>
        <v>1.0299980000000062</v>
      </c>
      <c r="N30" s="46">
        <f>MAX(tbl_AMD[[#This Row],[Move]],0)</f>
        <v>1.0299980000000062</v>
      </c>
      <c r="O30" s="46">
        <f>MAX(-tbl_AMD[[#This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1.0135716428571431</v>
      </c>
      <c r="Q30" s="46">
        <f ca="1">IF(ROW($O30)-5&lt;RSI_Periods, "", AVERAGE(INDIRECT(ADDRESS(ROW($O30)-RSI_Periods +1, MATCH("Downmove", Price_Header,0))): INDIRECT(ADDRESS(ROW($O30),MATCH("Downmove", Price_Header,0)))))</f>
        <v>1.5435714999999999</v>
      </c>
      <c r="R30" s="46">
        <f ca="1">IF(tbl_AMD[[#This Row],[Avg_Upmove]]="", "", tbl_AMD[[#This Row],[Avg_Upmove]]/tbl_AMD[[#This Row],[Avg_Downmove]])</f>
        <v>0.6566405526774387</v>
      </c>
      <c r="S30" s="10">
        <f ca="1">IF(ROW($N30)-4&lt;BB_Periods, "", _xlfn.STDEV.S(INDIRECT(ADDRESS(ROW($F30)-RSI_Periods +1, MATCH("Adj Close", Price_Header,0))): INDIRECT(ADDRESS(ROW($F30),MATCH("Adj Close", Price_Header,0)))))</f>
        <v>5.0898241036129637</v>
      </c>
    </row>
    <row r="31" spans="1:19" x14ac:dyDescent="0.25">
      <c r="A31" s="8">
        <v>44090</v>
      </c>
      <c r="B31" s="10">
        <v>79.349997999999999</v>
      </c>
      <c r="C31" s="10">
        <v>79.720000999999996</v>
      </c>
      <c r="D31" s="10">
        <v>76.540001000000004</v>
      </c>
      <c r="E31" s="10">
        <v>76.660004000000001</v>
      </c>
      <c r="F31" s="10">
        <v>76.660004000000001</v>
      </c>
      <c r="G31">
        <v>38393500</v>
      </c>
      <c r="H31" s="10">
        <f>IF(tbl_AMD[[#This Row],[Date]]=$A$5, $F31, EMA_Beta*$H30 + (1-EMA_Beta)*$F31)</f>
        <v>81.392314775168515</v>
      </c>
      <c r="I31" s="46">
        <f ca="1">IF(tbl_AMD[[#This Row],[RS]]= "", "", 100-(100/(1+tbl_AMD[[#This Row],[RS]])))</f>
        <v>37.599373015351702</v>
      </c>
      <c r="J31" s="10">
        <f ca="1">IF(ROW($N31)-4&lt;BB_Periods, "", AVERAGE(INDIRECT(ADDRESS(ROW($F31)-RSI_Periods +1, MATCH("Adj Close", Price_Header,0))): INDIRECT(ADDRESS(ROW($F31),MATCH("Adj Close", Price_Header,0)))))</f>
        <v>82.609287214285715</v>
      </c>
      <c r="K31" s="10">
        <f ca="1">IF(tbl_AMD[[#This Row],[BB_Mean]]="", "", tbl_AMD[[#This Row],[BB_Mean]]+(BB_Width*tbl_AMD[[#This Row],[BB_Stdev]]))</f>
        <v>93.232930961313087</v>
      </c>
      <c r="L31" s="10">
        <f ca="1">IF(tbl_AMD[[#This Row],[BB_Mean]]="", "", tbl_AMD[[#This Row],[BB_Mean]]-(BB_Width*tbl_AMD[[#This Row],[BB_Stdev]]))</f>
        <v>71.985643467258342</v>
      </c>
      <c r="M31" s="46">
        <f>IF(ROW(tbl_AMD[[#This Row],[Adj Close]])=5, 0, $F31-$F30)</f>
        <v>-2.2699960000000061</v>
      </c>
      <c r="N31" s="46">
        <f>MAX(tbl_AMD[[#This Row],[Move]],0)</f>
        <v>0</v>
      </c>
      <c r="O31" s="46">
        <f>MAX(-tbl_AMD[[#This Row],[Move]],0)</f>
        <v>2.2699960000000061</v>
      </c>
      <c r="P31" s="46">
        <f ca="1">IF(ROW($N31)-5&lt;RSI_Periods, "", AVERAGE(INDIRECT(ADDRESS(ROW($N31)-RSI_Periods +1, MATCH("Upmove", Price_Header,0))): INDIRECT(ADDRESS(ROW($N31),MATCH("Upmove", Price_Header,0)))))</f>
        <v>1.0135716428571431</v>
      </c>
      <c r="Q31" s="46">
        <f ca="1">IF(ROW($O31)-5&lt;RSI_Periods, "", AVERAGE(INDIRECT(ADDRESS(ROW($O31)-RSI_Periods +1, MATCH("Downmove", Price_Header,0))): INDIRECT(ADDRESS(ROW($O31),MATCH("Downmove", Price_Header,0)))))</f>
        <v>1.682142571428572</v>
      </c>
      <c r="R31" s="46">
        <f ca="1">IF(tbl_AMD[[#This Row],[Avg_Upmove]]="", "", tbl_AMD[[#This Row],[Avg_Upmove]]/tbl_AMD[[#This Row],[Avg_Downmove]])</f>
        <v>0.60254800043278134</v>
      </c>
      <c r="S31" s="10">
        <f ca="1">IF(ROW($N31)-4&lt;BB_Periods, "", _xlfn.STDEV.S(INDIRECT(ADDRESS(ROW($F31)-RSI_Periods +1, MATCH("Adj Close", Price_Header,0))): INDIRECT(ADDRESS(ROW($F31),MATCH("Adj Close", Price_Header,0)))))</f>
        <v>5.31182187351369</v>
      </c>
    </row>
    <row r="32" spans="1:19" x14ac:dyDescent="0.25">
      <c r="A32" s="8">
        <v>44091</v>
      </c>
      <c r="B32" s="10">
        <v>74.879997000000003</v>
      </c>
      <c r="C32" s="10">
        <v>76.629997000000003</v>
      </c>
      <c r="D32" s="10">
        <v>74.199996999999996</v>
      </c>
      <c r="E32" s="10">
        <v>76.550003000000004</v>
      </c>
      <c r="F32" s="10">
        <v>76.550003000000004</v>
      </c>
      <c r="G32">
        <v>55619100</v>
      </c>
      <c r="H32" s="10">
        <f>IF(tbl_AMD[[#This Row],[Date]]=$A$5, $F32, EMA_Beta*$H31 + (1-EMA_Beta)*$F32)</f>
        <v>80.908083597651668</v>
      </c>
      <c r="I32" s="46">
        <f ca="1">IF(tbl_AMD[[#This Row],[RS]]= "", "", 100-(100/(1+tbl_AMD[[#This Row],[RS]])))</f>
        <v>39.825991048107035</v>
      </c>
      <c r="J32" s="10">
        <f ca="1">IF(ROW($N32)-4&lt;BB_Periods, "", AVERAGE(INDIRECT(ADDRESS(ROW($F32)-RSI_Periods +1, MATCH("Adj Close", Price_Header,0))): INDIRECT(ADDRESS(ROW($F32),MATCH("Adj Close", Price_Header,0)))))</f>
        <v>82.09143007142859</v>
      </c>
      <c r="K32" s="10">
        <f ca="1">IF(tbl_AMD[[#This Row],[BB_Mean]]="", "", tbl_AMD[[#This Row],[BB_Mean]]+(BB_Width*tbl_AMD[[#This Row],[BB_Stdev]]))</f>
        <v>93.162439028695573</v>
      </c>
      <c r="L32" s="10">
        <f ca="1">IF(tbl_AMD[[#This Row],[BB_Mean]]="", "", tbl_AMD[[#This Row],[BB_Mean]]-(BB_Width*tbl_AMD[[#This Row],[BB_Stdev]]))</f>
        <v>71.020421114161607</v>
      </c>
      <c r="M32" s="46">
        <f>IF(ROW(tbl_AMD[[#This Row],[Adj Close]])=5, 0, $F32-$F31)</f>
        <v>-0.11000099999999691</v>
      </c>
      <c r="N32" s="46">
        <f>MAX(tbl_AMD[[#This Row],[Move]],0)</f>
        <v>0</v>
      </c>
      <c r="O32" s="46">
        <f>MAX(-tbl_AMD[[#This Row],[Move]],0)</f>
        <v>0.11000099999999691</v>
      </c>
      <c r="P32" s="46">
        <f ca="1">IF(ROW($N32)-5&lt;RSI_Periods, "", AVERAGE(INDIRECT(ADDRESS(ROW($N32)-RSI_Periods +1, MATCH("Upmove", Price_Header,0))): INDIRECT(ADDRESS(ROW($N32),MATCH("Upmove", Price_Header,0)))))</f>
        <v>1.0135716428571431</v>
      </c>
      <c r="Q32" s="46">
        <f ca="1">IF(ROW($O32)-5&lt;RSI_Periods, "", AVERAGE(INDIRECT(ADDRESS(ROW($O32)-RSI_Periods +1, MATCH("Downmove", Price_Header,0))): INDIRECT(ADDRESS(ROW($O32),MATCH("Downmove", Price_Header,0)))))</f>
        <v>1.5314287857142861</v>
      </c>
      <c r="R32" s="46">
        <f ca="1">IF(tbl_AMD[[#This Row],[Avg_Upmove]]="", "", tbl_AMD[[#This Row],[Avg_Upmove]]/tbl_AMD[[#This Row],[Avg_Downmove]])</f>
        <v>0.6618470622415491</v>
      </c>
      <c r="S32" s="10">
        <f ca="1">IF(ROW($N32)-4&lt;BB_Periods, "", _xlfn.STDEV.S(INDIRECT(ADDRESS(ROW($F32)-RSI_Periods +1, MATCH("Adj Close", Price_Header,0))): INDIRECT(ADDRESS(ROW($F32),MATCH("Adj Close", Price_Header,0)))))</f>
        <v>5.5355044786334915</v>
      </c>
    </row>
    <row r="33" spans="1:19" x14ac:dyDescent="0.25">
      <c r="A33" s="8">
        <v>44092</v>
      </c>
      <c r="B33" s="10">
        <v>77</v>
      </c>
      <c r="C33" s="10">
        <v>77.400002000000001</v>
      </c>
      <c r="D33" s="10">
        <v>73.849997999999999</v>
      </c>
      <c r="E33" s="10">
        <v>74.930000000000007</v>
      </c>
      <c r="F33" s="10">
        <v>74.930000000000007</v>
      </c>
      <c r="G33">
        <v>51082900</v>
      </c>
      <c r="H33" s="10">
        <f>IF(tbl_AMD[[#This Row],[Date]]=$A$5, $F33, EMA_Beta*$H32 + (1-EMA_Beta)*$F33)</f>
        <v>80.310275237886501</v>
      </c>
      <c r="I33" s="46">
        <f ca="1">IF(tbl_AMD[[#This Row],[RS]]= "", "", 100-(100/(1+tbl_AMD[[#This Row],[RS]])))</f>
        <v>35.042253087879502</v>
      </c>
      <c r="J33" s="10">
        <f ca="1">IF(ROW($N33)-4&lt;BB_Periods, "", AVERAGE(INDIRECT(ADDRESS(ROW($F33)-RSI_Periods +1, MATCH("Adj Close", Price_Header,0))): INDIRECT(ADDRESS(ROW($F33),MATCH("Adj Close", Price_Header,0)))))</f>
        <v>81.332858428571427</v>
      </c>
      <c r="K33" s="10">
        <f ca="1">IF(tbl_AMD[[#This Row],[BB_Mean]]="", "", tbl_AMD[[#This Row],[BB_Mean]]+(BB_Width*tbl_AMD[[#This Row],[BB_Stdev]]))</f>
        <v>92.830173816508207</v>
      </c>
      <c r="L33" s="10">
        <f ca="1">IF(tbl_AMD[[#This Row],[BB_Mean]]="", "", tbl_AMD[[#This Row],[BB_Mean]]-(BB_Width*tbl_AMD[[#This Row],[BB_Stdev]]))</f>
        <v>69.835543040634647</v>
      </c>
      <c r="M33" s="46">
        <f>IF(ROW(tbl_AMD[[#This Row],[Adj Close]])=5, 0, $F33-$F32)</f>
        <v>-1.620002999999997</v>
      </c>
      <c r="N33" s="46">
        <f>MAX(tbl_AMD[[#This Row],[Move]],0)</f>
        <v>0</v>
      </c>
      <c r="O33" s="46">
        <f>MAX(-tbl_AMD[[#This Row],[Move]],0)</f>
        <v>1.620002999999997</v>
      </c>
      <c r="P33" s="46">
        <f ca="1">IF(ROW($N33)-5&lt;RSI_Periods, "", AVERAGE(INDIRECT(ADDRESS(ROW($N33)-RSI_Periods +1, MATCH("Upmove", Price_Header,0))): INDIRECT(ADDRESS(ROW($N33),MATCH("Upmove", Price_Header,0)))))</f>
        <v>0.88857164285714318</v>
      </c>
      <c r="Q33" s="46">
        <f ca="1">IF(ROW($O33)-5&lt;RSI_Periods, "", AVERAGE(INDIRECT(ADDRESS(ROW($O33)-RSI_Periods +1, MATCH("Downmove", Price_Header,0))): INDIRECT(ADDRESS(ROW($O33),MATCH("Downmove", Price_Header,0)))))</f>
        <v>1.6471432857142858</v>
      </c>
      <c r="R33" s="46">
        <f ca="1">IF(tbl_AMD[[#This Row],[Avg_Upmove]]="", "", tbl_AMD[[#This Row],[Avg_Upmove]]/tbl_AMD[[#This Row],[Avg_Downmove]])</f>
        <v>0.53946226206532666</v>
      </c>
      <c r="S33" s="10">
        <f ca="1">IF(ROW($N33)-4&lt;BB_Periods, "", _xlfn.STDEV.S(INDIRECT(ADDRESS(ROW($F33)-RSI_Periods +1, MATCH("Adj Close", Price_Header,0))): INDIRECT(ADDRESS(ROW($F33),MATCH("Adj Close", Price_Header,0)))))</f>
        <v>5.7486576939683873</v>
      </c>
    </row>
    <row r="34" spans="1:19" x14ac:dyDescent="0.25">
      <c r="A34" s="8">
        <v>44095</v>
      </c>
      <c r="B34" s="10">
        <v>74.230002999999996</v>
      </c>
      <c r="C34" s="10">
        <v>77.980002999999996</v>
      </c>
      <c r="D34" s="10">
        <v>73.879997000000003</v>
      </c>
      <c r="E34" s="10">
        <v>77.940002000000007</v>
      </c>
      <c r="F34" s="10">
        <v>77.940002000000007</v>
      </c>
      <c r="G34">
        <v>61312000</v>
      </c>
      <c r="H34" s="10">
        <f>IF(tbl_AMD[[#This Row],[Date]]=$A$5, $F34, EMA_Beta*$H33 + (1-EMA_Beta)*$F34)</f>
        <v>80.073247914097848</v>
      </c>
      <c r="I34" s="46">
        <f ca="1">IF(tbl_AMD[[#This Row],[RS]]= "", "", 100-(100/(1+tbl_AMD[[#This Row],[RS]])))</f>
        <v>30.625763274347634</v>
      </c>
      <c r="J34" s="10">
        <f ca="1">IF(ROW($N34)-4&lt;BB_Periods, "", AVERAGE(INDIRECT(ADDRESS(ROW($F34)-RSI_Periods +1, MATCH("Adj Close", Price_Header,0))): INDIRECT(ADDRESS(ROW($F34),MATCH("Adj Close", Price_Header,0)))))</f>
        <v>80.412858571428572</v>
      </c>
      <c r="K34" s="10">
        <f ca="1">IF(tbl_AMD[[#This Row],[BB_Mean]]="", "", tbl_AMD[[#This Row],[BB_Mean]]+(BB_Width*tbl_AMD[[#This Row],[BB_Stdev]]))</f>
        <v>90.630006629022049</v>
      </c>
      <c r="L34" s="10">
        <f ca="1">IF(tbl_AMD[[#This Row],[BB_Mean]]="", "", tbl_AMD[[#This Row],[BB_Mean]]-(BB_Width*tbl_AMD[[#This Row],[BB_Stdev]]))</f>
        <v>70.195710513835095</v>
      </c>
      <c r="M34" s="46">
        <f>IF(ROW(tbl_AMD[[#This Row],[Adj Close]])=5, 0, $F34-$F33)</f>
        <v>3.0100020000000001</v>
      </c>
      <c r="N34" s="46">
        <f>MAX(tbl_AMD[[#This Row],[Move]],0)</f>
        <v>3.0100020000000001</v>
      </c>
      <c r="O34" s="46">
        <f>MAX(-tbl_AMD[[#This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0.72714342857142966</v>
      </c>
      <c r="Q34" s="46">
        <f ca="1">IF(ROW($O34)-5&lt;RSI_Periods, "", AVERAGE(INDIRECT(ADDRESS(ROW($O34)-RSI_Periods +1, MATCH("Downmove", Price_Header,0))): INDIRECT(ADDRESS(ROW($O34),MATCH("Downmove", Price_Header,0)))))</f>
        <v>1.6471432857142858</v>
      </c>
      <c r="R34" s="46">
        <f ca="1">IF(tbl_AMD[[#This Row],[Avg_Upmove]]="", "", tbl_AMD[[#This Row],[Avg_Upmove]]/tbl_AMD[[#This Row],[Avg_Downmove]])</f>
        <v>0.44145730057485738</v>
      </c>
      <c r="S34" s="10">
        <f ca="1">IF(ROW($N34)-4&lt;BB_Periods, "", _xlfn.STDEV.S(INDIRECT(ADDRESS(ROW($F34)-RSI_Periods +1, MATCH("Adj Close", Price_Header,0))): INDIRECT(ADDRESS(ROW($F34),MATCH("Adj Close", Price_Header,0)))))</f>
        <v>5.1085740287967409</v>
      </c>
    </row>
    <row r="35" spans="1:19" x14ac:dyDescent="0.25">
      <c r="A35" s="8">
        <v>44096</v>
      </c>
      <c r="B35" s="10">
        <v>78.360000999999997</v>
      </c>
      <c r="C35" s="10">
        <v>78.790001000000004</v>
      </c>
      <c r="D35" s="10">
        <v>75.269997000000004</v>
      </c>
      <c r="E35" s="10">
        <v>77.699996999999996</v>
      </c>
      <c r="F35" s="10">
        <v>77.699996999999996</v>
      </c>
      <c r="G35">
        <v>56044700</v>
      </c>
      <c r="H35" s="10">
        <f>IF(tbl_AMD[[#This Row],[Date]]=$A$5, $F35, EMA_Beta*$H34 + (1-EMA_Beta)*$F35)</f>
        <v>79.835922822688062</v>
      </c>
      <c r="I35" s="46">
        <f ca="1">IF(tbl_AMD[[#This Row],[RS]]= "", "", 100-(100/(1+tbl_AMD[[#This Row],[RS]])))</f>
        <v>27.459535438008302</v>
      </c>
      <c r="J35" s="10">
        <f ca="1">IF(ROW($N35)-4&lt;BB_Periods, "", AVERAGE(INDIRECT(ADDRESS(ROW($F35)-RSI_Periods +1, MATCH("Adj Close", Price_Header,0))): INDIRECT(ADDRESS(ROW($F35),MATCH("Adj Close", Price_Header,0)))))</f>
        <v>79.378572642857151</v>
      </c>
      <c r="K35" s="10">
        <f ca="1">IF(tbl_AMD[[#This Row],[BB_Mean]]="", "", tbl_AMD[[#This Row],[BB_Mean]]+(BB_Width*tbl_AMD[[#This Row],[BB_Stdev]]))</f>
        <v>87.088414685681173</v>
      </c>
      <c r="L35" s="10">
        <f ca="1">IF(tbl_AMD[[#This Row],[BB_Mean]]="", "", tbl_AMD[[#This Row],[BB_Mean]]-(BB_Width*tbl_AMD[[#This Row],[BB_Stdev]]))</f>
        <v>71.668730600033129</v>
      </c>
      <c r="M35" s="46">
        <f>IF(ROW(tbl_AMD[[#This Row],[Adj Close]])=5, 0, $F35-$F34)</f>
        <v>-0.24000500000001068</v>
      </c>
      <c r="N35" s="46">
        <f>MAX(tbl_AMD[[#This Row],[Move]],0)</f>
        <v>0</v>
      </c>
      <c r="O35" s="46">
        <f>MAX(-tbl_AMD[[#This Row],[Move]],0)</f>
        <v>0.24000500000001068</v>
      </c>
      <c r="P35" s="46">
        <f ca="1">IF(ROW($N35)-5&lt;RSI_Periods, "", AVERAGE(INDIRECT(ADDRESS(ROW($N35)-RSI_Periods +1, MATCH("Upmove", Price_Header,0))): INDIRECT(ADDRESS(ROW($N35),MATCH("Upmove", Price_Header,0)))))</f>
        <v>0.63000057142857158</v>
      </c>
      <c r="Q35" s="46">
        <f ca="1">IF(ROW($O35)-5&lt;RSI_Periods, "", AVERAGE(INDIRECT(ADDRESS(ROW($O35)-RSI_Periods +1, MATCH("Downmove", Price_Header,0))): INDIRECT(ADDRESS(ROW($O35),MATCH("Downmove", Price_Header,0)))))</f>
        <v>1.6642865000000009</v>
      </c>
      <c r="R35" s="46">
        <f ca="1">IF(tbl_AMD[[#This Row],[Avg_Upmove]]="", "", tbl_AMD[[#This Row],[Avg_Upmove]]/tbl_AMD[[#This Row],[Avg_Downmove]])</f>
        <v>0.37854093716951454</v>
      </c>
      <c r="S35" s="10">
        <f ca="1">IF(ROW($N35)-4&lt;BB_Periods, "", _xlfn.STDEV.S(INDIRECT(ADDRESS(ROW($F35)-RSI_Periods +1, MATCH("Adj Close", Price_Header,0))): INDIRECT(ADDRESS(ROW($F35),MATCH("Adj Close", Price_Header,0)))))</f>
        <v>3.8549210214120126</v>
      </c>
    </row>
    <row r="36" spans="1:19" x14ac:dyDescent="0.25">
      <c r="A36" s="8">
        <v>44097</v>
      </c>
      <c r="B36" s="10">
        <v>77.389999000000003</v>
      </c>
      <c r="C36" s="10">
        <v>77.910004000000001</v>
      </c>
      <c r="D36" s="10">
        <v>74.339995999999999</v>
      </c>
      <c r="E36" s="10">
        <v>74.730002999999996</v>
      </c>
      <c r="F36" s="10">
        <v>74.730002999999996</v>
      </c>
      <c r="G36">
        <v>42327500</v>
      </c>
      <c r="H36" s="10">
        <f>IF(tbl_AMD[[#This Row],[Date]]=$A$5, $F36, EMA_Beta*$H35 + (1-EMA_Beta)*$F36)</f>
        <v>79.325330840419255</v>
      </c>
      <c r="I36" s="46">
        <f ca="1">IF(tbl_AMD[[#This Row],[RS]]= "", "", 100-(100/(1+tbl_AMD[[#This Row],[RS]])))</f>
        <v>26.622409516639507</v>
      </c>
      <c r="J36" s="10">
        <f ca="1">IF(ROW($N36)-4&lt;BB_Periods, "", AVERAGE(INDIRECT(ADDRESS(ROW($F36)-RSI_Periods +1, MATCH("Adj Close", Price_Header,0))): INDIRECT(ADDRESS(ROW($F36),MATCH("Adj Close", Price_Header,0)))))</f>
        <v>78.272144214285703</v>
      </c>
      <c r="K36" s="10">
        <f ca="1">IF(tbl_AMD[[#This Row],[BB_Mean]]="", "", tbl_AMD[[#This Row],[BB_Mean]]+(BB_Width*tbl_AMD[[#This Row],[BB_Stdev]]))</f>
        <v>83.237236693490502</v>
      </c>
      <c r="L36" s="10">
        <f ca="1">IF(tbl_AMD[[#This Row],[BB_Mean]]="", "", tbl_AMD[[#This Row],[BB_Mean]]-(BB_Width*tbl_AMD[[#This Row],[BB_Stdev]]))</f>
        <v>73.307051735080904</v>
      </c>
      <c r="M36" s="46">
        <f>IF(ROW(tbl_AMD[[#This Row],[Adj Close]])=5, 0, $F36-$F35)</f>
        <v>-2.9699939999999998</v>
      </c>
      <c r="N36" s="46">
        <f>MAX(tbl_AMD[[#This Row],[Move]],0)</f>
        <v>0</v>
      </c>
      <c r="O36" s="46">
        <f>MAX(-tbl_AMD[[#This Row],[Move]],0)</f>
        <v>2.9699939999999998</v>
      </c>
      <c r="P36" s="46">
        <f ca="1">IF(ROW($N36)-5&lt;RSI_Periods, "", AVERAGE(INDIRECT(ADDRESS(ROW($N36)-RSI_Periods +1, MATCH("Upmove", Price_Header,0))): INDIRECT(ADDRESS(ROW($N36),MATCH("Upmove", Price_Header,0)))))</f>
        <v>0.63000057142857158</v>
      </c>
      <c r="Q36" s="46">
        <f ca="1">IF(ROW($O36)-5&lt;RSI_Periods, "", AVERAGE(INDIRECT(ADDRESS(ROW($O36)-RSI_Periods +1, MATCH("Downmove", Price_Header,0))): INDIRECT(ADDRESS(ROW($O36),MATCH("Downmove", Price_Header,0)))))</f>
        <v>1.736429</v>
      </c>
      <c r="R36" s="46">
        <f ca="1">IF(tbl_AMD[[#This Row],[Avg_Upmove]]="", "", tbl_AMD[[#This Row],[Avg_Upmove]]/tbl_AMD[[#This Row],[Avg_Downmove]])</f>
        <v>0.3628138964671585</v>
      </c>
      <c r="S36" s="10">
        <f ca="1">IF(ROW($N36)-4&lt;BB_Periods, "", _xlfn.STDEV.S(INDIRECT(ADDRESS(ROW($F36)-RSI_Periods +1, MATCH("Adj Close", Price_Header,0))): INDIRECT(ADDRESS(ROW($F36),MATCH("Adj Close", Price_Header,0)))))</f>
        <v>2.4825462396024025</v>
      </c>
    </row>
    <row r="37" spans="1:19" x14ac:dyDescent="0.25">
      <c r="A37" s="8">
        <v>44098</v>
      </c>
      <c r="B37" s="10">
        <v>74.540001000000004</v>
      </c>
      <c r="C37" s="10">
        <v>77.25</v>
      </c>
      <c r="D37" s="10">
        <v>73.900002000000001</v>
      </c>
      <c r="E37" s="10">
        <v>75.819999999999993</v>
      </c>
      <c r="F37" s="10">
        <v>75.819999999999993</v>
      </c>
      <c r="G37">
        <v>57540900</v>
      </c>
      <c r="H37" s="10">
        <f>IF(tbl_AMD[[#This Row],[Date]]=$A$5, $F37, EMA_Beta*$H36 + (1-EMA_Beta)*$F37)</f>
        <v>78.974797756377328</v>
      </c>
      <c r="I37" s="46">
        <f ca="1">IF(tbl_AMD[[#This Row],[RS]]= "", "", 100-(100/(1+tbl_AMD[[#This Row],[RS]])))</f>
        <v>37.339867718969657</v>
      </c>
      <c r="J37" s="10">
        <f ca="1">IF(ROW($N37)-4&lt;BB_Periods, "", AVERAGE(INDIRECT(ADDRESS(ROW($F37)-RSI_Periods +1, MATCH("Adj Close", Price_Header,0))): INDIRECT(ADDRESS(ROW($F37),MATCH("Adj Close", Price_Header,0)))))</f>
        <v>77.792144142857154</v>
      </c>
      <c r="K37" s="10">
        <f ca="1">IF(tbl_AMD[[#This Row],[BB_Mean]]="", "", tbl_AMD[[#This Row],[BB_Mean]]+(BB_Width*tbl_AMD[[#This Row],[BB_Stdev]]))</f>
        <v>82.253681461806224</v>
      </c>
      <c r="L37" s="10">
        <f ca="1">IF(tbl_AMD[[#This Row],[BB_Mean]]="", "", tbl_AMD[[#This Row],[BB_Mean]]-(BB_Width*tbl_AMD[[#This Row],[BB_Stdev]]))</f>
        <v>73.330606823908084</v>
      </c>
      <c r="M37" s="46">
        <f>IF(ROW(tbl_AMD[[#This Row],[Adj Close]])=5, 0, $F37-$F36)</f>
        <v>1.0899969999999968</v>
      </c>
      <c r="N37" s="46">
        <f>MAX(tbl_AMD[[#This Row],[Move]],0)</f>
        <v>1.0899969999999968</v>
      </c>
      <c r="O37" s="46">
        <f>MAX(-tbl_AMD[[#This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0.70785749999999992</v>
      </c>
      <c r="Q37" s="46">
        <f ca="1">IF(ROW($O37)-5&lt;RSI_Periods, "", AVERAGE(INDIRECT(ADDRESS(ROW($O37)-RSI_Periods +1, MATCH("Downmove", Price_Header,0))): INDIRECT(ADDRESS(ROW($O37),MATCH("Downmove", Price_Header,0)))))</f>
        <v>1.187857571428572</v>
      </c>
      <c r="R37" s="46">
        <f ca="1">IF(tbl_AMD[[#This Row],[Avg_Upmove]]="", "", tbl_AMD[[#This Row],[Avg_Upmove]]/tbl_AMD[[#This Row],[Avg_Downmove]])</f>
        <v>0.59591108986972074</v>
      </c>
      <c r="S37" s="10">
        <f ca="1">IF(ROW($N37)-4&lt;BB_Periods, "", _xlfn.STDEV.S(INDIRECT(ADDRESS(ROW($F37)-RSI_Periods +1, MATCH("Adj Close", Price_Header,0))): INDIRECT(ADDRESS(ROW($F37),MATCH("Adj Close", Price_Header,0)))))</f>
        <v>2.230768659474538</v>
      </c>
    </row>
    <row r="38" spans="1:19" x14ac:dyDescent="0.25">
      <c r="A38" s="8">
        <v>44099</v>
      </c>
      <c r="B38" s="10">
        <v>76.349997999999999</v>
      </c>
      <c r="C38" s="10">
        <v>78.199996999999996</v>
      </c>
      <c r="D38" s="10">
        <v>74.669998000000007</v>
      </c>
      <c r="E38" s="10">
        <v>78.059997999999993</v>
      </c>
      <c r="F38" s="10">
        <v>78.059997999999993</v>
      </c>
      <c r="G38">
        <v>48206200</v>
      </c>
      <c r="H38" s="10">
        <f>IF(tbl_AMD[[#This Row],[Date]]=$A$5, $F38, EMA_Beta*$H37 + (1-EMA_Beta)*$F38)</f>
        <v>78.883317780739588</v>
      </c>
      <c r="I38" s="46">
        <f ca="1">IF(tbl_AMD[[#This Row],[RS]]= "", "", 100-(100/(1+tbl_AMD[[#This Row],[RS]])))</f>
        <v>43.008844952621246</v>
      </c>
      <c r="J38" s="10">
        <f ca="1">IF(ROW($N38)-4&lt;BB_Periods, "", AVERAGE(INDIRECT(ADDRESS(ROW($F38)-RSI_Periods +1, MATCH("Adj Close", Price_Header,0))): INDIRECT(ADDRESS(ROW($F38),MATCH("Adj Close", Price_Header,0)))))</f>
        <v>77.510001000000003</v>
      </c>
      <c r="K38" s="10">
        <f ca="1">IF(tbl_AMD[[#This Row],[BB_Mean]]="", "", tbl_AMD[[#This Row],[BB_Mean]]+(BB_Width*tbl_AMD[[#This Row],[BB_Stdev]]))</f>
        <v>81.266399799180945</v>
      </c>
      <c r="L38" s="10">
        <f ca="1">IF(tbl_AMD[[#This Row],[BB_Mean]]="", "", tbl_AMD[[#This Row],[BB_Mean]]-(BB_Width*tbl_AMD[[#This Row],[BB_Stdev]]))</f>
        <v>73.75360220081906</v>
      </c>
      <c r="M38" s="46">
        <f>IF(ROW(tbl_AMD[[#This Row],[Adj Close]])=5, 0, $F38-$F37)</f>
        <v>2.2399979999999999</v>
      </c>
      <c r="N38" s="46">
        <f>MAX(tbl_AMD[[#This Row],[Move]],0)</f>
        <v>2.2399979999999999</v>
      </c>
      <c r="O38" s="46">
        <f>MAX(-tbl_AMD[[#This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0.86785735714285706</v>
      </c>
      <c r="Q38" s="46">
        <f ca="1">IF(ROW($O38)-5&lt;RSI_Periods, "", AVERAGE(INDIRECT(ADDRESS(ROW($O38)-RSI_Periods +1, MATCH("Downmove", Price_Header,0))): INDIRECT(ADDRESS(ROW($O38),MATCH("Downmove", Price_Header,0)))))</f>
        <v>1.1500005000000004</v>
      </c>
      <c r="R38" s="46">
        <f ca="1">IF(tbl_AMD[[#This Row],[Avg_Upmove]]="", "", tbl_AMD[[#This Row],[Avg_Upmove]]/tbl_AMD[[#This Row],[Avg_Downmove]])</f>
        <v>0.75465824331629139</v>
      </c>
      <c r="S38" s="10">
        <f ca="1">IF(ROW($N38)-4&lt;BB_Periods, "", _xlfn.STDEV.S(INDIRECT(ADDRESS(ROW($F38)-RSI_Periods +1, MATCH("Adj Close", Price_Header,0))): INDIRECT(ADDRESS(ROW($F38),MATCH("Adj Close", Price_Header,0)))))</f>
        <v>1.87819939959047</v>
      </c>
    </row>
    <row r="39" spans="1:19" x14ac:dyDescent="0.25">
      <c r="A39" s="8">
        <v>44102</v>
      </c>
      <c r="B39" s="10">
        <v>79.120002999999997</v>
      </c>
      <c r="C39" s="10">
        <v>79.569999999999993</v>
      </c>
      <c r="D39" s="10">
        <v>77.519997000000004</v>
      </c>
      <c r="E39" s="10">
        <v>79.480002999999996</v>
      </c>
      <c r="F39" s="10">
        <v>79.480002999999996</v>
      </c>
      <c r="G39">
        <v>48005500</v>
      </c>
      <c r="H39" s="10">
        <f>IF(tbl_AMD[[#This Row],[Date]]=$A$5, $F39, EMA_Beta*$H38 + (1-EMA_Beta)*$F39)</f>
        <v>78.942986302665631</v>
      </c>
      <c r="I39" s="46">
        <f ca="1">IF(tbl_AMD[[#This Row],[RS]]= "", "", 100-(100/(1+tbl_AMD[[#This Row],[RS]])))</f>
        <v>51.499052277579338</v>
      </c>
      <c r="J39" s="10">
        <f ca="1">IF(ROW($N39)-4&lt;BB_Periods, "", AVERAGE(INDIRECT(ADDRESS(ROW($F39)-RSI_Periods +1, MATCH("Adj Close", Price_Header,0))): INDIRECT(ADDRESS(ROW($F39),MATCH("Adj Close", Price_Header,0)))))</f>
        <v>77.56642964285713</v>
      </c>
      <c r="K39" s="10">
        <f ca="1">IF(tbl_AMD[[#This Row],[BB_Mean]]="", "", tbl_AMD[[#This Row],[BB_Mean]]+(BB_Width*tbl_AMD[[#This Row],[BB_Stdev]]))</f>
        <v>81.421622170656619</v>
      </c>
      <c r="L39" s="10">
        <f ca="1">IF(tbl_AMD[[#This Row],[BB_Mean]]="", "", tbl_AMD[[#This Row],[BB_Mean]]-(BB_Width*tbl_AMD[[#This Row],[BB_Stdev]]))</f>
        <v>73.711237115057642</v>
      </c>
      <c r="M39" s="46">
        <f>IF(ROW(tbl_AMD[[#This Row],[Adj Close]])=5, 0, $F39-$F38)</f>
        <v>1.4200050000000033</v>
      </c>
      <c r="N39" s="46">
        <f>MAX(tbl_AMD[[#This Row],[Move]],0)</f>
        <v>1.4200050000000033</v>
      </c>
      <c r="O39" s="46">
        <f>MAX(-tbl_AMD[[#This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0.96928628571428577</v>
      </c>
      <c r="Q39" s="46">
        <f ca="1">IF(ROW($O39)-5&lt;RSI_Periods, "", AVERAGE(INDIRECT(ADDRESS(ROW($O39)-RSI_Periods +1, MATCH("Downmove", Price_Header,0))): INDIRECT(ADDRESS(ROW($O39),MATCH("Downmove", Price_Header,0)))))</f>
        <v>0.91285764285714366</v>
      </c>
      <c r="R39" s="46">
        <f ca="1">IF(tbl_AMD[[#This Row],[Avg_Upmove]]="", "", tbl_AMD[[#This Row],[Avg_Upmove]]/tbl_AMD[[#This Row],[Avg_Downmove]])</f>
        <v>1.0618153808522945</v>
      </c>
      <c r="S39" s="10">
        <f ca="1">IF(ROW($N39)-4&lt;BB_Periods, "", _xlfn.STDEV.S(INDIRECT(ADDRESS(ROW($F39)-RSI_Periods +1, MATCH("Adj Close", Price_Header,0))): INDIRECT(ADDRESS(ROW($F39),MATCH("Adj Close", Price_Header,0)))))</f>
        <v>1.9275962638997428</v>
      </c>
    </row>
    <row r="40" spans="1:19" x14ac:dyDescent="0.25">
      <c r="A40" s="8">
        <v>44103</v>
      </c>
      <c r="B40" s="10">
        <v>79.300003000000004</v>
      </c>
      <c r="C40" s="10">
        <v>82.550003000000004</v>
      </c>
      <c r="D40" s="10">
        <v>79.300003000000004</v>
      </c>
      <c r="E40" s="10">
        <v>81.769997000000004</v>
      </c>
      <c r="F40" s="10">
        <v>81.769997000000004</v>
      </c>
      <c r="G40">
        <v>61568900</v>
      </c>
      <c r="H40" s="10">
        <f>IF(tbl_AMD[[#This Row],[Date]]=$A$5, $F40, EMA_Beta*$H39 + (1-EMA_Beta)*$F40)</f>
        <v>79.225687372399065</v>
      </c>
      <c r="I40" s="46">
        <f ca="1">IF(tbl_AMD[[#This Row],[RS]]= "", "", 100-(100/(1+tbl_AMD[[#This Row],[RS]])))</f>
        <v>49.724612585669242</v>
      </c>
      <c r="J40" s="10">
        <f ca="1">IF(ROW($N40)-4&lt;BB_Periods, "", AVERAGE(INDIRECT(ADDRESS(ROW($F40)-RSI_Periods +1, MATCH("Adj Close", Price_Header,0))): INDIRECT(ADDRESS(ROW($F40),MATCH("Adj Close", Price_Header,0)))))</f>
        <v>77.556429142857141</v>
      </c>
      <c r="K40" s="10">
        <f ca="1">IF(tbl_AMD[[#This Row],[BB_Mean]]="", "", tbl_AMD[[#This Row],[BB_Mean]]+(BB_Width*tbl_AMD[[#This Row],[BB_Stdev]]))</f>
        <v>81.363511442822571</v>
      </c>
      <c r="L40" s="10">
        <f ca="1">IF(tbl_AMD[[#This Row],[BB_Mean]]="", "", tbl_AMD[[#This Row],[BB_Mean]]-(BB_Width*tbl_AMD[[#This Row],[BB_Stdev]]))</f>
        <v>73.749346842891711</v>
      </c>
      <c r="M40" s="46">
        <f>IF(ROW(tbl_AMD[[#This Row],[Adj Close]])=5, 0, $F40-$F39)</f>
        <v>2.2899940000000072</v>
      </c>
      <c r="N40" s="46">
        <f>MAX(tbl_AMD[[#This Row],[Move]],0)</f>
        <v>2.2899940000000072</v>
      </c>
      <c r="O40" s="46">
        <f>MAX(-tbl_AMD[[#This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0.90285714285714391</v>
      </c>
      <c r="Q40" s="46">
        <f ca="1">IF(ROW($O40)-5&lt;RSI_Periods, "", AVERAGE(INDIRECT(ADDRESS(ROW($O40)-RSI_Periods +1, MATCH("Downmove", Price_Header,0))): INDIRECT(ADDRESS(ROW($O40),MATCH("Downmove", Price_Header,0)))))</f>
        <v>0.91285764285714366</v>
      </c>
      <c r="R40" s="46">
        <f ca="1">IF(tbl_AMD[[#This Row],[Avg_Upmove]]="", "", tbl_AMD[[#This Row],[Avg_Upmove]]/tbl_AMD[[#This Row],[Avg_Downmove]])</f>
        <v>0.98904484168122941</v>
      </c>
      <c r="S40" s="10">
        <f ca="1">IF(ROW($N40)-4&lt;BB_Periods, "", _xlfn.STDEV.S(INDIRECT(ADDRESS(ROW($F40)-RSI_Periods +1, MATCH("Adj Close", Price_Header,0))): INDIRECT(ADDRESS(ROW($F40),MATCH("Adj Close", Price_Header,0)))))</f>
        <v>1.9035411499827153</v>
      </c>
    </row>
    <row r="41" spans="1:19" x14ac:dyDescent="0.25">
      <c r="A41" s="8">
        <v>44104</v>
      </c>
      <c r="B41" s="10">
        <v>81.75</v>
      </c>
      <c r="C41" s="10">
        <v>82.940002000000007</v>
      </c>
      <c r="D41" s="10">
        <v>80.660004000000001</v>
      </c>
      <c r="E41" s="10">
        <v>81.989998</v>
      </c>
      <c r="F41" s="10">
        <v>81.989998</v>
      </c>
      <c r="G41">
        <v>51479700</v>
      </c>
      <c r="H41" s="10">
        <f>IF(tbl_AMD[[#This Row],[Date]]=$A$5, $F41, EMA_Beta*$H40 + (1-EMA_Beta)*$F41)</f>
        <v>79.502118435159161</v>
      </c>
      <c r="I41" s="46">
        <f ca="1">IF(tbl_AMD[[#This Row],[RS]]= "", "", 100-(100/(1+tbl_AMD[[#This Row],[RS]])))</f>
        <v>56.627023496734282</v>
      </c>
      <c r="J41" s="10">
        <f ca="1">IF(ROW($N41)-4&lt;BB_Periods, "", AVERAGE(INDIRECT(ADDRESS(ROW($F41)-RSI_Periods +1, MATCH("Adj Close", Price_Header,0))): INDIRECT(ADDRESS(ROW($F41),MATCH("Adj Close", Price_Header,0)))))</f>
        <v>77.771428785714292</v>
      </c>
      <c r="K41" s="10">
        <f ca="1">IF(tbl_AMD[[#This Row],[BB_Mean]]="", "", tbl_AMD[[#This Row],[BB_Mean]]+(BB_Width*tbl_AMD[[#This Row],[BB_Stdev]]))</f>
        <v>82.212077326709604</v>
      </c>
      <c r="L41" s="10">
        <f ca="1">IF(tbl_AMD[[#This Row],[BB_Mean]]="", "", tbl_AMD[[#This Row],[BB_Mean]]-(BB_Width*tbl_AMD[[#This Row],[BB_Stdev]]))</f>
        <v>73.33078024471898</v>
      </c>
      <c r="M41" s="46">
        <f>IF(ROW(tbl_AMD[[#This Row],[Adj Close]])=5, 0, $F41-$F40)</f>
        <v>0.22000099999999634</v>
      </c>
      <c r="N41" s="46">
        <f>MAX(tbl_AMD[[#This Row],[Move]],0)</f>
        <v>0.22000099999999634</v>
      </c>
      <c r="O41" s="46">
        <f>MAX(-tbl_AMD[[#This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0.91857150000000076</v>
      </c>
      <c r="Q41" s="46">
        <f ca="1">IF(ROW($O41)-5&lt;RSI_Periods, "", AVERAGE(INDIRECT(ADDRESS(ROW($O41)-RSI_Periods +1, MATCH("Downmove", Price_Header,0))): INDIRECT(ADDRESS(ROW($O41),MATCH("Downmove", Price_Header,0)))))</f>
        <v>0.70357185714285764</v>
      </c>
      <c r="R41" s="46">
        <f ca="1">IF(tbl_AMD[[#This Row],[Avg_Upmove]]="", "", tbl_AMD[[#This Row],[Avg_Upmove]]/tbl_AMD[[#This Row],[Avg_Downmove]])</f>
        <v>1.3055830625889975</v>
      </c>
      <c r="S41" s="10">
        <f ca="1">IF(ROW($N41)-4&lt;BB_Periods, "", _xlfn.STDEV.S(INDIRECT(ADDRESS(ROW($F41)-RSI_Periods +1, MATCH("Adj Close", Price_Header,0))): INDIRECT(ADDRESS(ROW($F41),MATCH("Adj Close", Price_Header,0)))))</f>
        <v>2.2203242704976569</v>
      </c>
    </row>
    <row r="42" spans="1:19" x14ac:dyDescent="0.25">
      <c r="A42" s="8">
        <v>44105</v>
      </c>
      <c r="B42" s="10">
        <v>83.059997999999993</v>
      </c>
      <c r="C42" s="10">
        <v>85.25</v>
      </c>
      <c r="D42" s="10">
        <v>82.860000999999997</v>
      </c>
      <c r="E42" s="10">
        <v>84.860000999999997</v>
      </c>
      <c r="F42" s="10">
        <v>84.860000999999997</v>
      </c>
      <c r="G42">
        <v>52177100</v>
      </c>
      <c r="H42" s="10">
        <f>IF(tbl_AMD[[#This Row],[Date]]=$A$5, $F42, EMA_Beta*$H41 + (1-EMA_Beta)*$F42)</f>
        <v>80.037906691643244</v>
      </c>
      <c r="I42" s="46">
        <f ca="1">IF(tbl_AMD[[#This Row],[RS]]= "", "", 100-(100/(1+tbl_AMD[[#This Row],[RS]])))</f>
        <v>68.570191555772666</v>
      </c>
      <c r="J42" s="10">
        <f ca="1">IF(ROW($N42)-4&lt;BB_Periods, "", AVERAGE(INDIRECT(ADDRESS(ROW($F42)-RSI_Periods +1, MATCH("Adj Close", Price_Header,0))): INDIRECT(ADDRESS(ROW($F42),MATCH("Adj Close", Price_Header,0)))))</f>
        <v>78.380000571428567</v>
      </c>
      <c r="K42" s="10">
        <f ca="1">IF(tbl_AMD[[#This Row],[BB_Mean]]="", "", tbl_AMD[[#This Row],[BB_Mean]]+(BB_Width*tbl_AMD[[#This Row],[BB_Stdev]]))</f>
        <v>84.120591262559529</v>
      </c>
      <c r="L42" s="10">
        <f ca="1">IF(tbl_AMD[[#This Row],[BB_Mean]]="", "", tbl_AMD[[#This Row],[BB_Mean]]-(BB_Width*tbl_AMD[[#This Row],[BB_Stdev]]))</f>
        <v>72.639409880297606</v>
      </c>
      <c r="M42" s="46">
        <f>IF(ROW(tbl_AMD[[#This Row],[Adj Close]])=5, 0, $F42-$F41)</f>
        <v>2.870002999999997</v>
      </c>
      <c r="N42" s="46">
        <f>MAX(tbl_AMD[[#This Row],[Move]],0)</f>
        <v>2.870002999999997</v>
      </c>
      <c r="O42" s="46">
        <f>MAX(-tbl_AMD[[#This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1.1235717142857149</v>
      </c>
      <c r="Q42" s="46">
        <f ca="1">IF(ROW($O42)-5&lt;RSI_Periods, "", AVERAGE(INDIRECT(ADDRESS(ROW($O42)-RSI_Periods +1, MATCH("Downmove", Price_Header,0))): INDIRECT(ADDRESS(ROW($O42),MATCH("Downmove", Price_Header,0)))))</f>
        <v>0.51499992857142929</v>
      </c>
      <c r="R42" s="46">
        <f ca="1">IF(tbl_AMD[[#This Row],[Avg_Upmove]]="", "", tbl_AMD[[#This Row],[Avg_Upmove]]/tbl_AMD[[#This Row],[Avg_Downmove]])</f>
        <v>2.1816929516911148</v>
      </c>
      <c r="S42" s="10">
        <f ca="1">IF(ROW($N42)-4&lt;BB_Periods, "", _xlfn.STDEV.S(INDIRECT(ADDRESS(ROW($F42)-RSI_Periods +1, MATCH("Adj Close", Price_Header,0))): INDIRECT(ADDRESS(ROW($F42),MATCH("Adj Close", Price_Header,0)))))</f>
        <v>2.8702953455654834</v>
      </c>
    </row>
    <row r="43" spans="1:19" x14ac:dyDescent="0.25">
      <c r="A43" s="8">
        <v>44106</v>
      </c>
      <c r="B43" s="10">
        <v>82.580001999999993</v>
      </c>
      <c r="C43" s="10">
        <v>84.650002000000001</v>
      </c>
      <c r="D43" s="10">
        <v>81.660004000000001</v>
      </c>
      <c r="E43" s="10">
        <v>81.800003000000004</v>
      </c>
      <c r="F43" s="10">
        <v>81.800003000000004</v>
      </c>
      <c r="G43">
        <v>52855100</v>
      </c>
      <c r="H43" s="10">
        <f>IF(tbl_AMD[[#This Row],[Date]]=$A$5, $F43, EMA_Beta*$H42 + (1-EMA_Beta)*$F43)</f>
        <v>80.21411632247893</v>
      </c>
      <c r="I43" s="46">
        <f ca="1">IF(tbl_AMD[[#This Row],[RS]]= "", "", 100-(100/(1+tbl_AMD[[#This Row],[RS]])))</f>
        <v>57.978727082390982</v>
      </c>
      <c r="J43" s="10">
        <f ca="1">IF(ROW($N43)-4&lt;BB_Periods, "", AVERAGE(INDIRECT(ADDRESS(ROW($F43)-RSI_Periods +1, MATCH("Adj Close", Price_Header,0))): INDIRECT(ADDRESS(ROW($F43),MATCH("Adj Close", Price_Header,0)))))</f>
        <v>78.65857207142858</v>
      </c>
      <c r="K43" s="10">
        <f ca="1">IF(tbl_AMD[[#This Row],[BB_Mean]]="", "", tbl_AMD[[#This Row],[BB_Mean]]+(BB_Width*tbl_AMD[[#This Row],[BB_Stdev]]))</f>
        <v>84.670901165097121</v>
      </c>
      <c r="L43" s="10">
        <f ca="1">IF(tbl_AMD[[#This Row],[BB_Mean]]="", "", tbl_AMD[[#This Row],[BB_Mean]]-(BB_Width*tbl_AMD[[#This Row],[BB_Stdev]]))</f>
        <v>72.646242977760039</v>
      </c>
      <c r="M43" s="46">
        <f>IF(ROW(tbl_AMD[[#This Row],[Adj Close]])=5, 0, $F43-$F42)</f>
        <v>-3.0599979999999931</v>
      </c>
      <c r="N43" s="46">
        <f>MAX(tbl_AMD[[#This Row],[Move]],0)</f>
        <v>0</v>
      </c>
      <c r="O43" s="46">
        <f>MAX(-tbl_AMD[[#This Row],[Move]],0)</f>
        <v>3.0599979999999931</v>
      </c>
      <c r="P43" s="46">
        <f ca="1">IF(ROW($N43)-5&lt;RSI_Periods, "", AVERAGE(INDIRECT(ADDRESS(ROW($N43)-RSI_Periods +1, MATCH("Upmove", Price_Header,0))): INDIRECT(ADDRESS(ROW($N43),MATCH("Upmove", Price_Header,0)))))</f>
        <v>1.0121427142857147</v>
      </c>
      <c r="Q43" s="46">
        <f ca="1">IF(ROW($O43)-5&lt;RSI_Periods, "", AVERAGE(INDIRECT(ADDRESS(ROW($O43)-RSI_Periods +1, MATCH("Downmove", Price_Header,0))): INDIRECT(ADDRESS(ROW($O43),MATCH("Downmove", Price_Header,0)))))</f>
        <v>0.73357121428571459</v>
      </c>
      <c r="R43" s="46">
        <f ca="1">IF(tbl_AMD[[#This Row],[Avg_Upmove]]="", "", tbl_AMD[[#This Row],[Avg_Upmove]]/tbl_AMD[[#This Row],[Avg_Downmove]])</f>
        <v>1.3797470437430508</v>
      </c>
      <c r="S43" s="10">
        <f ca="1">IF(ROW($N43)-4&lt;BB_Periods, "", _xlfn.STDEV.S(INDIRECT(ADDRESS(ROW($F43)-RSI_Periods +1, MATCH("Adj Close", Price_Header,0))): INDIRECT(ADDRESS(ROW($F43),MATCH("Adj Close", Price_Header,0)))))</f>
        <v>3.0061645468342717</v>
      </c>
    </row>
    <row r="44" spans="1:19" x14ac:dyDescent="0.25">
      <c r="A44" s="8">
        <v>44109</v>
      </c>
      <c r="B44" s="10">
        <v>82.550003000000004</v>
      </c>
      <c r="C44" s="10">
        <v>86.279999000000004</v>
      </c>
      <c r="D44" s="10">
        <v>82.550003000000004</v>
      </c>
      <c r="E44" s="10">
        <v>86.150002000000001</v>
      </c>
      <c r="F44" s="10">
        <v>86.150002000000001</v>
      </c>
      <c r="G44">
        <v>47056500</v>
      </c>
      <c r="H44" s="10">
        <f>IF(tbl_AMD[[#This Row],[Date]]=$A$5, $F44, EMA_Beta*$H43 + (1-EMA_Beta)*$F44)</f>
        <v>80.807704890231037</v>
      </c>
      <c r="I44" s="46">
        <f ca="1">IF(tbl_AMD[[#This Row],[RS]]= "", "", 100-(100/(1+tbl_AMD[[#This Row],[RS]])))</f>
        <v>63.004328242698584</v>
      </c>
      <c r="J44" s="10">
        <f ca="1">IF(ROW($N44)-4&lt;BB_Periods, "", AVERAGE(INDIRECT(ADDRESS(ROW($F44)-RSI_Periods +1, MATCH("Adj Close", Price_Header,0))): INDIRECT(ADDRESS(ROW($F44),MATCH("Adj Close", Price_Header,0)))))</f>
        <v>79.174286500000008</v>
      </c>
      <c r="K44" s="10">
        <f ca="1">IF(tbl_AMD[[#This Row],[BB_Mean]]="", "", tbl_AMD[[#This Row],[BB_Mean]]+(BB_Width*tbl_AMD[[#This Row],[BB_Stdev]]))</f>
        <v>86.40255831650019</v>
      </c>
      <c r="L44" s="10">
        <f ca="1">IF(tbl_AMD[[#This Row],[BB_Mean]]="", "", tbl_AMD[[#This Row],[BB_Mean]]-(BB_Width*tbl_AMD[[#This Row],[BB_Stdev]]))</f>
        <v>71.946014683499826</v>
      </c>
      <c r="M44" s="46">
        <f>IF(ROW(tbl_AMD[[#This Row],[Adj Close]])=5, 0, $F44-$F43)</f>
        <v>4.3499989999999968</v>
      </c>
      <c r="N44" s="46">
        <f>MAX(tbl_AMD[[#This Row],[Move]],0)</f>
        <v>4.3499989999999968</v>
      </c>
      <c r="O44" s="46">
        <f>MAX(-tbl_AMD[[#This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1.2492856428571426</v>
      </c>
      <c r="Q44" s="46">
        <f ca="1">IF(ROW($O44)-5&lt;RSI_Periods, "", AVERAGE(INDIRECT(ADDRESS(ROW($O44)-RSI_Periods +1, MATCH("Downmove", Price_Header,0))): INDIRECT(ADDRESS(ROW($O44),MATCH("Downmove", Price_Header,0)))))</f>
        <v>0.73357121428571459</v>
      </c>
      <c r="R44" s="46">
        <f ca="1">IF(tbl_AMD[[#This Row],[Avg_Upmove]]="", "", tbl_AMD[[#This Row],[Avg_Upmove]]/tbl_AMD[[#This Row],[Avg_Downmove]])</f>
        <v>1.703018900589746</v>
      </c>
      <c r="S44" s="10">
        <f ca="1">IF(ROW($N44)-4&lt;BB_Periods, "", _xlfn.STDEV.S(INDIRECT(ADDRESS(ROW($F44)-RSI_Periods +1, MATCH("Adj Close", Price_Header,0))): INDIRECT(ADDRESS(ROW($F44),MATCH("Adj Close", Price_Header,0)))))</f>
        <v>3.6141359082500939</v>
      </c>
    </row>
    <row r="45" spans="1:19" x14ac:dyDescent="0.25">
      <c r="A45" s="8">
        <v>44110</v>
      </c>
      <c r="B45" s="10">
        <v>86.209998999999996</v>
      </c>
      <c r="C45" s="10">
        <v>87.25</v>
      </c>
      <c r="D45" s="10">
        <v>83.540001000000004</v>
      </c>
      <c r="E45" s="10">
        <v>84.480002999999996</v>
      </c>
      <c r="F45" s="10">
        <v>84.480002999999996</v>
      </c>
      <c r="G45">
        <v>52725400</v>
      </c>
      <c r="H45" s="10">
        <f>IF(tbl_AMD[[#This Row],[Date]]=$A$5, $F45, EMA_Beta*$H44 + (1-EMA_Beta)*$F45)</f>
        <v>81.174934701207945</v>
      </c>
      <c r="I45" s="46">
        <f ca="1">IF(tbl_AMD[[#This Row],[RS]]= "", "", 100-(100/(1+tbl_AMD[[#This Row],[RS]])))</f>
        <v>64.396169528577673</v>
      </c>
      <c r="J45" s="10">
        <f ca="1">IF(ROW($N45)-4&lt;BB_Periods, "", AVERAGE(INDIRECT(ADDRESS(ROW($F45)-RSI_Periods +1, MATCH("Adj Close", Price_Header,0))): INDIRECT(ADDRESS(ROW($F45),MATCH("Adj Close", Price_Header,0)))))</f>
        <v>79.732857857142861</v>
      </c>
      <c r="K45" s="10">
        <f ca="1">IF(tbl_AMD[[#This Row],[BB_Mean]]="", "", tbl_AMD[[#This Row],[BB_Mean]]+(BB_Width*tbl_AMD[[#This Row],[BB_Stdev]]))</f>
        <v>87.323676245315525</v>
      </c>
      <c r="L45" s="10">
        <f ca="1">IF(tbl_AMD[[#This Row],[BB_Mean]]="", "", tbl_AMD[[#This Row],[BB_Mean]]-(BB_Width*tbl_AMD[[#This Row],[BB_Stdev]]))</f>
        <v>72.142039468970196</v>
      </c>
      <c r="M45" s="46">
        <f>IF(ROW(tbl_AMD[[#This Row],[Adj Close]])=5, 0, $F45-$F44)</f>
        <v>-1.6699990000000042</v>
      </c>
      <c r="N45" s="46">
        <f>MAX(tbl_AMD[[#This Row],[Move]],0)</f>
        <v>0</v>
      </c>
      <c r="O45" s="46">
        <f>MAX(-tbl_AMD[[#This Row],[Move]],0)</f>
        <v>1.6699990000000042</v>
      </c>
      <c r="P45" s="46">
        <f ca="1">IF(ROW($N45)-5&lt;RSI_Periods, "", AVERAGE(INDIRECT(ADDRESS(ROW($N45)-RSI_Periods +1, MATCH("Upmove", Price_Header,0))): INDIRECT(ADDRESS(ROW($N45),MATCH("Upmove", Price_Header,0)))))</f>
        <v>1.2492856428571426</v>
      </c>
      <c r="Q45" s="46">
        <f ca="1">IF(ROW($O45)-5&lt;RSI_Periods, "", AVERAGE(INDIRECT(ADDRESS(ROW($O45)-RSI_Periods +1, MATCH("Downmove", Price_Header,0))): INDIRECT(ADDRESS(ROW($O45),MATCH("Downmove", Price_Header,0)))))</f>
        <v>0.69071428571428584</v>
      </c>
      <c r="R45" s="46">
        <f ca="1">IF(tbl_AMD[[#This Row],[Avg_Upmove]]="", "", tbl_AMD[[#This Row],[Avg_Upmove]]/tbl_AMD[[#This Row],[Avg_Downmove]])</f>
        <v>1.8086865563598753</v>
      </c>
      <c r="S45" s="10">
        <f ca="1">IF(ROW($N45)-4&lt;BB_Periods, "", _xlfn.STDEV.S(INDIRECT(ADDRESS(ROW($F45)-RSI_Periods +1, MATCH("Adj Close", Price_Header,0))): INDIRECT(ADDRESS(ROW($F45),MATCH("Adj Close", Price_Header,0)))))</f>
        <v>3.7954091940863313</v>
      </c>
    </row>
    <row r="46" spans="1:19" x14ac:dyDescent="0.25">
      <c r="A46" s="8">
        <v>44111</v>
      </c>
      <c r="B46" s="10">
        <v>86.099997999999999</v>
      </c>
      <c r="C46" s="10">
        <v>87.790001000000004</v>
      </c>
      <c r="D46" s="10">
        <v>85.650002000000001</v>
      </c>
      <c r="E46" s="10">
        <v>86.690002000000007</v>
      </c>
      <c r="F46" s="10">
        <v>86.690002000000007</v>
      </c>
      <c r="G46">
        <v>43045700</v>
      </c>
      <c r="H46" s="10">
        <f>IF(tbl_AMD[[#This Row],[Date]]=$A$5, $F46, EMA_Beta*$H45 + (1-EMA_Beta)*$F46)</f>
        <v>81.726441431087153</v>
      </c>
      <c r="I46" s="46">
        <f ca="1">IF(tbl_AMD[[#This Row],[RS]]= "", "", 100-(100/(1+tbl_AMD[[#This Row],[RS]])))</f>
        <v>67.327409500417929</v>
      </c>
      <c r="J46" s="10">
        <f ca="1">IF(ROW($N46)-4&lt;BB_Periods, "", AVERAGE(INDIRECT(ADDRESS(ROW($F46)-RSI_Periods +1, MATCH("Adj Close", Price_Header,0))): INDIRECT(ADDRESS(ROW($F46),MATCH("Adj Close", Price_Header,0)))))</f>
        <v>80.457143500000001</v>
      </c>
      <c r="K46" s="10">
        <f ca="1">IF(tbl_AMD[[#This Row],[BB_Mean]]="", "", tbl_AMD[[#This Row],[BB_Mean]]+(BB_Width*tbl_AMD[[#This Row],[BB_Stdev]]))</f>
        <v>88.650832182728422</v>
      </c>
      <c r="L46" s="10">
        <f ca="1">IF(tbl_AMD[[#This Row],[BB_Mean]]="", "", tbl_AMD[[#This Row],[BB_Mean]]-(BB_Width*tbl_AMD[[#This Row],[BB_Stdev]]))</f>
        <v>72.26345481727158</v>
      </c>
      <c r="M46" s="46">
        <f>IF(ROW(tbl_AMD[[#This Row],[Adj Close]])=5, 0, $F46-$F45)</f>
        <v>2.2099990000000105</v>
      </c>
      <c r="N46" s="46">
        <f>MAX(tbl_AMD[[#This Row],[Move]],0)</f>
        <v>2.2099990000000105</v>
      </c>
      <c r="O46" s="46">
        <f>MAX(-tbl_AMD[[#This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1.4071427142857149</v>
      </c>
      <c r="Q46" s="46">
        <f ca="1">IF(ROW($O46)-5&lt;RSI_Periods, "", AVERAGE(INDIRECT(ADDRESS(ROW($O46)-RSI_Periods +1, MATCH("Downmove", Price_Header,0))): INDIRECT(ADDRESS(ROW($O46),MATCH("Downmove", Price_Header,0)))))</f>
        <v>0.68285707142857177</v>
      </c>
      <c r="R46" s="46">
        <f ca="1">IF(tbl_AMD[[#This Row],[Avg_Upmove]]="", "", tbl_AMD[[#This Row],[Avg_Upmove]]/tbl_AMD[[#This Row],[Avg_Downmove]])</f>
        <v>2.0606694624131237</v>
      </c>
      <c r="S46" s="10">
        <f ca="1">IF(ROW($N46)-4&lt;BB_Periods, "", _xlfn.STDEV.S(INDIRECT(ADDRESS(ROW($F46)-RSI_Periods +1, MATCH("Adj Close", Price_Header,0))): INDIRECT(ADDRESS(ROW($F46),MATCH("Adj Close", Price_Header,0)))))</f>
        <v>4.0968443413642124</v>
      </c>
    </row>
    <row r="47" spans="1:19" x14ac:dyDescent="0.25">
      <c r="A47" s="8">
        <v>44112</v>
      </c>
      <c r="B47" s="10">
        <v>88.110000999999997</v>
      </c>
      <c r="C47" s="10">
        <v>88.720000999999996</v>
      </c>
      <c r="D47" s="10">
        <v>85.949996999999996</v>
      </c>
      <c r="E47" s="10">
        <v>86.510002</v>
      </c>
      <c r="F47" s="10">
        <v>86.510002</v>
      </c>
      <c r="G47">
        <v>54240700</v>
      </c>
      <c r="H47" s="10">
        <f>IF(tbl_AMD[[#This Row],[Date]]=$A$5, $F47, EMA_Beta*$H46 + (1-EMA_Beta)*$F47)</f>
        <v>82.204797487978439</v>
      </c>
      <c r="I47" s="46">
        <f ca="1">IF(tbl_AMD[[#This Row],[RS]]= "", "", 100-(100/(1+tbl_AMD[[#This Row],[RS]])))</f>
        <v>70.812373288074724</v>
      </c>
      <c r="J47" s="10">
        <f ca="1">IF(ROW($N47)-4&lt;BB_Periods, "", AVERAGE(INDIRECT(ADDRESS(ROW($F47)-RSI_Periods +1, MATCH("Adj Close", Price_Header,0))): INDIRECT(ADDRESS(ROW($F47),MATCH("Adj Close", Price_Header,0)))))</f>
        <v>81.284286500000007</v>
      </c>
      <c r="K47" s="10">
        <f ca="1">IF(tbl_AMD[[#This Row],[BB_Mean]]="", "", tbl_AMD[[#This Row],[BB_Mean]]+(BB_Width*tbl_AMD[[#This Row],[BB_Stdev]]))</f>
        <v>89.412172011817248</v>
      </c>
      <c r="L47" s="10">
        <f ca="1">IF(tbl_AMD[[#This Row],[BB_Mean]]="", "", tbl_AMD[[#This Row],[BB_Mean]]-(BB_Width*tbl_AMD[[#This Row],[BB_Stdev]]))</f>
        <v>73.156400988182767</v>
      </c>
      <c r="M47" s="46">
        <f>IF(ROW(tbl_AMD[[#This Row],[Adj Close]])=5, 0, $F47-$F46)</f>
        <v>-0.18000000000000682</v>
      </c>
      <c r="N47" s="46">
        <f>MAX(tbl_AMD[[#This Row],[Move]],0)</f>
        <v>0</v>
      </c>
      <c r="O47" s="46">
        <f>MAX(-tbl_AMD[[#This Row],[Move]],0)</f>
        <v>0.18000000000000682</v>
      </c>
      <c r="P47" s="46">
        <f ca="1">IF(ROW($N47)-5&lt;RSI_Periods, "", AVERAGE(INDIRECT(ADDRESS(ROW($N47)-RSI_Periods +1, MATCH("Upmove", Price_Header,0))): INDIRECT(ADDRESS(ROW($N47),MATCH("Upmove", Price_Header,0)))))</f>
        <v>1.4071427142857149</v>
      </c>
      <c r="Q47" s="46">
        <f ca="1">IF(ROW($O47)-5&lt;RSI_Periods, "", AVERAGE(INDIRECT(ADDRESS(ROW($O47)-RSI_Periods +1, MATCH("Downmove", Price_Header,0))): INDIRECT(ADDRESS(ROW($O47),MATCH("Downmove", Price_Header,0)))))</f>
        <v>0.57999971428571528</v>
      </c>
      <c r="R47" s="46">
        <f ca="1">IF(tbl_AMD[[#This Row],[Avg_Upmove]]="", "", tbl_AMD[[#This Row],[Avg_Upmove]]/tbl_AMD[[#This Row],[Avg_Downmove]])</f>
        <v>2.42610932320656</v>
      </c>
      <c r="S47" s="10">
        <f ca="1">IF(ROW($N47)-4&lt;BB_Periods, "", _xlfn.STDEV.S(INDIRECT(ADDRESS(ROW($F47)-RSI_Periods +1, MATCH("Adj Close", Price_Header,0))): INDIRECT(ADDRESS(ROW($F47),MATCH("Adj Close", Price_Header,0)))))</f>
        <v>4.0639427559086183</v>
      </c>
    </row>
    <row r="48" spans="1:19" x14ac:dyDescent="0.25">
      <c r="A48" s="8">
        <v>44113</v>
      </c>
      <c r="B48" s="10">
        <v>84.739998</v>
      </c>
      <c r="C48" s="10">
        <v>85.75</v>
      </c>
      <c r="D48" s="10">
        <v>82.349997999999999</v>
      </c>
      <c r="E48" s="10">
        <v>83.099997999999999</v>
      </c>
      <c r="F48" s="10">
        <v>83.099997999999999</v>
      </c>
      <c r="G48">
        <v>80354400</v>
      </c>
      <c r="H48" s="10">
        <f>IF(tbl_AMD[[#This Row],[Date]]=$A$5, $F48, EMA_Beta*$H47 + (1-EMA_Beta)*$F48)</f>
        <v>82.294317539180597</v>
      </c>
      <c r="I48" s="46">
        <f ca="1">IF(tbl_AMD[[#This Row],[RS]]= "", "", 100-(100/(1+tbl_AMD[[#This Row],[RS]])))</f>
        <v>59.142446370297129</v>
      </c>
      <c r="J48" s="10">
        <f ca="1">IF(ROW($N48)-4&lt;BB_Periods, "", AVERAGE(INDIRECT(ADDRESS(ROW($F48)-RSI_Periods +1, MATCH("Adj Close", Price_Header,0))): INDIRECT(ADDRESS(ROW($F48),MATCH("Adj Close", Price_Header,0)))))</f>
        <v>81.652857642857143</v>
      </c>
      <c r="K48" s="10">
        <f ca="1">IF(tbl_AMD[[#This Row],[BB_Mean]]="", "", tbl_AMD[[#This Row],[BB_Mean]]+(BB_Width*tbl_AMD[[#This Row],[BB_Stdev]]))</f>
        <v>89.593288617681964</v>
      </c>
      <c r="L48" s="10">
        <f ca="1">IF(tbl_AMD[[#This Row],[BB_Mean]]="", "", tbl_AMD[[#This Row],[BB_Mean]]-(BB_Width*tbl_AMD[[#This Row],[BB_Stdev]]))</f>
        <v>73.712426668032322</v>
      </c>
      <c r="M48" s="46">
        <f>IF(ROW(tbl_AMD[[#This Row],[Adj Close]])=5, 0, $F48-$F47)</f>
        <v>-3.4100040000000007</v>
      </c>
      <c r="N48" s="46">
        <f>MAX(tbl_AMD[[#This Row],[Move]],0)</f>
        <v>0</v>
      </c>
      <c r="O48" s="46">
        <f>MAX(-tbl_AMD[[#This Row],[Move]],0)</f>
        <v>3.4100040000000007</v>
      </c>
      <c r="P48" s="46">
        <f ca="1">IF(ROW($N48)-5&lt;RSI_Periods, "", AVERAGE(INDIRECT(ADDRESS(ROW($N48)-RSI_Periods +1, MATCH("Upmove", Price_Header,0))): INDIRECT(ADDRESS(ROW($N48),MATCH("Upmove", Price_Header,0)))))</f>
        <v>1.1921425714285721</v>
      </c>
      <c r="Q48" s="46">
        <f ca="1">IF(ROW($O48)-5&lt;RSI_Periods, "", AVERAGE(INDIRECT(ADDRESS(ROW($O48)-RSI_Periods +1, MATCH("Downmove", Price_Header,0))): INDIRECT(ADDRESS(ROW($O48),MATCH("Downmove", Price_Header,0)))))</f>
        <v>0.82357142857142962</v>
      </c>
      <c r="R48" s="46">
        <f ca="1">IF(tbl_AMD[[#This Row],[Avg_Upmove]]="", "", tbl_AMD[[#This Row],[Avg_Upmove]]/tbl_AMD[[#This Row],[Avg_Downmove]])</f>
        <v>1.4475278404163041</v>
      </c>
      <c r="S48" s="10">
        <f ca="1">IF(ROW($N48)-4&lt;BB_Periods, "", _xlfn.STDEV.S(INDIRECT(ADDRESS(ROW($F48)-RSI_Periods +1, MATCH("Adj Close", Price_Header,0))): INDIRECT(ADDRESS(ROW($F48),MATCH("Adj Close", Price_Header,0)))))</f>
        <v>3.9702154874124083</v>
      </c>
    </row>
    <row r="49" spans="1:19" x14ac:dyDescent="0.25">
      <c r="A49" s="8">
        <v>44116</v>
      </c>
      <c r="B49" s="10">
        <v>83.650002000000001</v>
      </c>
      <c r="C49" s="10">
        <v>85.129997000000003</v>
      </c>
      <c r="D49" s="10">
        <v>83.120002999999997</v>
      </c>
      <c r="E49" s="10">
        <v>84.290001000000004</v>
      </c>
      <c r="F49" s="10">
        <v>84.290001000000004</v>
      </c>
      <c r="G49">
        <v>47669700</v>
      </c>
      <c r="H49" s="10">
        <f>IF(tbl_AMD[[#This Row],[Date]]=$A$5, $F49, EMA_Beta*$H48 + (1-EMA_Beta)*$F49)</f>
        <v>82.493885885262529</v>
      </c>
      <c r="I49" s="46">
        <f ca="1">IF(tbl_AMD[[#This Row],[RS]]= "", "", 100-(100/(1+tbl_AMD[[#This Row],[RS]])))</f>
        <v>61.295861082453435</v>
      </c>
      <c r="J49" s="10">
        <f ca="1">IF(ROW($N49)-4&lt;BB_Periods, "", AVERAGE(INDIRECT(ADDRESS(ROW($F49)-RSI_Periods +1, MATCH("Adj Close", Price_Header,0))): INDIRECT(ADDRESS(ROW($F49),MATCH("Adj Close", Price_Header,0)))))</f>
        <v>82.123572214285716</v>
      </c>
      <c r="K49" s="10">
        <f ca="1">IF(tbl_AMD[[#This Row],[BB_Mean]]="", "", tbl_AMD[[#This Row],[BB_Mean]]+(BB_Width*tbl_AMD[[#This Row],[BB_Stdev]]))</f>
        <v>89.832535032481616</v>
      </c>
      <c r="L49" s="10">
        <f ca="1">IF(tbl_AMD[[#This Row],[BB_Mean]]="", "", tbl_AMD[[#This Row],[BB_Mean]]-(BB_Width*tbl_AMD[[#This Row],[BB_Stdev]]))</f>
        <v>74.414609396089816</v>
      </c>
      <c r="M49" s="46">
        <f>IF(ROW(tbl_AMD[[#This Row],[Adj Close]])=5, 0, $F49-$F48)</f>
        <v>1.1900030000000044</v>
      </c>
      <c r="N49" s="46">
        <f>MAX(tbl_AMD[[#This Row],[Move]],0)</f>
        <v>1.1900030000000044</v>
      </c>
      <c r="O49" s="46">
        <f>MAX(-tbl_AMD[[#This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1.2771427857142865</v>
      </c>
      <c r="Q49" s="46">
        <f ca="1">IF(ROW($O49)-5&lt;RSI_Periods, "", AVERAGE(INDIRECT(ADDRESS(ROW($O49)-RSI_Periods +1, MATCH("Downmove", Price_Header,0))): INDIRECT(ADDRESS(ROW($O49),MATCH("Downmove", Price_Header,0)))))</f>
        <v>0.80642821428571465</v>
      </c>
      <c r="R49" s="46">
        <f ca="1">IF(tbl_AMD[[#This Row],[Avg_Upmove]]="", "", tbl_AMD[[#This Row],[Avg_Upmove]]/tbl_AMD[[#This Row],[Avg_Downmove]])</f>
        <v>1.5837030042971678</v>
      </c>
      <c r="S49" s="10">
        <f ca="1">IF(ROW($N49)-4&lt;BB_Periods, "", _xlfn.STDEV.S(INDIRECT(ADDRESS(ROW($F49)-RSI_Periods +1, MATCH("Adj Close", Price_Header,0))): INDIRECT(ADDRESS(ROW($F49),MATCH("Adj Close", Price_Header,0)))))</f>
        <v>3.8544814090979527</v>
      </c>
    </row>
    <row r="50" spans="1:19" x14ac:dyDescent="0.25">
      <c r="A50" s="8">
        <v>44117</v>
      </c>
      <c r="B50" s="10">
        <v>84.860000999999997</v>
      </c>
      <c r="C50" s="10">
        <v>86.089995999999999</v>
      </c>
      <c r="D50" s="10">
        <v>83.970000999999996</v>
      </c>
      <c r="E50" s="10">
        <v>85.279999000000004</v>
      </c>
      <c r="F50" s="10">
        <v>85.279999000000004</v>
      </c>
      <c r="G50">
        <v>42764100</v>
      </c>
      <c r="H50" s="10">
        <f>IF(tbl_AMD[[#This Row],[Date]]=$A$5, $F50, EMA_Beta*$H49 + (1-EMA_Beta)*$F50)</f>
        <v>82.772497196736282</v>
      </c>
      <c r="I50" s="46">
        <f ca="1">IF(tbl_AMD[[#This Row],[RS]]= "", "", 100-(100/(1+tbl_AMD[[#This Row],[RS]])))</f>
        <v>69.400508966569248</v>
      </c>
      <c r="J50" s="10">
        <f ca="1">IF(ROW($N50)-4&lt;BB_Periods, "", AVERAGE(INDIRECT(ADDRESS(ROW($F50)-RSI_Periods +1, MATCH("Adj Close", Price_Header,0))): INDIRECT(ADDRESS(ROW($F50),MATCH("Adj Close", Price_Header,0)))))</f>
        <v>82.877143357142856</v>
      </c>
      <c r="K50" s="10">
        <f ca="1">IF(tbl_AMD[[#This Row],[BB_Mean]]="", "", tbl_AMD[[#This Row],[BB_Mean]]+(BB_Width*tbl_AMD[[#This Row],[BB_Stdev]]))</f>
        <v>89.451904936074726</v>
      </c>
      <c r="L50" s="10">
        <f ca="1">IF(tbl_AMD[[#This Row],[BB_Mean]]="", "", tbl_AMD[[#This Row],[BB_Mean]]-(BB_Width*tbl_AMD[[#This Row],[BB_Stdev]]))</f>
        <v>76.302381778210986</v>
      </c>
      <c r="M50" s="46">
        <f>IF(ROW(tbl_AMD[[#This Row],[Adj Close]])=5, 0, $F50-$F49)</f>
        <v>0.98999799999999993</v>
      </c>
      <c r="N50" s="46">
        <f>MAX(tbl_AMD[[#This Row],[Move]],0)</f>
        <v>0.98999799999999993</v>
      </c>
      <c r="O50" s="46">
        <f>MAX(-tbl_AMD[[#This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1.3478569285714295</v>
      </c>
      <c r="Q50" s="46">
        <f ca="1">IF(ROW($O50)-5&lt;RSI_Periods, "", AVERAGE(INDIRECT(ADDRESS(ROW($O50)-RSI_Periods +1, MATCH("Downmove", Price_Header,0))): INDIRECT(ADDRESS(ROW($O50),MATCH("Downmove", Price_Header,0)))))</f>
        <v>0.59428578571428603</v>
      </c>
      <c r="R50" s="46">
        <f ca="1">IF(tbl_AMD[[#This Row],[Avg_Upmove]]="", "", tbl_AMD[[#This Row],[Avg_Upmove]]/tbl_AMD[[#This Row],[Avg_Downmove]])</f>
        <v>2.2680282129773786</v>
      </c>
      <c r="S50" s="10">
        <f ca="1">IF(ROW($N50)-4&lt;BB_Periods, "", _xlfn.STDEV.S(INDIRECT(ADDRESS(ROW($F50)-RSI_Periods +1, MATCH("Adj Close", Price_Header,0))): INDIRECT(ADDRESS(ROW($F50),MATCH("Adj Close", Price_Header,0)))))</f>
        <v>3.2873807894659315</v>
      </c>
    </row>
    <row r="51" spans="1:19" x14ac:dyDescent="0.25">
      <c r="A51" s="8">
        <v>44118</v>
      </c>
      <c r="B51" s="10">
        <v>85.860000999999997</v>
      </c>
      <c r="C51" s="10">
        <v>85.959998999999996</v>
      </c>
      <c r="D51" s="10">
        <v>83.459998999999996</v>
      </c>
      <c r="E51" s="10">
        <v>84.209998999999996</v>
      </c>
      <c r="F51" s="10">
        <v>84.209998999999996</v>
      </c>
      <c r="G51">
        <v>40446700</v>
      </c>
      <c r="H51" s="10">
        <f>IF(tbl_AMD[[#This Row],[Date]]=$A$5, $F51, EMA_Beta*$H50 + (1-EMA_Beta)*$F51)</f>
        <v>82.91624737706266</v>
      </c>
      <c r="I51" s="46">
        <f ca="1">IF(tbl_AMD[[#This Row],[RS]]= "", "", 100-(100/(1+tbl_AMD[[#This Row],[RS]])))</f>
        <v>65.43982092602792</v>
      </c>
      <c r="J51" s="10">
        <f ca="1">IF(ROW($N51)-4&lt;BB_Periods, "", AVERAGE(INDIRECT(ADDRESS(ROW($F51)-RSI_Periods +1, MATCH("Adj Close", Price_Header,0))): INDIRECT(ADDRESS(ROW($F51),MATCH("Adj Close", Price_Header,0)))))</f>
        <v>83.47642900000001</v>
      </c>
      <c r="K51" s="10">
        <f ca="1">IF(tbl_AMD[[#This Row],[BB_Mean]]="", "", tbl_AMD[[#This Row],[BB_Mean]]+(BB_Width*tbl_AMD[[#This Row],[BB_Stdev]]))</f>
        <v>88.663233790011802</v>
      </c>
      <c r="L51" s="10">
        <f ca="1">IF(tbl_AMD[[#This Row],[BB_Mean]]="", "", tbl_AMD[[#This Row],[BB_Mean]]-(BB_Width*tbl_AMD[[#This Row],[BB_Stdev]]))</f>
        <v>78.289624209988219</v>
      </c>
      <c r="M51" s="46">
        <f>IF(ROW(tbl_AMD[[#This Row],[Adj Close]])=5, 0, $F51-$F50)</f>
        <v>-1.0700000000000074</v>
      </c>
      <c r="N51" s="46">
        <f>MAX(tbl_AMD[[#This Row],[Move]],0)</f>
        <v>0</v>
      </c>
      <c r="O51" s="46">
        <f>MAX(-tbl_AMD[[#This Row],[Move]],0)</f>
        <v>1.0700000000000074</v>
      </c>
      <c r="P51" s="46">
        <f ca="1">IF(ROW($N51)-5&lt;RSI_Periods, "", AVERAGE(INDIRECT(ADDRESS(ROW($N51)-RSI_Periods +1, MATCH("Upmove", Price_Header,0))): INDIRECT(ADDRESS(ROW($N51),MATCH("Upmove", Price_Header,0)))))</f>
        <v>1.2700000000000011</v>
      </c>
      <c r="Q51" s="46">
        <f ca="1">IF(ROW($O51)-5&lt;RSI_Periods, "", AVERAGE(INDIRECT(ADDRESS(ROW($O51)-RSI_Periods +1, MATCH("Downmove", Price_Header,0))): INDIRECT(ADDRESS(ROW($O51),MATCH("Downmove", Price_Header,0)))))</f>
        <v>0.67071435714285799</v>
      </c>
      <c r="R51" s="46">
        <f ca="1">IF(tbl_AMD[[#This Row],[Avg_Upmove]]="", "", tbl_AMD[[#This Row],[Avg_Upmove]]/tbl_AMD[[#This Row],[Avg_Downmove]])</f>
        <v>1.8935035257184736</v>
      </c>
      <c r="S51" s="10">
        <f ca="1">IF(ROW($N51)-4&lt;BB_Periods, "", _xlfn.STDEV.S(INDIRECT(ADDRESS(ROW($F51)-RSI_Periods +1, MATCH("Adj Close", Price_Header,0))): INDIRECT(ADDRESS(ROW($F51),MATCH("Adj Close", Price_Header,0)))))</f>
        <v>2.5934023950058958</v>
      </c>
    </row>
    <row r="52" spans="1:19" x14ac:dyDescent="0.25">
      <c r="A52" s="8">
        <v>44119</v>
      </c>
      <c r="B52" s="10">
        <v>83.400002000000001</v>
      </c>
      <c r="C52" s="10">
        <v>84.720000999999996</v>
      </c>
      <c r="D52" s="10">
        <v>82.419998000000007</v>
      </c>
      <c r="E52" s="10">
        <v>83.129997000000003</v>
      </c>
      <c r="F52" s="10">
        <v>83.129997000000003</v>
      </c>
      <c r="G52">
        <v>33696400</v>
      </c>
      <c r="H52" s="10">
        <f>IF(tbl_AMD[[#This Row],[Date]]=$A$5, $F52, EMA_Beta*$H51 + (1-EMA_Beta)*$F52)</f>
        <v>82.937622339356409</v>
      </c>
      <c r="I52" s="46">
        <f ca="1">IF(tbl_AMD[[#This Row],[RS]]= "", "", 100-(100/(1+tbl_AMD[[#This Row],[RS]])))</f>
        <v>59.746247645857828</v>
      </c>
      <c r="J52" s="10">
        <f ca="1">IF(ROW($N52)-4&lt;BB_Periods, "", AVERAGE(INDIRECT(ADDRESS(ROW($F52)-RSI_Periods +1, MATCH("Adj Close", Price_Header,0))): INDIRECT(ADDRESS(ROW($F52),MATCH("Adj Close", Price_Header,0)))))</f>
        <v>83.838571785714294</v>
      </c>
      <c r="K52" s="10">
        <f ca="1">IF(tbl_AMD[[#This Row],[BB_Mean]]="", "", tbl_AMD[[#This Row],[BB_Mean]]+(BB_Width*tbl_AMD[[#This Row],[BB_Stdev]]))</f>
        <v>88.003657233648354</v>
      </c>
      <c r="L52" s="10">
        <f ca="1">IF(tbl_AMD[[#This Row],[BB_Mean]]="", "", tbl_AMD[[#This Row],[BB_Mean]]-(BB_Width*tbl_AMD[[#This Row],[BB_Stdev]]))</f>
        <v>79.673486337780233</v>
      </c>
      <c r="M52" s="46">
        <f>IF(ROW(tbl_AMD[[#This Row],[Adj Close]])=5, 0, $F52-$F51)</f>
        <v>-1.0800019999999932</v>
      </c>
      <c r="N52" s="46">
        <f>MAX(tbl_AMD[[#This Row],[Move]],0)</f>
        <v>0</v>
      </c>
      <c r="O52" s="46">
        <f>MAX(-tbl_AMD[[#This Row],[Move]],0)</f>
        <v>1.0800019999999932</v>
      </c>
      <c r="P52" s="46">
        <f ca="1">IF(ROW($N52)-5&lt;RSI_Periods, "", AVERAGE(INDIRECT(ADDRESS(ROW($N52)-RSI_Periods +1, MATCH("Upmove", Price_Header,0))): INDIRECT(ADDRESS(ROW($N52),MATCH("Upmove", Price_Header,0)))))</f>
        <v>1.110000142857144</v>
      </c>
      <c r="Q52" s="46">
        <f ca="1">IF(ROW($O52)-5&lt;RSI_Periods, "", AVERAGE(INDIRECT(ADDRESS(ROW($O52)-RSI_Periods +1, MATCH("Downmove", Price_Header,0))): INDIRECT(ADDRESS(ROW($O52),MATCH("Downmove", Price_Header,0)))))</f>
        <v>0.7478573571428575</v>
      </c>
      <c r="R52" s="46">
        <f ca="1">IF(tbl_AMD[[#This Row],[Avg_Upmove]]="", "", tbl_AMD[[#This Row],[Avg_Upmove]]/tbl_AMD[[#This Row],[Avg_Downmove]])</f>
        <v>1.484240453417254</v>
      </c>
      <c r="S52" s="10">
        <f ca="1">IF(ROW($N52)-4&lt;BB_Periods, "", _xlfn.STDEV.S(INDIRECT(ADDRESS(ROW($F52)-RSI_Periods +1, MATCH("Adj Close", Price_Header,0))): INDIRECT(ADDRESS(ROW($F52),MATCH("Adj Close", Price_Header,0)))))</f>
        <v>2.0825427239670335</v>
      </c>
    </row>
    <row r="53" spans="1:19" x14ac:dyDescent="0.25">
      <c r="A53" s="8">
        <v>44120</v>
      </c>
      <c r="B53" s="10">
        <v>83.540001000000004</v>
      </c>
      <c r="C53" s="10">
        <v>83.989998</v>
      </c>
      <c r="D53" s="10">
        <v>82.410004000000001</v>
      </c>
      <c r="E53" s="10">
        <v>83.169998000000007</v>
      </c>
      <c r="F53" s="10">
        <v>83.169998000000007</v>
      </c>
      <c r="G53">
        <v>31474300</v>
      </c>
      <c r="H53" s="10">
        <f>IF(tbl_AMD[[#This Row],[Date]]=$A$5, $F53, EMA_Beta*$H52 + (1-EMA_Beta)*$F53)</f>
        <v>82.960859905420776</v>
      </c>
      <c r="I53" s="46">
        <f ca="1">IF(tbl_AMD[[#This Row],[RS]]= "", "", 100-(100/(1+tbl_AMD[[#This Row],[RS]])))</f>
        <v>57.490854344666914</v>
      </c>
      <c r="J53" s="10">
        <f ca="1">IF(ROW($N53)-4&lt;BB_Periods, "", AVERAGE(INDIRECT(ADDRESS(ROW($F53)-RSI_Periods +1, MATCH("Adj Close", Price_Header,0))): INDIRECT(ADDRESS(ROW($F53),MATCH("Adj Close", Price_Header,0)))))</f>
        <v>84.102142857142866</v>
      </c>
      <c r="K53" s="10">
        <f ca="1">IF(tbl_AMD[[#This Row],[BB_Mean]]="", "", tbl_AMD[[#This Row],[BB_Mean]]+(BB_Width*tbl_AMD[[#This Row],[BB_Stdev]]))</f>
        <v>87.469775564794645</v>
      </c>
      <c r="L53" s="10">
        <f ca="1">IF(tbl_AMD[[#This Row],[BB_Mean]]="", "", tbl_AMD[[#This Row],[BB_Mean]]-(BB_Width*tbl_AMD[[#This Row],[BB_Stdev]]))</f>
        <v>80.734510149491086</v>
      </c>
      <c r="M53" s="46">
        <f>IF(ROW(tbl_AMD[[#This Row],[Adj Close]])=5, 0, $F53-$F52)</f>
        <v>4.0001000000003728E-2</v>
      </c>
      <c r="N53" s="46">
        <f>MAX(tbl_AMD[[#This Row],[Move]],0)</f>
        <v>4.0001000000003728E-2</v>
      </c>
      <c r="O53" s="46">
        <f>MAX(-tbl_AMD[[#This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1.0114284285714297</v>
      </c>
      <c r="Q53" s="46">
        <f ca="1">IF(ROW($O53)-5&lt;RSI_Periods, "", AVERAGE(INDIRECT(ADDRESS(ROW($O53)-RSI_Periods +1, MATCH("Downmove", Price_Header,0))): INDIRECT(ADDRESS(ROW($O53),MATCH("Downmove", Price_Header,0)))))</f>
        <v>0.7478573571428575</v>
      </c>
      <c r="R53" s="46">
        <f ca="1">IF(tbl_AMD[[#This Row],[Avg_Upmove]]="", "", tbl_AMD[[#This Row],[Avg_Upmove]]/tbl_AMD[[#This Row],[Avg_Downmove]])</f>
        <v>1.352434951546815</v>
      </c>
      <c r="S53" s="10">
        <f ca="1">IF(ROW($N53)-4&lt;BB_Periods, "", _xlfn.STDEV.S(INDIRECT(ADDRESS(ROW($F53)-RSI_Periods +1, MATCH("Adj Close", Price_Header,0))): INDIRECT(ADDRESS(ROW($F53),MATCH("Adj Close", Price_Header,0)))))</f>
        <v>1.6838163538258903</v>
      </c>
    </row>
    <row r="54" spans="1:19" x14ac:dyDescent="0.25">
      <c r="A54" s="8">
        <v>44123</v>
      </c>
      <c r="B54" s="10">
        <v>83.620002999999997</v>
      </c>
      <c r="C54" s="10">
        <v>84.650002000000001</v>
      </c>
      <c r="D54" s="10">
        <v>81.529999000000004</v>
      </c>
      <c r="E54" s="10">
        <v>82</v>
      </c>
      <c r="F54" s="10">
        <v>82</v>
      </c>
      <c r="G54">
        <v>36689100</v>
      </c>
      <c r="H54" s="10">
        <f>IF(tbl_AMD[[#This Row],[Date]]=$A$5, $F54, EMA_Beta*$H53 + (1-EMA_Beta)*$F54)</f>
        <v>82.864773914878697</v>
      </c>
      <c r="I54" s="46">
        <f ca="1">IF(tbl_AMD[[#This Row],[RS]]= "", "", 100-(100/(1+tbl_AMD[[#This Row],[RS]])))</f>
        <v>50.489159827911557</v>
      </c>
      <c r="J54" s="10">
        <f ca="1">IF(ROW($N54)-4&lt;BB_Periods, "", AVERAGE(INDIRECT(ADDRESS(ROW($F54)-RSI_Periods +1, MATCH("Adj Close", Price_Header,0))): INDIRECT(ADDRESS(ROW($F54),MATCH("Adj Close", Price_Header,0)))))</f>
        <v>84.118571642857134</v>
      </c>
      <c r="K54" s="10">
        <f ca="1">IF(tbl_AMD[[#This Row],[BB_Mean]]="", "", tbl_AMD[[#This Row],[BB_Mean]]+(BB_Width*tbl_AMD[[#This Row],[BB_Stdev]]))</f>
        <v>87.439109564857915</v>
      </c>
      <c r="L54" s="10">
        <f ca="1">IF(tbl_AMD[[#This Row],[BB_Mean]]="", "", tbl_AMD[[#This Row],[BB_Mean]]-(BB_Width*tbl_AMD[[#This Row],[BB_Stdev]]))</f>
        <v>80.798033720856353</v>
      </c>
      <c r="M54" s="46">
        <f>IF(ROW(tbl_AMD[[#This Row],[Adj Close]])=5, 0, $F54-$F53)</f>
        <v>-1.1699980000000068</v>
      </c>
      <c r="N54" s="46">
        <f>MAX(tbl_AMD[[#This Row],[Move]],0)</f>
        <v>0</v>
      </c>
      <c r="O54" s="46">
        <f>MAX(-tbl_AMD[[#This Row],[Move]],0)</f>
        <v>1.1699980000000068</v>
      </c>
      <c r="P54" s="46">
        <f ca="1">IF(ROW($N54)-5&lt;RSI_Periods, "", AVERAGE(INDIRECT(ADDRESS(ROW($N54)-RSI_Periods +1, MATCH("Upmove", Price_Header,0))): INDIRECT(ADDRESS(ROW($N54),MATCH("Upmove", Price_Header,0)))))</f>
        <v>0.84785742857142921</v>
      </c>
      <c r="Q54" s="46">
        <f ca="1">IF(ROW($O54)-5&lt;RSI_Periods, "", AVERAGE(INDIRECT(ADDRESS(ROW($O54)-RSI_Periods +1, MATCH("Downmove", Price_Header,0))): INDIRECT(ADDRESS(ROW($O54),MATCH("Downmove", Price_Header,0)))))</f>
        <v>0.83142864285714368</v>
      </c>
      <c r="R54" s="46">
        <f ca="1">IF(tbl_AMD[[#This Row],[Avg_Upmove]]="", "", tbl_AMD[[#This Row],[Avg_Upmove]]/tbl_AMD[[#This Row],[Avg_Downmove]])</f>
        <v>1.0197597062062105</v>
      </c>
      <c r="S54" s="10">
        <f ca="1">IF(ROW($N54)-4&lt;BB_Periods, "", _xlfn.STDEV.S(INDIRECT(ADDRESS(ROW($F54)-RSI_Periods +1, MATCH("Adj Close", Price_Header,0))): INDIRECT(ADDRESS(ROW($F54),MATCH("Adj Close", Price_Header,0)))))</f>
        <v>1.6602689610003931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SUBTOTAL(103,tbl_AMD[BB_Stdev])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opLeftCell="A28" workbookViewId="0">
      <selection activeCell="M61" sqref="M61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320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87.940002000000007</v>
      </c>
      <c r="C5" s="10">
        <v>89.760002</v>
      </c>
      <c r="D5" s="10">
        <v>87.599997999999999</v>
      </c>
      <c r="E5" s="10">
        <v>89.730002999999996</v>
      </c>
      <c r="F5" s="10">
        <v>88.454780999999997</v>
      </c>
      <c r="G5">
        <v>8150200</v>
      </c>
      <c r="H5" s="10">
        <f>IF(tbl_CVX[[#This Row],[Date]]=$A$5, $F5, EMA_Beta*$H4 + (1-EMA_Beta)*$F5)</f>
        <v>88.454780999999997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91.949996999999996</v>
      </c>
      <c r="C6" s="10">
        <v>93.010002</v>
      </c>
      <c r="D6" s="10">
        <v>89.169998000000007</v>
      </c>
      <c r="E6" s="10">
        <v>89.620002999999997</v>
      </c>
      <c r="F6" s="10">
        <v>88.346344000000002</v>
      </c>
      <c r="G6">
        <v>9074300</v>
      </c>
      <c r="H6" s="10">
        <f>IF(tbl_CVX[[#This Row],[Date]]=$A$5, $F6, EMA_Beta*$H5 + (1-EMA_Beta)*$F6)</f>
        <v>88.443937300000002</v>
      </c>
      <c r="I6" s="46" t="str">
        <f ca="1">IF(tbl_CVX[[#This Row],[RS]]= "", "", 100-(100/(1+tbl_CVX[[#This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IF(tbl_CVX[[#This Row],[BB_Mean]]="", "", tbl_CVX[[#This Row],[BB_Mean]]+(BB_Width*tbl_CVX[[#This Row],[BB_Stdev]]))</f>
        <v/>
      </c>
      <c r="L6" s="10" t="str">
        <f ca="1">IF(tbl_CVX[[#This Row],[BB_Mean]]="", "", tbl_CVX[[#This Row],[BB_Mean]]-(BB_Width*tbl_CVX[[#This Row],[BB_Stdev]]))</f>
        <v/>
      </c>
      <c r="M6" s="46">
        <f>IF(ROW(tbl_CVX[[#This Row],[Adj Close]])=5, 0, $F6-$F5)</f>
        <v>-0.10843699999999501</v>
      </c>
      <c r="N6" s="46">
        <f>MAX(tbl_CVX[[#This Row],[Move]],0)</f>
        <v>0</v>
      </c>
      <c r="O6" s="46">
        <f>MAX(-tbl_CVX[[#This Row],[Move]],0)</f>
        <v>0.10843699999999501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IF(tbl_CVX[[#This Row],[Avg_Upmove]]="", "", tbl_CVX[[#This Row],[Avg_Upmove]]/tbl_CVX[[#This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90.800003000000004</v>
      </c>
      <c r="C7" s="10">
        <v>91.660004000000001</v>
      </c>
      <c r="D7" s="10">
        <v>89.449996999999996</v>
      </c>
      <c r="E7" s="10">
        <v>90.720000999999996</v>
      </c>
      <c r="F7" s="10">
        <v>89.430710000000005</v>
      </c>
      <c r="G7">
        <v>9058000</v>
      </c>
      <c r="H7" s="10">
        <f>IF(tbl_CVX[[#This Row],[Date]]=$A$5, $F7, EMA_Beta*$H6 + (1-EMA_Beta)*$F7)</f>
        <v>88.542614570000012</v>
      </c>
      <c r="I7" s="46" t="str">
        <f ca="1">IF(tbl_CVX[[#This Row],[RS]]= "", "", 100-(100/(1+tbl_CVX[[#This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IF(tbl_CVX[[#This Row],[BB_Mean]]="", "", tbl_CVX[[#This Row],[BB_Mean]]+(BB_Width*tbl_CVX[[#This Row],[BB_Stdev]]))</f>
        <v/>
      </c>
      <c r="L7" s="10" t="str">
        <f ca="1">IF(tbl_CVX[[#This Row],[BB_Mean]]="", "", tbl_CVX[[#This Row],[BB_Mean]]-(BB_Width*tbl_CVX[[#This Row],[BB_Stdev]]))</f>
        <v/>
      </c>
      <c r="M7" s="46">
        <f>IF(ROW(tbl_CVX[[#This Row],[Adj Close]])=5, 0, $F7-$F6)</f>
        <v>1.0843660000000028</v>
      </c>
      <c r="N7" s="46">
        <f>MAX(tbl_CVX[[#This Row],[Move]],0)</f>
        <v>1.0843660000000028</v>
      </c>
      <c r="O7" s="46">
        <f>MAX(-tbl_CVX[[#This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IF(tbl_CVX[[#This Row],[Avg_Upmove]]="", "", tbl_CVX[[#This Row],[Avg_Upmove]]/tbl_CVX[[#This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89.870002999999997</v>
      </c>
      <c r="C8" s="10">
        <v>91.279999000000004</v>
      </c>
      <c r="D8" s="10">
        <v>89.760002</v>
      </c>
      <c r="E8" s="10">
        <v>89.82</v>
      </c>
      <c r="F8" s="10">
        <v>88.543494999999993</v>
      </c>
      <c r="G8">
        <v>7314600</v>
      </c>
      <c r="H8" s="10">
        <f>IF(tbl_CVX[[#This Row],[Date]]=$A$5, $F8, EMA_Beta*$H7 + (1-EMA_Beta)*$F8)</f>
        <v>88.542702613000017</v>
      </c>
      <c r="I8" s="46" t="str">
        <f ca="1">IF(tbl_CVX[[#This Row],[RS]]= "", "", 100-(100/(1+tbl_CVX[[#This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IF(tbl_CVX[[#This Row],[BB_Mean]]="", "", tbl_CVX[[#This Row],[BB_Mean]]+(BB_Width*tbl_CVX[[#This Row],[BB_Stdev]]))</f>
        <v/>
      </c>
      <c r="L8" s="10" t="str">
        <f ca="1">IF(tbl_CVX[[#This Row],[BB_Mean]]="", "", tbl_CVX[[#This Row],[BB_Mean]]-(BB_Width*tbl_CVX[[#This Row],[BB_Stdev]]))</f>
        <v/>
      </c>
      <c r="M8" s="46">
        <f>IF(ROW(tbl_CVX[[#This Row],[Adj Close]])=5, 0, $F8-$F7)</f>
        <v>-0.88721500000001186</v>
      </c>
      <c r="N8" s="46">
        <f>MAX(tbl_CVX[[#This Row],[Move]],0)</f>
        <v>0</v>
      </c>
      <c r="O8" s="46">
        <f>MAX(-tbl_CVX[[#This Row],[Move]],0)</f>
        <v>0.88721500000001186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IF(tbl_CVX[[#This Row],[Avg_Upmove]]="", "", tbl_CVX[[#This Row],[Avg_Upmove]]/tbl_CVX[[#This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89</v>
      </c>
      <c r="C9" s="10">
        <v>90.589995999999999</v>
      </c>
      <c r="D9" s="10">
        <v>88.849997999999999</v>
      </c>
      <c r="E9" s="10">
        <v>90.349997999999999</v>
      </c>
      <c r="F9" s="10">
        <v>89.065963999999994</v>
      </c>
      <c r="G9">
        <v>6343000</v>
      </c>
      <c r="H9" s="10">
        <f>IF(tbl_CVX[[#This Row],[Date]]=$A$5, $F9, EMA_Beta*$H8 + (1-EMA_Beta)*$F9)</f>
        <v>88.595028751700013</v>
      </c>
      <c r="I9" s="46" t="str">
        <f ca="1">IF(tbl_CVX[[#This Row],[RS]]= "", "", 100-(100/(1+tbl_CVX[[#This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IF(tbl_CVX[[#This Row],[BB_Mean]]="", "", tbl_CVX[[#This Row],[BB_Mean]]+(BB_Width*tbl_CVX[[#This Row],[BB_Stdev]]))</f>
        <v/>
      </c>
      <c r="L9" s="10" t="str">
        <f ca="1">IF(tbl_CVX[[#This Row],[BB_Mean]]="", "", tbl_CVX[[#This Row],[BB_Mean]]-(BB_Width*tbl_CVX[[#This Row],[BB_Stdev]]))</f>
        <v/>
      </c>
      <c r="M9" s="46">
        <f>IF(ROW(tbl_CVX[[#This Row],[Adj Close]])=5, 0, $F9-$F8)</f>
        <v>0.52246900000000096</v>
      </c>
      <c r="N9" s="46">
        <f>MAX(tbl_CVX[[#This Row],[Move]],0)</f>
        <v>0.52246900000000096</v>
      </c>
      <c r="O9" s="46">
        <f>MAX(-tbl_CVX[[#This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IF(tbl_CVX[[#This Row],[Avg_Upmove]]="", "", tbl_CVX[[#This Row],[Avg_Upmove]]/tbl_CVX[[#This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90.349997999999999</v>
      </c>
      <c r="C10" s="10">
        <v>91.580001999999993</v>
      </c>
      <c r="D10" s="10">
        <v>89.720000999999996</v>
      </c>
      <c r="E10" s="10">
        <v>90.769997000000004</v>
      </c>
      <c r="F10" s="10">
        <v>89.479996</v>
      </c>
      <c r="G10">
        <v>10473800</v>
      </c>
      <c r="H10" s="10">
        <f>IF(tbl_CVX[[#This Row],[Date]]=$A$5, $F10, EMA_Beta*$H9 + (1-EMA_Beta)*$F10)</f>
        <v>88.683525476530022</v>
      </c>
      <c r="I10" s="46" t="str">
        <f ca="1">IF(tbl_CVX[[#This Row],[RS]]= "", "", 100-(100/(1+tbl_CVX[[#This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IF(tbl_CVX[[#This Row],[BB_Mean]]="", "", tbl_CVX[[#This Row],[BB_Mean]]+(BB_Width*tbl_CVX[[#This Row],[BB_Stdev]]))</f>
        <v/>
      </c>
      <c r="L10" s="10" t="str">
        <f ca="1">IF(tbl_CVX[[#This Row],[BB_Mean]]="", "", tbl_CVX[[#This Row],[BB_Mean]]-(BB_Width*tbl_CVX[[#This Row],[BB_Stdev]]))</f>
        <v/>
      </c>
      <c r="M10" s="46">
        <f>IF(ROW(tbl_CVX[[#This Row],[Adj Close]])=5, 0, $F10-$F9)</f>
        <v>0.41403200000000595</v>
      </c>
      <c r="N10" s="46">
        <f>MAX(tbl_CVX[[#This Row],[Move]],0)</f>
        <v>0.41403200000000595</v>
      </c>
      <c r="O10" s="46">
        <f>MAX(-tbl_CVX[[#This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IF(tbl_CVX[[#This Row],[Avg_Upmove]]="", "", tbl_CVX[[#This Row],[Avg_Upmove]]/tbl_CVX[[#This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88.970000999999996</v>
      </c>
      <c r="C11" s="10">
        <v>89.370002999999997</v>
      </c>
      <c r="D11" s="10">
        <v>87.32</v>
      </c>
      <c r="E11" s="10">
        <v>87.629997000000003</v>
      </c>
      <c r="F11" s="10">
        <v>87.629997000000003</v>
      </c>
      <c r="G11">
        <v>7981500</v>
      </c>
      <c r="H11" s="10">
        <f>IF(tbl_CVX[[#This Row],[Date]]=$A$5, $F11, EMA_Beta*$H10 + (1-EMA_Beta)*$F11)</f>
        <v>88.578172628877013</v>
      </c>
      <c r="I11" s="46" t="str">
        <f ca="1">IF(tbl_CVX[[#This Row],[RS]]= "", "", 100-(100/(1+tbl_CVX[[#This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IF(tbl_CVX[[#This Row],[BB_Mean]]="", "", tbl_CVX[[#This Row],[BB_Mean]]+(BB_Width*tbl_CVX[[#This Row],[BB_Stdev]]))</f>
        <v/>
      </c>
      <c r="L11" s="10" t="str">
        <f ca="1">IF(tbl_CVX[[#This Row],[BB_Mean]]="", "", tbl_CVX[[#This Row],[BB_Mean]]-(BB_Width*tbl_CVX[[#This Row],[BB_Stdev]]))</f>
        <v/>
      </c>
      <c r="M11" s="46">
        <f>IF(ROW(tbl_CVX[[#This Row],[Adj Close]])=5, 0, $F11-$F10)</f>
        <v>-1.8499989999999968</v>
      </c>
      <c r="N11" s="46">
        <f>MAX(tbl_CVX[[#This Row],[Move]],0)</f>
        <v>0</v>
      </c>
      <c r="O11" s="46">
        <f>MAX(-tbl_CVX[[#This Row],[Move]],0)</f>
        <v>1.8499989999999968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IF(tbl_CVX[[#This Row],[Avg_Upmove]]="", "", tbl_CVX[[#This Row],[Avg_Upmove]]/tbl_CVX[[#This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87.300003000000004</v>
      </c>
      <c r="C12" s="10">
        <v>87.900002000000001</v>
      </c>
      <c r="D12" s="10">
        <v>86.199996999999996</v>
      </c>
      <c r="E12" s="10">
        <v>86.389999000000003</v>
      </c>
      <c r="F12" s="10">
        <v>86.389999000000003</v>
      </c>
      <c r="G12">
        <v>9120300</v>
      </c>
      <c r="H12" s="10">
        <f>IF(tbl_CVX[[#This Row],[Date]]=$A$5, $F12, EMA_Beta*$H11 + (1-EMA_Beta)*$F12)</f>
        <v>88.359355265989322</v>
      </c>
      <c r="I12" s="46" t="str">
        <f ca="1">IF(tbl_CVX[[#This Row],[RS]]= "", "", 100-(100/(1+tbl_CVX[[#This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IF(tbl_CVX[[#This Row],[BB_Mean]]="", "", tbl_CVX[[#This Row],[BB_Mean]]+(BB_Width*tbl_CVX[[#This Row],[BB_Stdev]]))</f>
        <v/>
      </c>
      <c r="L12" s="10" t="str">
        <f ca="1">IF(tbl_CVX[[#This Row],[BB_Mean]]="", "", tbl_CVX[[#This Row],[BB_Mean]]-(BB_Width*tbl_CVX[[#This Row],[BB_Stdev]]))</f>
        <v/>
      </c>
      <c r="M12" s="46">
        <f>IF(ROW(tbl_CVX[[#This Row],[Adj Close]])=5, 0, $F12-$F11)</f>
        <v>-1.2399979999999999</v>
      </c>
      <c r="N12" s="46">
        <f>MAX(tbl_CVX[[#This Row],[Move]],0)</f>
        <v>0</v>
      </c>
      <c r="O12" s="46">
        <f>MAX(-tbl_CVX[[#This Row],[Move]],0)</f>
        <v>1.2399979999999999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IF(tbl_CVX[[#This Row],[Avg_Upmove]]="", "", tbl_CVX[[#This Row],[Avg_Upmove]]/tbl_CVX[[#This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85.419998000000007</v>
      </c>
      <c r="C13" s="10">
        <v>86.889999000000003</v>
      </c>
      <c r="D13" s="10">
        <v>84.730002999999996</v>
      </c>
      <c r="E13" s="10">
        <v>84.809997999999993</v>
      </c>
      <c r="F13" s="10">
        <v>84.809997999999993</v>
      </c>
      <c r="G13">
        <v>7872300</v>
      </c>
      <c r="H13" s="10">
        <f>IF(tbl_CVX[[#This Row],[Date]]=$A$5, $F13, EMA_Beta*$H12 + (1-EMA_Beta)*$F13)</f>
        <v>88.004419539390383</v>
      </c>
      <c r="I13" s="46" t="str">
        <f ca="1">IF(tbl_CVX[[#This Row],[RS]]= "", "", 100-(100/(1+tbl_CVX[[#This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IF(tbl_CVX[[#This Row],[BB_Mean]]="", "", tbl_CVX[[#This Row],[BB_Mean]]+(BB_Width*tbl_CVX[[#This Row],[BB_Stdev]]))</f>
        <v/>
      </c>
      <c r="L13" s="10" t="str">
        <f ca="1">IF(tbl_CVX[[#This Row],[BB_Mean]]="", "", tbl_CVX[[#This Row],[BB_Mean]]-(BB_Width*tbl_CVX[[#This Row],[BB_Stdev]]))</f>
        <v/>
      </c>
      <c r="M13" s="46">
        <f>IF(ROW(tbl_CVX[[#This Row],[Adj Close]])=5, 0, $F13-$F12)</f>
        <v>-1.58000100000001</v>
      </c>
      <c r="N13" s="46">
        <f>MAX(tbl_CVX[[#This Row],[Move]],0)</f>
        <v>0</v>
      </c>
      <c r="O13" s="46">
        <f>MAX(-tbl_CVX[[#This Row],[Move]],0)</f>
        <v>1.58000100000001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IF(tbl_CVX[[#This Row],[Avg_Upmove]]="", "", tbl_CVX[[#This Row],[Avg_Upmove]]/tbl_CVX[[#This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84.669998000000007</v>
      </c>
      <c r="C14" s="10">
        <v>85.089995999999999</v>
      </c>
      <c r="D14" s="10">
        <v>83.510002</v>
      </c>
      <c r="E14" s="10">
        <v>85.080001999999993</v>
      </c>
      <c r="F14" s="10">
        <v>85.080001999999993</v>
      </c>
      <c r="G14">
        <v>9003600</v>
      </c>
      <c r="H14" s="10">
        <f>IF(tbl_CVX[[#This Row],[Date]]=$A$5, $F14, EMA_Beta*$H13 + (1-EMA_Beta)*$F14)</f>
        <v>87.711977785451339</v>
      </c>
      <c r="I14" s="46" t="str">
        <f ca="1">IF(tbl_CVX[[#This Row],[RS]]= "", "", 100-(100/(1+tbl_CVX[[#This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IF(tbl_CVX[[#This Row],[BB_Mean]]="", "", tbl_CVX[[#This Row],[BB_Mean]]+(BB_Width*tbl_CVX[[#This Row],[BB_Stdev]]))</f>
        <v/>
      </c>
      <c r="L14" s="10" t="str">
        <f ca="1">IF(tbl_CVX[[#This Row],[BB_Mean]]="", "", tbl_CVX[[#This Row],[BB_Mean]]-(BB_Width*tbl_CVX[[#This Row],[BB_Stdev]]))</f>
        <v/>
      </c>
      <c r="M14" s="46">
        <f>IF(ROW(tbl_CVX[[#This Row],[Adj Close]])=5, 0, $F14-$F13)</f>
        <v>0.27000400000000013</v>
      </c>
      <c r="N14" s="46">
        <f>MAX(tbl_CVX[[#This Row],[Move]],0)</f>
        <v>0.27000400000000013</v>
      </c>
      <c r="O14" s="46">
        <f>MAX(-tbl_CVX[[#This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IF(tbl_CVX[[#This Row],[Avg_Upmove]]="", "", tbl_CVX[[#This Row],[Avg_Upmove]]/tbl_CVX[[#This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85.599997999999999</v>
      </c>
      <c r="C15" s="10">
        <v>87.339995999999999</v>
      </c>
      <c r="D15" s="10">
        <v>84.889999000000003</v>
      </c>
      <c r="E15" s="10">
        <v>87.199996999999996</v>
      </c>
      <c r="F15" s="10">
        <v>87.199996999999996</v>
      </c>
      <c r="G15">
        <v>8738700</v>
      </c>
      <c r="H15" s="10">
        <f>IF(tbl_CVX[[#This Row],[Date]]=$A$5, $F15, EMA_Beta*$H14 + (1-EMA_Beta)*$F15)</f>
        <v>87.660779706906212</v>
      </c>
      <c r="I15" s="46" t="str">
        <f ca="1">IF(tbl_CVX[[#This Row],[RS]]= "", "", 100-(100/(1+tbl_CVX[[#This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IF(tbl_CVX[[#This Row],[BB_Mean]]="", "", tbl_CVX[[#This Row],[BB_Mean]]+(BB_Width*tbl_CVX[[#This Row],[BB_Stdev]]))</f>
        <v/>
      </c>
      <c r="L15" s="10" t="str">
        <f ca="1">IF(tbl_CVX[[#This Row],[BB_Mean]]="", "", tbl_CVX[[#This Row],[BB_Mean]]-(BB_Width*tbl_CVX[[#This Row],[BB_Stdev]]))</f>
        <v/>
      </c>
      <c r="M15" s="46">
        <f>IF(ROW(tbl_CVX[[#This Row],[Adj Close]])=5, 0, $F15-$F14)</f>
        <v>2.119995000000003</v>
      </c>
      <c r="N15" s="46">
        <f>MAX(tbl_CVX[[#This Row],[Move]],0)</f>
        <v>2.119995000000003</v>
      </c>
      <c r="O15" s="46">
        <f>MAX(-tbl_CVX[[#This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IF(tbl_CVX[[#This Row],[Avg_Upmove]]="", "", tbl_CVX[[#This Row],[Avg_Upmove]]/tbl_CVX[[#This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88.010002</v>
      </c>
      <c r="C16" s="10">
        <v>88.040001000000004</v>
      </c>
      <c r="D16" s="10">
        <v>85.760002</v>
      </c>
      <c r="E16" s="10">
        <v>86.129997000000003</v>
      </c>
      <c r="F16" s="10">
        <v>86.129997000000003</v>
      </c>
      <c r="G16">
        <v>6835800</v>
      </c>
      <c r="H16" s="10">
        <f>IF(tbl_CVX[[#This Row],[Date]]=$A$5, $F16, EMA_Beta*$H15 + (1-EMA_Beta)*$F16)</f>
        <v>87.507701436215598</v>
      </c>
      <c r="I16" s="46" t="str">
        <f ca="1">IF(tbl_CVX[[#This Row],[RS]]= "", "", 100-(100/(1+tbl_CVX[[#This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IF(tbl_CVX[[#This Row],[BB_Mean]]="", "", tbl_CVX[[#This Row],[BB_Mean]]+(BB_Width*tbl_CVX[[#This Row],[BB_Stdev]]))</f>
        <v/>
      </c>
      <c r="L16" s="10" t="str">
        <f ca="1">IF(tbl_CVX[[#This Row],[BB_Mean]]="", "", tbl_CVX[[#This Row],[BB_Mean]]-(BB_Width*tbl_CVX[[#This Row],[BB_Stdev]]))</f>
        <v/>
      </c>
      <c r="M16" s="46">
        <f>IF(ROW(tbl_CVX[[#This Row],[Adj Close]])=5, 0, $F16-$F15)</f>
        <v>-1.0699999999999932</v>
      </c>
      <c r="N16" s="46">
        <f>MAX(tbl_CVX[[#This Row],[Move]],0)</f>
        <v>0</v>
      </c>
      <c r="O16" s="46">
        <f>MAX(-tbl_CVX[[#This Row],[Move]],0)</f>
        <v>1.0699999999999932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IF(tbl_CVX[[#This Row],[Avg_Upmove]]="", "", tbl_CVX[[#This Row],[Avg_Upmove]]/tbl_CVX[[#This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85.709998999999996</v>
      </c>
      <c r="C17" s="10">
        <v>85.839995999999999</v>
      </c>
      <c r="D17" s="10">
        <v>84.660004000000001</v>
      </c>
      <c r="E17" s="10">
        <v>84.779999000000004</v>
      </c>
      <c r="F17" s="10">
        <v>84.779999000000004</v>
      </c>
      <c r="G17">
        <v>7486500</v>
      </c>
      <c r="H17" s="10">
        <f>IF(tbl_CVX[[#This Row],[Date]]=$A$5, $F17, EMA_Beta*$H16 + (1-EMA_Beta)*$F17)</f>
        <v>87.234931192594047</v>
      </c>
      <c r="I17" s="46" t="str">
        <f ca="1">IF(tbl_CVX[[#This Row],[RS]]= "", "", 100-(100/(1+tbl_CVX[[#This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IF(tbl_CVX[[#This Row],[BB_Mean]]="", "", tbl_CVX[[#This Row],[BB_Mean]]+(BB_Width*tbl_CVX[[#This Row],[BB_Stdev]]))</f>
        <v/>
      </c>
      <c r="L17" s="10" t="str">
        <f ca="1">IF(tbl_CVX[[#This Row],[BB_Mean]]="", "", tbl_CVX[[#This Row],[BB_Mean]]-(BB_Width*tbl_CVX[[#This Row],[BB_Stdev]]))</f>
        <v/>
      </c>
      <c r="M17" s="46">
        <f>IF(ROW(tbl_CVX[[#This Row],[Adj Close]])=5, 0, $F17-$F16)</f>
        <v>-1.3499979999999994</v>
      </c>
      <c r="N17" s="46">
        <f>MAX(tbl_CVX[[#This Row],[Move]],0)</f>
        <v>0</v>
      </c>
      <c r="O17" s="46">
        <f>MAX(-tbl_CVX[[#This Row],[Move]],0)</f>
        <v>1.3499979999999994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IF(tbl_CVX[[#This Row],[Avg_Upmove]]="", "", tbl_CVX[[#This Row],[Avg_Upmove]]/tbl_CVX[[#This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85.160004000000001</v>
      </c>
      <c r="C18" s="10">
        <v>85.629997000000003</v>
      </c>
      <c r="D18" s="10">
        <v>83.970000999999996</v>
      </c>
      <c r="E18" s="10">
        <v>84.910004000000001</v>
      </c>
      <c r="F18" s="10">
        <v>84.910004000000001</v>
      </c>
      <c r="G18">
        <v>7438200</v>
      </c>
      <c r="H18" s="10">
        <f>IF(tbl_CVX[[#This Row],[Date]]=$A$5, $F18, EMA_Beta*$H17 + (1-EMA_Beta)*$F18)</f>
        <v>87.002438473334649</v>
      </c>
      <c r="I18" s="46" t="str">
        <f ca="1">IF(tbl_CVX[[#This Row],[RS]]= "", "", 100-(100/(1+tbl_CVX[[#This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87.160805928571449</v>
      </c>
      <c r="K18" s="10">
        <f ca="1">IF(tbl_CVX[[#This Row],[BB_Mean]]="", "", tbl_CVX[[#This Row],[BB_Mean]]+(BB_Width*tbl_CVX[[#This Row],[BB_Stdev]]))</f>
        <v>90.739426885974964</v>
      </c>
      <c r="L18" s="10">
        <f ca="1">IF(tbl_CVX[[#This Row],[BB_Mean]]="", "", tbl_CVX[[#This Row],[BB_Mean]]-(BB_Width*tbl_CVX[[#This Row],[BB_Stdev]]))</f>
        <v>83.582184971167933</v>
      </c>
      <c r="M18" s="46">
        <f>IF(ROW(tbl_CVX[[#This Row],[Adj Close]])=5, 0, $F18-$F17)</f>
        <v>0.13000499999999704</v>
      </c>
      <c r="N18" s="46">
        <f>MAX(tbl_CVX[[#This Row],[Move]],0)</f>
        <v>0.13000499999999704</v>
      </c>
      <c r="O18" s="46">
        <f>MAX(-tbl_CVX[[#This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IF(tbl_CVX[[#This Row],[Avg_Upmove]]="", "", tbl_CVX[[#This Row],[Avg_Upmove]]/tbl_CVX[[#This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1.7893104787017589</v>
      </c>
    </row>
    <row r="19" spans="1:19" x14ac:dyDescent="0.25">
      <c r="A19" s="8">
        <v>44071</v>
      </c>
      <c r="B19" s="10">
        <v>85.050003000000004</v>
      </c>
      <c r="C19" s="10">
        <v>85.730002999999996</v>
      </c>
      <c r="D19" s="10">
        <v>84.32</v>
      </c>
      <c r="E19" s="10">
        <v>85.629997000000003</v>
      </c>
      <c r="F19" s="10">
        <v>85.629997000000003</v>
      </c>
      <c r="G19">
        <v>7307900</v>
      </c>
      <c r="H19" s="10">
        <f>IF(tbl_CVX[[#This Row],[Date]]=$A$5, $F19, EMA_Beta*$H18 + (1-EMA_Beta)*$F19)</f>
        <v>86.865194326001188</v>
      </c>
      <c r="I19" s="46">
        <f ca="1">IF(tbl_CVX[[#This Row],[RS]]= "", "", 100-(100/(1+tbl_CVX[[#This Row],[RS]])))</f>
        <v>39.417519723505329</v>
      </c>
      <c r="J19" s="10">
        <f ca="1">IF(ROW($N19)-4&lt;BB_Periods, "", AVERAGE(INDIRECT(ADDRESS(ROW($F19)-RSI_Periods +1, MATCH("Adj Close", Price_Header,0))): INDIRECT(ADDRESS(ROW($F19),MATCH("Adj Close", Price_Header,0)))))</f>
        <v>86.95903564285716</v>
      </c>
      <c r="K19" s="10">
        <f ca="1">IF(tbl_CVX[[#This Row],[BB_Mean]]="", "", tbl_CVX[[#This Row],[BB_Mean]]+(BB_Width*tbl_CVX[[#This Row],[BB_Stdev]]))</f>
        <v>90.541912135502926</v>
      </c>
      <c r="L19" s="10">
        <f ca="1">IF(tbl_CVX[[#This Row],[BB_Mean]]="", "", tbl_CVX[[#This Row],[BB_Mean]]-(BB_Width*tbl_CVX[[#This Row],[BB_Stdev]]))</f>
        <v>83.376159150211393</v>
      </c>
      <c r="M19" s="46">
        <f>IF(ROW(tbl_CVX[[#This Row],[Adj Close]])=5, 0, $F19-$F18)</f>
        <v>0.71999300000000233</v>
      </c>
      <c r="N19" s="46">
        <f>MAX(tbl_CVX[[#This Row],[Move]],0)</f>
        <v>0.71999300000000233</v>
      </c>
      <c r="O19" s="46">
        <f>MAX(-tbl_CVX[[#This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0.37577600000000089</v>
      </c>
      <c r="Q19" s="46">
        <f ca="1">IF(ROW($O19)-5&lt;RSI_Periods, "", AVERAGE(INDIRECT(ADDRESS(ROW($O19)-RSI_Periods +1, MATCH("Downmove", Price_Header,0))): INDIRECT(ADDRESS(ROW($O19),MATCH("Downmove", Price_Header,0)))))</f>
        <v>0.57754628571428612</v>
      </c>
      <c r="R19" s="46">
        <f ca="1">IF(tbl_CVX[[#This Row],[Avg_Upmove]]="", "", tbl_CVX[[#This Row],[Avg_Upmove]]/tbl_CVX[[#This Row],[Avg_Downmove]])</f>
        <v>0.65064222434615115</v>
      </c>
      <c r="S19" s="10">
        <f ca="1">IF(ROW($N19)-4&lt;BB_Periods, "", _xlfn.STDEV.S(INDIRECT(ADDRESS(ROW($F19)-RSI_Periods +1, MATCH("Adj Close", Price_Header,0))): INDIRECT(ADDRESS(ROW($F19),MATCH("Adj Close", Price_Header,0)))))</f>
        <v>1.7914382463228815</v>
      </c>
    </row>
    <row r="20" spans="1:19" x14ac:dyDescent="0.25">
      <c r="A20" s="8">
        <v>44074</v>
      </c>
      <c r="B20" s="10">
        <v>85.830001999999993</v>
      </c>
      <c r="C20" s="10">
        <v>85.900002000000001</v>
      </c>
      <c r="D20" s="10">
        <v>83.870002999999997</v>
      </c>
      <c r="E20" s="10">
        <v>83.93</v>
      </c>
      <c r="F20" s="10">
        <v>83.93</v>
      </c>
      <c r="G20">
        <v>9437500</v>
      </c>
      <c r="H20" s="10">
        <f>IF(tbl_CVX[[#This Row],[Date]]=$A$5, $F20, EMA_Beta*$H19 + (1-EMA_Beta)*$F20)</f>
        <v>86.571674893401067</v>
      </c>
      <c r="I20" s="46">
        <f ca="1">IF(tbl_CVX[[#This Row],[RS]]= "", "", 100-(100/(1+tbl_CVX[[#This Row],[RS]])))</f>
        <v>35.217824629577393</v>
      </c>
      <c r="J20" s="10">
        <f ca="1">IF(ROW($N20)-4&lt;BB_Periods, "", AVERAGE(INDIRECT(ADDRESS(ROW($F20)-RSI_Periods +1, MATCH("Adj Close", Price_Header,0))): INDIRECT(ADDRESS(ROW($F20),MATCH("Adj Close", Price_Header,0)))))</f>
        <v>86.643582499999994</v>
      </c>
      <c r="K20" s="10">
        <f ca="1">IF(tbl_CVX[[#This Row],[BB_Mean]]="", "", tbl_CVX[[#This Row],[BB_Mean]]+(BB_Width*tbl_CVX[[#This Row],[BB_Stdev]]))</f>
        <v>90.469709110483464</v>
      </c>
      <c r="L20" s="10">
        <f ca="1">IF(tbl_CVX[[#This Row],[BB_Mean]]="", "", tbl_CVX[[#This Row],[BB_Mean]]-(BB_Width*tbl_CVX[[#This Row],[BB_Stdev]]))</f>
        <v>82.817455889516523</v>
      </c>
      <c r="M20" s="46">
        <f>IF(ROW(tbl_CVX[[#This Row],[Adj Close]])=5, 0, $F20-$F19)</f>
        <v>-1.6999969999999962</v>
      </c>
      <c r="N20" s="46">
        <f>MAX(tbl_CVX[[#This Row],[Move]],0)</f>
        <v>0</v>
      </c>
      <c r="O20" s="46">
        <f>MAX(-tbl_CVX[[#This Row],[Move]],0)</f>
        <v>1.6999969999999962</v>
      </c>
      <c r="P20" s="46">
        <f ca="1">IF(ROW($N20)-5&lt;RSI_Periods, "", AVERAGE(INDIRECT(ADDRESS(ROW($N20)-RSI_Periods +1, MATCH("Upmove", Price_Header,0))): INDIRECT(ADDRESS(ROW($N20),MATCH("Upmove", Price_Header,0)))))</f>
        <v>0.37577600000000089</v>
      </c>
      <c r="Q20" s="46">
        <f ca="1">IF(ROW($O20)-5&lt;RSI_Periods, "", AVERAGE(INDIRECT(ADDRESS(ROW($O20)-RSI_Periods +1, MATCH("Downmove", Price_Header,0))): INDIRECT(ADDRESS(ROW($O20),MATCH("Downmove", Price_Header,0)))))</f>
        <v>0.69122914285714343</v>
      </c>
      <c r="R20" s="46">
        <f ca="1">IF(tbl_CVX[[#This Row],[Avg_Upmove]]="", "", tbl_CVX[[#This Row],[Avg_Upmove]]/tbl_CVX[[#This Row],[Avg_Downmove]])</f>
        <v>0.54363448631051514</v>
      </c>
      <c r="S20" s="10">
        <f ca="1">IF(ROW($N20)-4&lt;BB_Periods, "", _xlfn.STDEV.S(INDIRECT(ADDRESS(ROW($F20)-RSI_Periods +1, MATCH("Adj Close", Price_Header,0))): INDIRECT(ADDRESS(ROW($F20),MATCH("Adj Close", Price_Header,0)))))</f>
        <v>1.9130633052417318</v>
      </c>
    </row>
    <row r="21" spans="1:19" x14ac:dyDescent="0.25">
      <c r="A21" s="8">
        <v>44075</v>
      </c>
      <c r="B21" s="10">
        <v>83.260002</v>
      </c>
      <c r="C21" s="10">
        <v>83.629997000000003</v>
      </c>
      <c r="D21" s="10">
        <v>82.449996999999996</v>
      </c>
      <c r="E21" s="10">
        <v>83.080001999999993</v>
      </c>
      <c r="F21" s="10">
        <v>83.080001999999993</v>
      </c>
      <c r="G21">
        <v>8997200</v>
      </c>
      <c r="H21" s="10">
        <f>IF(tbl_CVX[[#This Row],[Date]]=$A$5, $F21, EMA_Beta*$H20 + (1-EMA_Beta)*$F21)</f>
        <v>86.222507604060951</v>
      </c>
      <c r="I21" s="46">
        <f ca="1">IF(tbl_CVX[[#This Row],[RS]]= "", "", 100-(100/(1+tbl_CVX[[#This Row],[RS]])))</f>
        <v>28.404393886057562</v>
      </c>
      <c r="J21" s="10">
        <f ca="1">IF(ROW($N21)-4&lt;BB_Periods, "", AVERAGE(INDIRECT(ADDRESS(ROW($F21)-RSI_Periods +1, MATCH("Adj Close", Price_Header,0))): INDIRECT(ADDRESS(ROW($F21),MATCH("Adj Close", Price_Header,0)))))</f>
        <v>86.189960499999998</v>
      </c>
      <c r="K21" s="10">
        <f ca="1">IF(tbl_CVX[[#This Row],[BB_Mean]]="", "", tbl_CVX[[#This Row],[BB_Mean]]+(BB_Width*tbl_CVX[[#This Row],[BB_Stdev]]))</f>
        <v>90.097655124024968</v>
      </c>
      <c r="L21" s="10">
        <f ca="1">IF(tbl_CVX[[#This Row],[BB_Mean]]="", "", tbl_CVX[[#This Row],[BB_Mean]]-(BB_Width*tbl_CVX[[#This Row],[BB_Stdev]]))</f>
        <v>82.282265875975028</v>
      </c>
      <c r="M21" s="46">
        <f>IF(ROW(tbl_CVX[[#This Row],[Adj Close]])=5, 0, $F21-$F20)</f>
        <v>-0.84999800000001358</v>
      </c>
      <c r="N21" s="46">
        <f>MAX(tbl_CVX[[#This Row],[Move]],0)</f>
        <v>0</v>
      </c>
      <c r="O21" s="46">
        <f>MAX(-tbl_CVX[[#This Row],[Move]],0)</f>
        <v>0.84999800000001358</v>
      </c>
      <c r="P21" s="46">
        <f ca="1">IF(ROW($N21)-5&lt;RSI_Periods, "", AVERAGE(INDIRECT(ADDRESS(ROW($N21)-RSI_Periods +1, MATCH("Upmove", Price_Header,0))): INDIRECT(ADDRESS(ROW($N21),MATCH("Upmove", Price_Header,0)))))</f>
        <v>0.2983212857142864</v>
      </c>
      <c r="Q21" s="46">
        <f ca="1">IF(ROW($O21)-5&lt;RSI_Periods, "", AVERAGE(INDIRECT(ADDRESS(ROW($O21)-RSI_Periods +1, MATCH("Downmove", Price_Header,0))): INDIRECT(ADDRESS(ROW($O21),MATCH("Downmove", Price_Header,0)))))</f>
        <v>0.75194328571428726</v>
      </c>
      <c r="R21" s="46">
        <f ca="1">IF(tbl_CVX[[#This Row],[Avg_Upmove]]="", "", tbl_CVX[[#This Row],[Avg_Upmove]]/tbl_CVX[[#This Row],[Avg_Downmove]])</f>
        <v>0.39673375822606693</v>
      </c>
      <c r="S21" s="10">
        <f ca="1">IF(ROW($N21)-4&lt;BB_Periods, "", _xlfn.STDEV.S(INDIRECT(ADDRESS(ROW($F21)-RSI_Periods +1, MATCH("Adj Close", Price_Header,0))): INDIRECT(ADDRESS(ROW($F21),MATCH("Adj Close", Price_Header,0)))))</f>
        <v>1.9538473120124868</v>
      </c>
    </row>
    <row r="22" spans="1:19" x14ac:dyDescent="0.25">
      <c r="A22" s="8">
        <v>44076</v>
      </c>
      <c r="B22" s="10">
        <v>83.059997999999993</v>
      </c>
      <c r="C22" s="10">
        <v>83.959998999999996</v>
      </c>
      <c r="D22" s="10">
        <v>82.699996999999996</v>
      </c>
      <c r="E22" s="10">
        <v>83.190002000000007</v>
      </c>
      <c r="F22" s="10">
        <v>83.190002000000007</v>
      </c>
      <c r="G22">
        <v>10821900</v>
      </c>
      <c r="H22" s="10">
        <f>IF(tbl_CVX[[#This Row],[Date]]=$A$5, $F22, EMA_Beta*$H21 + (1-EMA_Beta)*$F22)</f>
        <v>85.919257043654866</v>
      </c>
      <c r="I22" s="46">
        <f ca="1">IF(tbl_CVX[[#This Row],[RS]]= "", "", 100-(100/(1+tbl_CVX[[#This Row],[RS]])))</f>
        <v>30.779459201813282</v>
      </c>
      <c r="J22" s="10">
        <f ca="1">IF(ROW($N22)-4&lt;BB_Periods, "", AVERAGE(INDIRECT(ADDRESS(ROW($F22)-RSI_Periods +1, MATCH("Adj Close", Price_Header,0))): INDIRECT(ADDRESS(ROW($F22),MATCH("Adj Close", Price_Header,0)))))</f>
        <v>85.807568142857136</v>
      </c>
      <c r="K22" s="10">
        <f ca="1">IF(tbl_CVX[[#This Row],[BB_Mean]]="", "", tbl_CVX[[#This Row],[BB_Mean]]+(BB_Width*tbl_CVX[[#This Row],[BB_Stdev]]))</f>
        <v>89.770521303331648</v>
      </c>
      <c r="L22" s="10">
        <f ca="1">IF(tbl_CVX[[#This Row],[BB_Mean]]="", "", tbl_CVX[[#This Row],[BB_Mean]]-(BB_Width*tbl_CVX[[#This Row],[BB_Stdev]]))</f>
        <v>81.844614982382623</v>
      </c>
      <c r="M22" s="46">
        <f>IF(ROW(tbl_CVX[[#This Row],[Adj Close]])=5, 0, $F22-$F21)</f>
        <v>0.11000000000001364</v>
      </c>
      <c r="N22" s="46">
        <f>MAX(tbl_CVX[[#This Row],[Move]],0)</f>
        <v>0.11000000000001364</v>
      </c>
      <c r="O22" s="46">
        <f>MAX(-tbl_CVX[[#This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0.30617842857143024</v>
      </c>
      <c r="Q22" s="46">
        <f ca="1">IF(ROW($O22)-5&lt;RSI_Periods, "", AVERAGE(INDIRECT(ADDRESS(ROW($O22)-RSI_Periods +1, MATCH("Downmove", Price_Header,0))): INDIRECT(ADDRESS(ROW($O22),MATCH("Downmove", Price_Header,0)))))</f>
        <v>0.68857078571428632</v>
      </c>
      <c r="R22" s="46">
        <f ca="1">IF(tbl_CVX[[#This Row],[Avg_Upmove]]="", "", tbl_CVX[[#This Row],[Avg_Upmove]]/tbl_CVX[[#This Row],[Avg_Downmove]])</f>
        <v>0.44465788401669876</v>
      </c>
      <c r="S22" s="10">
        <f ca="1">IF(ROW($N22)-4&lt;BB_Periods, "", _xlfn.STDEV.S(INDIRECT(ADDRESS(ROW($F22)-RSI_Periods +1, MATCH("Adj Close", Price_Header,0))): INDIRECT(ADDRESS(ROW($F22),MATCH("Adj Close", Price_Header,0)))))</f>
        <v>1.9814765802372591</v>
      </c>
    </row>
    <row r="23" spans="1:19" x14ac:dyDescent="0.25">
      <c r="A23" s="8">
        <v>44077</v>
      </c>
      <c r="B23" s="10">
        <v>83.050003000000004</v>
      </c>
      <c r="C23" s="10">
        <v>84.489998</v>
      </c>
      <c r="D23" s="10">
        <v>81.709998999999996</v>
      </c>
      <c r="E23" s="10">
        <v>82.279999000000004</v>
      </c>
      <c r="F23" s="10">
        <v>82.279999000000004</v>
      </c>
      <c r="G23">
        <v>16179900</v>
      </c>
      <c r="H23" s="10">
        <f>IF(tbl_CVX[[#This Row],[Date]]=$A$5, $F23, EMA_Beta*$H22 + (1-EMA_Beta)*$F23)</f>
        <v>85.555331239289387</v>
      </c>
      <c r="I23" s="46">
        <f ca="1">IF(tbl_CVX[[#This Row],[RS]]= "", "", 100-(100/(1+tbl_CVX[[#This Row],[RS]])))</f>
        <v>26.296094396383268</v>
      </c>
      <c r="J23" s="10">
        <f ca="1">IF(ROW($N23)-4&lt;BB_Periods, "", AVERAGE(INDIRECT(ADDRESS(ROW($F23)-RSI_Periods +1, MATCH("Adj Close", Price_Header,0))): INDIRECT(ADDRESS(ROW($F23),MATCH("Adj Close", Price_Header,0)))))</f>
        <v>85.322856357142868</v>
      </c>
      <c r="K23" s="10">
        <f ca="1">IF(tbl_CVX[[#This Row],[BB_Mean]]="", "", tbl_CVX[[#This Row],[BB_Mean]]+(BB_Width*tbl_CVX[[#This Row],[BB_Stdev]]))</f>
        <v>89.228615654040055</v>
      </c>
      <c r="L23" s="10">
        <f ca="1">IF(tbl_CVX[[#This Row],[BB_Mean]]="", "", tbl_CVX[[#This Row],[BB_Mean]]-(BB_Width*tbl_CVX[[#This Row],[BB_Stdev]]))</f>
        <v>81.41709706024568</v>
      </c>
      <c r="M23" s="46">
        <f>IF(ROW(tbl_CVX[[#This Row],[Adj Close]])=5, 0, $F23-$F22)</f>
        <v>-0.91000300000000323</v>
      </c>
      <c r="N23" s="46">
        <f>MAX(tbl_CVX[[#This Row],[Move]],0)</f>
        <v>0</v>
      </c>
      <c r="O23" s="46">
        <f>MAX(-tbl_CVX[[#This Row],[Move]],0)</f>
        <v>0.91000300000000323</v>
      </c>
      <c r="P23" s="46">
        <f ca="1">IF(ROW($N23)-5&lt;RSI_Periods, "", AVERAGE(INDIRECT(ADDRESS(ROW($N23)-RSI_Periods +1, MATCH("Upmove", Price_Header,0))): INDIRECT(ADDRESS(ROW($N23),MATCH("Upmove", Price_Header,0)))))</f>
        <v>0.26885921428571585</v>
      </c>
      <c r="Q23" s="46">
        <f ca="1">IF(ROW($O23)-5&lt;RSI_Periods, "", AVERAGE(INDIRECT(ADDRESS(ROW($O23)-RSI_Periods +1, MATCH("Downmove", Price_Header,0))): INDIRECT(ADDRESS(ROW($O23),MATCH("Downmove", Price_Header,0)))))</f>
        <v>0.75357100000000088</v>
      </c>
      <c r="R23" s="46">
        <f ca="1">IF(tbl_CVX[[#This Row],[Avg_Upmove]]="", "", tbl_CVX[[#This Row],[Avg_Upmove]]/tbl_CVX[[#This Row],[Avg_Downmove]])</f>
        <v>0.35678020290817392</v>
      </c>
      <c r="S23" s="10">
        <f ca="1">IF(ROW($N23)-4&lt;BB_Periods, "", _xlfn.STDEV.S(INDIRECT(ADDRESS(ROW($F23)-RSI_Periods +1, MATCH("Adj Close", Price_Header,0))): INDIRECT(ADDRESS(ROW($F23),MATCH("Adj Close", Price_Header,0)))))</f>
        <v>1.9528796484485946</v>
      </c>
    </row>
    <row r="24" spans="1:19" x14ac:dyDescent="0.25">
      <c r="A24" s="8">
        <v>44078</v>
      </c>
      <c r="B24" s="10">
        <v>82.459998999999996</v>
      </c>
      <c r="C24" s="10">
        <v>83.639999000000003</v>
      </c>
      <c r="D24" s="10">
        <v>80.900002000000001</v>
      </c>
      <c r="E24" s="10">
        <v>81.93</v>
      </c>
      <c r="F24" s="10">
        <v>81.93</v>
      </c>
      <c r="G24">
        <v>10516600</v>
      </c>
      <c r="H24" s="10">
        <f>IF(tbl_CVX[[#This Row],[Date]]=$A$5, $F24, EMA_Beta*$H23 + (1-EMA_Beta)*$F24)</f>
        <v>85.192798115360446</v>
      </c>
      <c r="I24" s="46">
        <f ca="1">IF(tbl_CVX[[#This Row],[RS]]= "", "", 100-(100/(1+tbl_CVX[[#This Row],[RS]])))</f>
        <v>23.508767374573665</v>
      </c>
      <c r="J24" s="10">
        <f ca="1">IF(ROW($N24)-4&lt;BB_Periods, "", AVERAGE(INDIRECT(ADDRESS(ROW($F24)-RSI_Periods +1, MATCH("Adj Close", Price_Header,0))): INDIRECT(ADDRESS(ROW($F24),MATCH("Adj Close", Price_Header,0)))))</f>
        <v>84.783570928571436</v>
      </c>
      <c r="K24" s="10">
        <f ca="1">IF(tbl_CVX[[#This Row],[BB_Mean]]="", "", tbl_CVX[[#This Row],[BB_Mean]]+(BB_Width*tbl_CVX[[#This Row],[BB_Stdev]]))</f>
        <v>88.280236038628288</v>
      </c>
      <c r="L24" s="10">
        <f ca="1">IF(tbl_CVX[[#This Row],[BB_Mean]]="", "", tbl_CVX[[#This Row],[BB_Mean]]-(BB_Width*tbl_CVX[[#This Row],[BB_Stdev]]))</f>
        <v>81.286905818514583</v>
      </c>
      <c r="M24" s="46">
        <f>IF(ROW(tbl_CVX[[#This Row],[Adj Close]])=5, 0, $F24-$F23)</f>
        <v>-0.34999899999999684</v>
      </c>
      <c r="N24" s="46">
        <f>MAX(tbl_CVX[[#This Row],[Move]],0)</f>
        <v>0</v>
      </c>
      <c r="O24" s="46">
        <f>MAX(-tbl_CVX[[#This Row],[Move]],0)</f>
        <v>0.34999899999999684</v>
      </c>
      <c r="P24" s="46">
        <f ca="1">IF(ROW($N24)-5&lt;RSI_Periods, "", AVERAGE(INDIRECT(ADDRESS(ROW($N24)-RSI_Periods +1, MATCH("Upmove", Price_Header,0))): INDIRECT(ADDRESS(ROW($N24),MATCH("Upmove", Price_Header,0)))))</f>
        <v>0.23928550000000115</v>
      </c>
      <c r="Q24" s="46">
        <f ca="1">IF(ROW($O24)-5&lt;RSI_Periods, "", AVERAGE(INDIRECT(ADDRESS(ROW($O24)-RSI_Periods +1, MATCH("Downmove", Price_Header,0))): INDIRECT(ADDRESS(ROW($O24),MATCH("Downmove", Price_Header,0)))))</f>
        <v>0.77857092857142918</v>
      </c>
      <c r="R24" s="46">
        <f ca="1">IF(tbl_CVX[[#This Row],[Avg_Upmove]]="", "", tbl_CVX[[#This Row],[Avg_Upmove]]/tbl_CVX[[#This Row],[Avg_Downmove]])</f>
        <v>0.30733937168583625</v>
      </c>
      <c r="S24" s="10">
        <f ca="1">IF(ROW($N24)-4&lt;BB_Periods, "", _xlfn.STDEV.S(INDIRECT(ADDRESS(ROW($F24)-RSI_Periods +1, MATCH("Adj Close", Price_Header,0))): INDIRECT(ADDRESS(ROW($F24),MATCH("Adj Close", Price_Header,0)))))</f>
        <v>1.7483325550284252</v>
      </c>
    </row>
    <row r="25" spans="1:19" x14ac:dyDescent="0.25">
      <c r="A25" s="8">
        <v>44082</v>
      </c>
      <c r="B25" s="10">
        <v>80.5</v>
      </c>
      <c r="C25" s="10">
        <v>80.580001999999993</v>
      </c>
      <c r="D25" s="10">
        <v>78.040001000000004</v>
      </c>
      <c r="E25" s="10">
        <v>78.970000999999996</v>
      </c>
      <c r="F25" s="10">
        <v>78.970000999999996</v>
      </c>
      <c r="G25">
        <v>14942500</v>
      </c>
      <c r="H25" s="10">
        <f>IF(tbl_CVX[[#This Row],[Date]]=$A$5, $F25, EMA_Beta*$H24 + (1-EMA_Beta)*$F25)</f>
        <v>84.570518403824408</v>
      </c>
      <c r="I25" s="46">
        <f ca="1">IF(tbl_CVX[[#This Row],[RS]]= "", "", 100-(100/(1+tbl_CVX[[#This Row],[RS]])))</f>
        <v>21.809890501230839</v>
      </c>
      <c r="J25" s="10">
        <f ca="1">IF(ROW($N25)-4&lt;BB_Periods, "", AVERAGE(INDIRECT(ADDRESS(ROW($F25)-RSI_Periods +1, MATCH("Adj Close", Price_Header,0))): INDIRECT(ADDRESS(ROW($F25),MATCH("Adj Close", Price_Header,0)))))</f>
        <v>84.164999785714286</v>
      </c>
      <c r="K25" s="10">
        <f ca="1">IF(tbl_CVX[[#This Row],[BB_Mean]]="", "", tbl_CVX[[#This Row],[BB_Mean]]+(BB_Width*tbl_CVX[[#This Row],[BB_Stdev]]))</f>
        <v>88.464384275116402</v>
      </c>
      <c r="L25" s="10">
        <f ca="1">IF(tbl_CVX[[#This Row],[BB_Mean]]="", "", tbl_CVX[[#This Row],[BB_Mean]]-(BB_Width*tbl_CVX[[#This Row],[BB_Stdev]]))</f>
        <v>79.865615296312171</v>
      </c>
      <c r="M25" s="46">
        <f>IF(ROW(tbl_CVX[[#This Row],[Adj Close]])=5, 0, $F25-$F24)</f>
        <v>-2.9599990000000105</v>
      </c>
      <c r="N25" s="46">
        <f>MAX(tbl_CVX[[#This Row],[Move]],0)</f>
        <v>0</v>
      </c>
      <c r="O25" s="46">
        <f>MAX(-tbl_CVX[[#This Row],[Move]],0)</f>
        <v>2.9599990000000105</v>
      </c>
      <c r="P25" s="46">
        <f ca="1">IF(ROW($N25)-5&lt;RSI_Periods, "", AVERAGE(INDIRECT(ADDRESS(ROW($N25)-RSI_Periods +1, MATCH("Upmove", Price_Header,0))): INDIRECT(ADDRESS(ROW($N25),MATCH("Upmove", Price_Header,0)))))</f>
        <v>0.23928550000000115</v>
      </c>
      <c r="Q25" s="46">
        <f ca="1">IF(ROW($O25)-5&lt;RSI_Periods, "", AVERAGE(INDIRECT(ADDRESS(ROW($O25)-RSI_Periods +1, MATCH("Downmove", Price_Header,0))): INDIRECT(ADDRESS(ROW($O25),MATCH("Downmove", Price_Header,0)))))</f>
        <v>0.85785664285714447</v>
      </c>
      <c r="R25" s="46">
        <f ca="1">IF(tbl_CVX[[#This Row],[Avg_Upmove]]="", "", tbl_CVX[[#This Row],[Avg_Upmove]]/tbl_CVX[[#This Row],[Avg_Downmove]])</f>
        <v>0.27893413426635716</v>
      </c>
      <c r="S25" s="10">
        <f ca="1">IF(ROW($N25)-4&lt;BB_Periods, "", _xlfn.STDEV.S(INDIRECT(ADDRESS(ROW($F25)-RSI_Periods +1, MATCH("Adj Close", Price_Header,0))): INDIRECT(ADDRESS(ROW($F25),MATCH("Adj Close", Price_Header,0)))))</f>
        <v>2.149692244701058</v>
      </c>
    </row>
    <row r="26" spans="1:19" x14ac:dyDescent="0.25">
      <c r="A26" s="8">
        <v>44083</v>
      </c>
      <c r="B26" s="10">
        <v>79.970000999999996</v>
      </c>
      <c r="C26" s="10">
        <v>81.069999999999993</v>
      </c>
      <c r="D26" s="10">
        <v>79.680000000000007</v>
      </c>
      <c r="E26" s="10">
        <v>80.029999000000004</v>
      </c>
      <c r="F26" s="10">
        <v>80.029999000000004</v>
      </c>
      <c r="G26">
        <v>9269800</v>
      </c>
      <c r="H26" s="10">
        <f>IF(tbl_CVX[[#This Row],[Date]]=$A$5, $F26, EMA_Beta*$H25 + (1-EMA_Beta)*$F26)</f>
        <v>84.116466463441981</v>
      </c>
      <c r="I26" s="46">
        <f ca="1">IF(tbl_CVX[[#This Row],[RS]]= "", "", 100-(100/(1+tbl_CVX[[#This Row],[RS]])))</f>
        <v>29.051369599057779</v>
      </c>
      <c r="J26" s="10">
        <f ca="1">IF(ROW($N26)-4&lt;BB_Periods, "", AVERAGE(INDIRECT(ADDRESS(ROW($F26)-RSI_Periods +1, MATCH("Adj Close", Price_Header,0))): INDIRECT(ADDRESS(ROW($F26),MATCH("Adj Close", Price_Header,0)))))</f>
        <v>83.710714071428583</v>
      </c>
      <c r="K26" s="10">
        <f ca="1">IF(tbl_CVX[[#This Row],[BB_Mean]]="", "", tbl_CVX[[#This Row],[BB_Mean]]+(BB_Width*tbl_CVX[[#This Row],[BB_Stdev]]))</f>
        <v>88.329526791381326</v>
      </c>
      <c r="L26" s="10">
        <f ca="1">IF(tbl_CVX[[#This Row],[BB_Mean]]="", "", tbl_CVX[[#This Row],[BB_Mean]]-(BB_Width*tbl_CVX[[#This Row],[BB_Stdev]]))</f>
        <v>79.09190135147584</v>
      </c>
      <c r="M26" s="46">
        <f>IF(ROW(tbl_CVX[[#This Row],[Adj Close]])=5, 0, $F26-$F25)</f>
        <v>1.0599980000000073</v>
      </c>
      <c r="N26" s="46">
        <f>MAX(tbl_CVX[[#This Row],[Move]],0)</f>
        <v>1.0599980000000073</v>
      </c>
      <c r="O26" s="46">
        <f>MAX(-tbl_CVX[[#This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0.31499964285714455</v>
      </c>
      <c r="Q26" s="46">
        <f ca="1">IF(ROW($O26)-5&lt;RSI_Periods, "", AVERAGE(INDIRECT(ADDRESS(ROW($O26)-RSI_Periods +1, MATCH("Downmove", Price_Header,0))): INDIRECT(ADDRESS(ROW($O26),MATCH("Downmove", Price_Header,0)))))</f>
        <v>0.76928535714285873</v>
      </c>
      <c r="R26" s="46">
        <f ca="1">IF(tbl_CVX[[#This Row],[Avg_Upmove]]="", "", tbl_CVX[[#This Row],[Avg_Upmove]]/tbl_CVX[[#This Row],[Avg_Downmove]])</f>
        <v>0.40947047793429936</v>
      </c>
      <c r="S26" s="10">
        <f ca="1">IF(ROW($N26)-4&lt;BB_Periods, "", _xlfn.STDEV.S(INDIRECT(ADDRESS(ROW($F26)-RSI_Periods +1, MATCH("Adj Close", Price_Header,0))): INDIRECT(ADDRESS(ROW($F26),MATCH("Adj Close", Price_Header,0)))))</f>
        <v>2.3094063599763683</v>
      </c>
    </row>
    <row r="27" spans="1:19" x14ac:dyDescent="0.25">
      <c r="A27" s="8">
        <v>44084</v>
      </c>
      <c r="B27" s="10">
        <v>80.629997000000003</v>
      </c>
      <c r="C27" s="10">
        <v>80.889999000000003</v>
      </c>
      <c r="D27" s="10">
        <v>78.050003000000004</v>
      </c>
      <c r="E27" s="10">
        <v>78.150002000000001</v>
      </c>
      <c r="F27" s="10">
        <v>78.150002000000001</v>
      </c>
      <c r="G27">
        <v>11845900</v>
      </c>
      <c r="H27" s="10">
        <f>IF(tbl_CVX[[#This Row],[Date]]=$A$5, $F27, EMA_Beta*$H26 + (1-EMA_Beta)*$F27)</f>
        <v>83.519820017097786</v>
      </c>
      <c r="I27" s="46">
        <f ca="1">IF(tbl_CVX[[#This Row],[RS]]= "", "", 100-(100/(1+tbl_CVX[[#This Row],[RS]])))</f>
        <v>28.488365557953429</v>
      </c>
      <c r="J27" s="10">
        <f ca="1">IF(ROW($N27)-4&lt;BB_Periods, "", AVERAGE(INDIRECT(ADDRESS(ROW($F27)-RSI_Periods +1, MATCH("Adj Close", Price_Header,0))): INDIRECT(ADDRESS(ROW($F27),MATCH("Adj Close", Price_Header,0)))))</f>
        <v>83.235000071428587</v>
      </c>
      <c r="K27" s="10">
        <f ca="1">IF(tbl_CVX[[#This Row],[BB_Mean]]="", "", tbl_CVX[[#This Row],[BB_Mean]]+(BB_Width*tbl_CVX[[#This Row],[BB_Stdev]]))</f>
        <v>88.666489194625285</v>
      </c>
      <c r="L27" s="10">
        <f ca="1">IF(tbl_CVX[[#This Row],[BB_Mean]]="", "", tbl_CVX[[#This Row],[BB_Mean]]-(BB_Width*tbl_CVX[[#This Row],[BB_Stdev]]))</f>
        <v>77.803510948231889</v>
      </c>
      <c r="M27" s="46">
        <f>IF(ROW(tbl_CVX[[#This Row],[Adj Close]])=5, 0, $F27-$F26)</f>
        <v>-1.879997000000003</v>
      </c>
      <c r="N27" s="46">
        <f>MAX(tbl_CVX[[#This Row],[Move]],0)</f>
        <v>0</v>
      </c>
      <c r="O27" s="46">
        <f>MAX(-tbl_CVX[[#This Row],[Move]],0)</f>
        <v>1.879997000000003</v>
      </c>
      <c r="P27" s="46">
        <f ca="1">IF(ROW($N27)-5&lt;RSI_Periods, "", AVERAGE(INDIRECT(ADDRESS(ROW($N27)-RSI_Periods +1, MATCH("Upmove", Price_Header,0))): INDIRECT(ADDRESS(ROW($N27),MATCH("Upmove", Price_Header,0)))))</f>
        <v>0.31499964285714455</v>
      </c>
      <c r="Q27" s="46">
        <f ca="1">IF(ROW($O27)-5&lt;RSI_Periods, "", AVERAGE(INDIRECT(ADDRESS(ROW($O27)-RSI_Periods +1, MATCH("Downmove", Price_Header,0))): INDIRECT(ADDRESS(ROW($O27),MATCH("Downmove", Price_Header,0)))))</f>
        <v>0.79071364285714396</v>
      </c>
      <c r="R27" s="46">
        <f ca="1">IF(tbl_CVX[[#This Row],[Avg_Upmove]]="", "", tbl_CVX[[#This Row],[Avg_Upmove]]/tbl_CVX[[#This Row],[Avg_Downmove]])</f>
        <v>0.39837385594983932</v>
      </c>
      <c r="S27" s="10">
        <f ca="1">IF(ROW($N27)-4&lt;BB_Periods, "", _xlfn.STDEV.S(INDIRECT(ADDRESS(ROW($F27)-RSI_Periods +1, MATCH("Adj Close", Price_Header,0))): INDIRECT(ADDRESS(ROW($F27),MATCH("Adj Close", Price_Header,0)))))</f>
        <v>2.715744561598346</v>
      </c>
    </row>
    <row r="28" spans="1:19" x14ac:dyDescent="0.25">
      <c r="A28" s="8">
        <v>44085</v>
      </c>
      <c r="B28" s="10">
        <v>78.239998</v>
      </c>
      <c r="C28" s="10">
        <v>78.690002000000007</v>
      </c>
      <c r="D28" s="10">
        <v>77.069999999999993</v>
      </c>
      <c r="E28" s="10">
        <v>77.690002000000007</v>
      </c>
      <c r="F28" s="10">
        <v>77.690002000000007</v>
      </c>
      <c r="G28">
        <v>13732400</v>
      </c>
      <c r="H28" s="10">
        <f>IF(tbl_CVX[[#This Row],[Date]]=$A$5, $F28, EMA_Beta*$H27 + (1-EMA_Beta)*$F28)</f>
        <v>82.936838215388008</v>
      </c>
      <c r="I28" s="46">
        <f ca="1">IF(tbl_CVX[[#This Row],[RS]]= "", "", 100-(100/(1+tbl_CVX[[#This Row],[RS]])))</f>
        <v>26.41988357102143</v>
      </c>
      <c r="J28" s="10">
        <f ca="1">IF(ROW($N28)-4&lt;BB_Periods, "", AVERAGE(INDIRECT(ADDRESS(ROW($F28)-RSI_Periods +1, MATCH("Adj Close", Price_Header,0))): INDIRECT(ADDRESS(ROW($F28),MATCH("Adj Close", Price_Header,0)))))</f>
        <v>82.707142928571443</v>
      </c>
      <c r="K28" s="10">
        <f ca="1">IF(tbl_CVX[[#This Row],[BB_Mean]]="", "", tbl_CVX[[#This Row],[BB_Mean]]+(BB_Width*tbl_CVX[[#This Row],[BB_Stdev]]))</f>
        <v>88.766353286367192</v>
      </c>
      <c r="L28" s="10">
        <f ca="1">IF(tbl_CVX[[#This Row],[BB_Mean]]="", "", tbl_CVX[[#This Row],[BB_Mean]]-(BB_Width*tbl_CVX[[#This Row],[BB_Stdev]]))</f>
        <v>76.647932570775694</v>
      </c>
      <c r="M28" s="46">
        <f>IF(ROW(tbl_CVX[[#This Row],[Adj Close]])=5, 0, $F28-$F27)</f>
        <v>-0.45999999999999375</v>
      </c>
      <c r="N28" s="46">
        <f>MAX(tbl_CVX[[#This Row],[Move]],0)</f>
        <v>0</v>
      </c>
      <c r="O28" s="46">
        <f>MAX(-tbl_CVX[[#This Row],[Move]],0)</f>
        <v>0.45999999999999375</v>
      </c>
      <c r="P28" s="46">
        <f ca="1">IF(ROW($N28)-5&lt;RSI_Periods, "", AVERAGE(INDIRECT(ADDRESS(ROW($N28)-RSI_Periods +1, MATCH("Upmove", Price_Header,0))): INDIRECT(ADDRESS(ROW($N28),MATCH("Upmove", Price_Header,0)))))</f>
        <v>0.29571364285714452</v>
      </c>
      <c r="Q28" s="46">
        <f ca="1">IF(ROW($O28)-5&lt;RSI_Periods, "", AVERAGE(INDIRECT(ADDRESS(ROW($O28)-RSI_Periods +1, MATCH("Downmove", Price_Header,0))): INDIRECT(ADDRESS(ROW($O28),MATCH("Downmove", Price_Header,0)))))</f>
        <v>0.82357078571428644</v>
      </c>
      <c r="R28" s="46">
        <f ca="1">IF(tbl_CVX[[#This Row],[Avg_Upmove]]="", "", tbl_CVX[[#This Row],[Avg_Upmove]]/tbl_CVX[[#This Row],[Avg_Downmove]])</f>
        <v>0.35906281279838115</v>
      </c>
      <c r="S28" s="10">
        <f ca="1">IF(ROW($N28)-4&lt;BB_Periods, "", _xlfn.STDEV.S(INDIRECT(ADDRESS(ROW($F28)-RSI_Periods +1, MATCH("Adj Close", Price_Header,0))): INDIRECT(ADDRESS(ROW($F28),MATCH("Adj Close", Price_Header,0)))))</f>
        <v>3.0296051788978771</v>
      </c>
    </row>
    <row r="29" spans="1:19" x14ac:dyDescent="0.25">
      <c r="A29" s="8">
        <v>44088</v>
      </c>
      <c r="B29" s="10">
        <v>77.480002999999996</v>
      </c>
      <c r="C29" s="10">
        <v>77.980002999999996</v>
      </c>
      <c r="D29" s="10">
        <v>76.919998000000007</v>
      </c>
      <c r="E29" s="10">
        <v>77.290001000000004</v>
      </c>
      <c r="F29" s="10">
        <v>77.290001000000004</v>
      </c>
      <c r="G29">
        <v>8182800</v>
      </c>
      <c r="H29" s="10">
        <f>IF(tbl_CVX[[#This Row],[Date]]=$A$5, $F29, EMA_Beta*$H28 + (1-EMA_Beta)*$F29)</f>
        <v>82.372154493849209</v>
      </c>
      <c r="I29" s="46">
        <f ca="1">IF(tbl_CVX[[#This Row],[RS]]= "", "", 100-(100/(1+tbl_CVX[[#This Row],[RS]])))</f>
        <v>14.480270520662927</v>
      </c>
      <c r="J29" s="10">
        <f ca="1">IF(ROW($N29)-4&lt;BB_Periods, "", AVERAGE(INDIRECT(ADDRESS(ROW($F29)-RSI_Periods +1, MATCH("Adj Close", Price_Header,0))): INDIRECT(ADDRESS(ROW($F29),MATCH("Adj Close", Price_Header,0)))))</f>
        <v>81.999286071428557</v>
      </c>
      <c r="K29" s="10">
        <f ca="1">IF(tbl_CVX[[#This Row],[BB_Mean]]="", "", tbl_CVX[[#This Row],[BB_Mean]]+(BB_Width*tbl_CVX[[#This Row],[BB_Stdev]]))</f>
        <v>88.11271211238612</v>
      </c>
      <c r="L29" s="10">
        <f ca="1">IF(tbl_CVX[[#This Row],[BB_Mean]]="", "", tbl_CVX[[#This Row],[BB_Mean]]-(BB_Width*tbl_CVX[[#This Row],[BB_Stdev]]))</f>
        <v>75.885860030470994</v>
      </c>
      <c r="M29" s="46">
        <f>IF(ROW(tbl_CVX[[#This Row],[Adj Close]])=5, 0, $F29-$F28)</f>
        <v>-0.40000100000000316</v>
      </c>
      <c r="N29" s="46">
        <f>MAX(tbl_CVX[[#This Row],[Move]],0)</f>
        <v>0</v>
      </c>
      <c r="O29" s="46">
        <f>MAX(-tbl_CVX[[#This Row],[Move]],0)</f>
        <v>0.40000100000000316</v>
      </c>
      <c r="P29" s="46">
        <f ca="1">IF(ROW($N29)-5&lt;RSI_Periods, "", AVERAGE(INDIRECT(ADDRESS(ROW($N29)-RSI_Periods +1, MATCH("Upmove", Price_Header,0))): INDIRECT(ADDRESS(ROW($N29),MATCH("Upmove", Price_Header,0)))))</f>
        <v>0.14428542857143004</v>
      </c>
      <c r="Q29" s="46">
        <f ca="1">IF(ROW($O29)-5&lt;RSI_Periods, "", AVERAGE(INDIRECT(ADDRESS(ROW($O29)-RSI_Periods +1, MATCH("Downmove", Price_Header,0))): INDIRECT(ADDRESS(ROW($O29),MATCH("Downmove", Price_Header,0)))))</f>
        <v>0.85214228571428663</v>
      </c>
      <c r="R29" s="46">
        <f ca="1">IF(tbl_CVX[[#This Row],[Avg_Upmove]]="", "", tbl_CVX[[#This Row],[Avg_Upmove]]/tbl_CVX[[#This Row],[Avg_Downmove]])</f>
        <v>0.16932081765017262</v>
      </c>
      <c r="S29" s="10">
        <f ca="1">IF(ROW($N29)-4&lt;BB_Periods, "", _xlfn.STDEV.S(INDIRECT(ADDRESS(ROW($F29)-RSI_Periods +1, MATCH("Adj Close", Price_Header,0))): INDIRECT(ADDRESS(ROW($F29),MATCH("Adj Close", Price_Header,0)))))</f>
        <v>3.0567130204787847</v>
      </c>
    </row>
    <row r="30" spans="1:19" x14ac:dyDescent="0.25">
      <c r="A30" s="8">
        <v>44089</v>
      </c>
      <c r="B30" s="10">
        <v>77.559997999999993</v>
      </c>
      <c r="C30" s="10">
        <v>78.480002999999996</v>
      </c>
      <c r="D30" s="10">
        <v>75.959998999999996</v>
      </c>
      <c r="E30" s="10">
        <v>76.349997999999999</v>
      </c>
      <c r="F30" s="10">
        <v>76.349997999999999</v>
      </c>
      <c r="G30">
        <v>11732000</v>
      </c>
      <c r="H30" s="10">
        <f>IF(tbl_CVX[[#This Row],[Date]]=$A$5, $F30, EMA_Beta*$H29 + (1-EMA_Beta)*$F30)</f>
        <v>81.769938844464292</v>
      </c>
      <c r="I30" s="46">
        <f ca="1">IF(tbl_CVX[[#This Row],[RS]]= "", "", 100-(100/(1+tbl_CVX[[#This Row],[RS]])))</f>
        <v>14.616478404363747</v>
      </c>
      <c r="J30" s="10">
        <f ca="1">IF(ROW($N30)-4&lt;BB_Periods, "", AVERAGE(INDIRECT(ADDRESS(ROW($F30)-RSI_Periods +1, MATCH("Adj Close", Price_Header,0))): INDIRECT(ADDRESS(ROW($F30),MATCH("Adj Close", Price_Header,0)))))</f>
        <v>81.300714714285704</v>
      </c>
      <c r="K30" s="10">
        <f ca="1">IF(tbl_CVX[[#This Row],[BB_Mean]]="", "", tbl_CVX[[#This Row],[BB_Mean]]+(BB_Width*tbl_CVX[[#This Row],[BB_Stdev]]))</f>
        <v>87.612732168893018</v>
      </c>
      <c r="L30" s="10">
        <f ca="1">IF(tbl_CVX[[#This Row],[BB_Mean]]="", "", tbl_CVX[[#This Row],[BB_Mean]]-(BB_Width*tbl_CVX[[#This Row],[BB_Stdev]]))</f>
        <v>74.988697259678389</v>
      </c>
      <c r="M30" s="46">
        <f>IF(ROW(tbl_CVX[[#This Row],[Adj Close]])=5, 0, $F30-$F29)</f>
        <v>-0.94000300000000436</v>
      </c>
      <c r="N30" s="46">
        <f>MAX(tbl_CVX[[#This Row],[Move]],0)</f>
        <v>0</v>
      </c>
      <c r="O30" s="46">
        <f>MAX(-tbl_CVX[[#This Row],[Move]],0)</f>
        <v>0.94000300000000436</v>
      </c>
      <c r="P30" s="46">
        <f ca="1">IF(ROW($N30)-5&lt;RSI_Periods, "", AVERAGE(INDIRECT(ADDRESS(ROW($N30)-RSI_Periods +1, MATCH("Upmove", Price_Header,0))): INDIRECT(ADDRESS(ROW($N30),MATCH("Upmove", Price_Header,0)))))</f>
        <v>0.14428542857143004</v>
      </c>
      <c r="Q30" s="46">
        <f ca="1">IF(ROW($O30)-5&lt;RSI_Periods, "", AVERAGE(INDIRECT(ADDRESS(ROW($O30)-RSI_Periods +1, MATCH("Downmove", Price_Header,0))): INDIRECT(ADDRESS(ROW($O30),MATCH("Downmove", Price_Header,0)))))</f>
        <v>0.84285678571428746</v>
      </c>
      <c r="R30" s="46">
        <f ca="1">IF(tbl_CVX[[#This Row],[Avg_Upmove]]="", "", tbl_CVX[[#This Row],[Avg_Upmove]]/tbl_CVX[[#This Row],[Avg_Downmove]])</f>
        <v>0.17118617423143115</v>
      </c>
      <c r="S30" s="10">
        <f ca="1">IF(ROW($N30)-4&lt;BB_Periods, "", _xlfn.STDEV.S(INDIRECT(ADDRESS(ROW($F30)-RSI_Periods +1, MATCH("Adj Close", Price_Header,0))): INDIRECT(ADDRESS(ROW($F30),MATCH("Adj Close", Price_Header,0)))))</f>
        <v>3.1560087273036554</v>
      </c>
    </row>
    <row r="31" spans="1:19" x14ac:dyDescent="0.25">
      <c r="A31" s="8">
        <v>44090</v>
      </c>
      <c r="B31" s="10">
        <v>76.349997999999999</v>
      </c>
      <c r="C31" s="10">
        <v>79.480002999999996</v>
      </c>
      <c r="D31" s="10">
        <v>75.959998999999996</v>
      </c>
      <c r="E31" s="10">
        <v>78.559997999999993</v>
      </c>
      <c r="F31" s="10">
        <v>78.559997999999993</v>
      </c>
      <c r="G31">
        <v>13019000</v>
      </c>
      <c r="H31" s="10">
        <f>IF(tbl_CVX[[#This Row],[Date]]=$A$5, $F31, EMA_Beta*$H30 + (1-EMA_Beta)*$F31)</f>
        <v>81.448944760017852</v>
      </c>
      <c r="I31" s="46">
        <f ca="1">IF(tbl_CVX[[#This Row],[RS]]= "", "", 100-(100/(1+tbl_CVX[[#This Row],[RS]])))</f>
        <v>28.814700388481128</v>
      </c>
      <c r="J31" s="10">
        <f ca="1">IF(ROW($N31)-4&lt;BB_Periods, "", AVERAGE(INDIRECT(ADDRESS(ROW($F31)-RSI_Periods +1, MATCH("Adj Close", Price_Header,0))): INDIRECT(ADDRESS(ROW($F31),MATCH("Adj Close", Price_Header,0)))))</f>
        <v>80.856428928571418</v>
      </c>
      <c r="K31" s="10">
        <f ca="1">IF(tbl_CVX[[#This Row],[BB_Mean]]="", "", tbl_CVX[[#This Row],[BB_Mean]]+(BB_Width*tbl_CVX[[#This Row],[BB_Stdev]]))</f>
        <v>86.986499453058116</v>
      </c>
      <c r="L31" s="10">
        <f ca="1">IF(tbl_CVX[[#This Row],[BB_Mean]]="", "", tbl_CVX[[#This Row],[BB_Mean]]-(BB_Width*tbl_CVX[[#This Row],[BB_Stdev]]))</f>
        <v>74.726358404084721</v>
      </c>
      <c r="M31" s="46">
        <f>IF(ROW(tbl_CVX[[#This Row],[Adj Close]])=5, 0, $F31-$F30)</f>
        <v>2.2099999999999937</v>
      </c>
      <c r="N31" s="46">
        <f>MAX(tbl_CVX[[#This Row],[Move]],0)</f>
        <v>2.2099999999999937</v>
      </c>
      <c r="O31" s="46">
        <f>MAX(-tbl_CVX[[#This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0.30214257142857243</v>
      </c>
      <c r="Q31" s="46">
        <f ca="1">IF(ROW($O31)-5&lt;RSI_Periods, "", AVERAGE(INDIRECT(ADDRESS(ROW($O31)-RSI_Periods +1, MATCH("Downmove", Price_Header,0))): INDIRECT(ADDRESS(ROW($O31),MATCH("Downmove", Price_Header,0)))))</f>
        <v>0.74642835714285893</v>
      </c>
      <c r="R31" s="46">
        <f ca="1">IF(tbl_CVX[[#This Row],[Avg_Upmove]]="", "", tbl_CVX[[#This Row],[Avg_Upmove]]/tbl_CVX[[#This Row],[Avg_Downmove]])</f>
        <v>0.40478442242615037</v>
      </c>
      <c r="S31" s="10">
        <f ca="1">IF(ROW($N31)-4&lt;BB_Periods, "", _xlfn.STDEV.S(INDIRECT(ADDRESS(ROW($F31)-RSI_Periods +1, MATCH("Adj Close", Price_Header,0))): INDIRECT(ADDRESS(ROW($F31),MATCH("Adj Close", Price_Header,0)))))</f>
        <v>3.0650352622433488</v>
      </c>
    </row>
    <row r="32" spans="1:19" x14ac:dyDescent="0.25">
      <c r="A32" s="8">
        <v>44091</v>
      </c>
      <c r="B32" s="10">
        <v>77.529999000000004</v>
      </c>
      <c r="C32" s="10">
        <v>78.849997999999999</v>
      </c>
      <c r="D32" s="10">
        <v>76.370002999999997</v>
      </c>
      <c r="E32" s="10">
        <v>78.790001000000004</v>
      </c>
      <c r="F32" s="10">
        <v>78.790001000000004</v>
      </c>
      <c r="G32">
        <v>10515100</v>
      </c>
      <c r="H32" s="10">
        <f>IF(tbl_CVX[[#This Row],[Date]]=$A$5, $F32, EMA_Beta*$H31 + (1-EMA_Beta)*$F32)</f>
        <v>81.18305038401607</v>
      </c>
      <c r="I32" s="46">
        <f ca="1">IF(tbl_CVX[[#This Row],[RS]]= "", "", 100-(100/(1+tbl_CVX[[#This Row],[RS]])))</f>
        <v>29.296323658113266</v>
      </c>
      <c r="J32" s="10">
        <f ca="1">IF(ROW($N32)-4&lt;BB_Periods, "", AVERAGE(INDIRECT(ADDRESS(ROW($F32)-RSI_Periods +1, MATCH("Adj Close", Price_Header,0))): INDIRECT(ADDRESS(ROW($F32),MATCH("Adj Close", Price_Header,0)))))</f>
        <v>80.419285857142867</v>
      </c>
      <c r="K32" s="10">
        <f ca="1">IF(tbl_CVX[[#This Row],[BB_Mean]]="", "", tbl_CVX[[#This Row],[BB_Mean]]+(BB_Width*tbl_CVX[[#This Row],[BB_Stdev]]))</f>
        <v>86.164948346361285</v>
      </c>
      <c r="L32" s="10">
        <f ca="1">IF(tbl_CVX[[#This Row],[BB_Mean]]="", "", tbl_CVX[[#This Row],[BB_Mean]]-(BB_Width*tbl_CVX[[#This Row],[BB_Stdev]]))</f>
        <v>74.673623367924449</v>
      </c>
      <c r="M32" s="46">
        <f>IF(ROW(tbl_CVX[[#This Row],[Adj Close]])=5, 0, $F32-$F31)</f>
        <v>0.23000300000001062</v>
      </c>
      <c r="N32" s="46">
        <f>MAX(tbl_CVX[[#This Row],[Move]],0)</f>
        <v>0.23000300000001062</v>
      </c>
      <c r="O32" s="46">
        <f>MAX(-tbl_CVX[[#This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0.30928528571428771</v>
      </c>
      <c r="Q32" s="46">
        <f ca="1">IF(ROW($O32)-5&lt;RSI_Periods, "", AVERAGE(INDIRECT(ADDRESS(ROW($O32)-RSI_Periods +1, MATCH("Downmove", Price_Header,0))): INDIRECT(ADDRESS(ROW($O32),MATCH("Downmove", Price_Header,0)))))</f>
        <v>0.74642835714285893</v>
      </c>
      <c r="R32" s="46">
        <f ca="1">IF(tbl_CVX[[#This Row],[Avg_Upmove]]="", "", tbl_CVX[[#This Row],[Avg_Upmove]]/tbl_CVX[[#This Row],[Avg_Downmove]])</f>
        <v>0.41435361177615815</v>
      </c>
      <c r="S32" s="10">
        <f ca="1">IF(ROW($N32)-4&lt;BB_Periods, "", _xlfn.STDEV.S(INDIRECT(ADDRESS(ROW($F32)-RSI_Periods +1, MATCH("Adj Close", Price_Header,0))): INDIRECT(ADDRESS(ROW($F32),MATCH("Adj Close", Price_Header,0)))))</f>
        <v>2.8728312446092104</v>
      </c>
    </row>
    <row r="33" spans="1:19" x14ac:dyDescent="0.25">
      <c r="A33" s="8">
        <v>44092</v>
      </c>
      <c r="B33" s="10">
        <v>77.879997000000003</v>
      </c>
      <c r="C33" s="10">
        <v>79.150002000000001</v>
      </c>
      <c r="D33" s="10">
        <v>77.5</v>
      </c>
      <c r="E33" s="10">
        <v>78.209998999999996</v>
      </c>
      <c r="F33" s="10">
        <v>78.209998999999996</v>
      </c>
      <c r="G33">
        <v>14517800</v>
      </c>
      <c r="H33" s="10">
        <f>IF(tbl_CVX[[#This Row],[Date]]=$A$5, $F33, EMA_Beta*$H32 + (1-EMA_Beta)*$F33)</f>
        <v>80.885745245614473</v>
      </c>
      <c r="I33" s="46">
        <f ca="1">IF(tbl_CVX[[#This Row],[RS]]= "", "", 100-(100/(1+tbl_CVX[[#This Row],[RS]])))</f>
        <v>24.658476775956359</v>
      </c>
      <c r="J33" s="10">
        <f ca="1">IF(ROW($N33)-4&lt;BB_Periods, "", AVERAGE(INDIRECT(ADDRESS(ROW($F33)-RSI_Periods +1, MATCH("Adj Close", Price_Header,0))): INDIRECT(ADDRESS(ROW($F33),MATCH("Adj Close", Price_Header,0)))))</f>
        <v>79.889285999999984</v>
      </c>
      <c r="K33" s="10">
        <f ca="1">IF(tbl_CVX[[#This Row],[BB_Mean]]="", "", tbl_CVX[[#This Row],[BB_Mean]]+(BB_Width*tbl_CVX[[#This Row],[BB_Stdev]]))</f>
        <v>84.884296174868695</v>
      </c>
      <c r="L33" s="10">
        <f ca="1">IF(tbl_CVX[[#This Row],[BB_Mean]]="", "", tbl_CVX[[#This Row],[BB_Mean]]-(BB_Width*tbl_CVX[[#This Row],[BB_Stdev]]))</f>
        <v>74.894275825131274</v>
      </c>
      <c r="M33" s="46">
        <f>IF(ROW(tbl_CVX[[#This Row],[Adj Close]])=5, 0, $F33-$F32)</f>
        <v>-0.58000200000000746</v>
      </c>
      <c r="N33" s="46">
        <f>MAX(tbl_CVX[[#This Row],[Move]],0)</f>
        <v>0</v>
      </c>
      <c r="O33" s="46">
        <f>MAX(-tbl_CVX[[#This Row],[Move]],0)</f>
        <v>0.58000200000000746</v>
      </c>
      <c r="P33" s="46">
        <f ca="1">IF(ROW($N33)-5&lt;RSI_Periods, "", AVERAGE(INDIRECT(ADDRESS(ROW($N33)-RSI_Periods +1, MATCH("Upmove", Price_Header,0))): INDIRECT(ADDRESS(ROW($N33),MATCH("Upmove", Price_Header,0)))))</f>
        <v>0.25785721428571612</v>
      </c>
      <c r="Q33" s="46">
        <f ca="1">IF(ROW($O33)-5&lt;RSI_Periods, "", AVERAGE(INDIRECT(ADDRESS(ROW($O33)-RSI_Periods +1, MATCH("Downmove", Price_Header,0))): INDIRECT(ADDRESS(ROW($O33),MATCH("Downmove", Price_Header,0)))))</f>
        <v>0.78785707142857375</v>
      </c>
      <c r="R33" s="46">
        <f ca="1">IF(tbl_CVX[[#This Row],[Avg_Upmove]]="", "", tbl_CVX[[#This Row],[Avg_Upmove]]/tbl_CVX[[#This Row],[Avg_Downmove]])</f>
        <v>0.32728933157654999</v>
      </c>
      <c r="S33" s="10">
        <f ca="1">IF(ROW($N33)-4&lt;BB_Periods, "", _xlfn.STDEV.S(INDIRECT(ADDRESS(ROW($F33)-RSI_Periods +1, MATCH("Adj Close", Price_Header,0))): INDIRECT(ADDRESS(ROW($F33),MATCH("Adj Close", Price_Header,0)))))</f>
        <v>2.4975050874343521</v>
      </c>
    </row>
    <row r="34" spans="1:19" x14ac:dyDescent="0.25">
      <c r="A34" s="8">
        <v>44095</v>
      </c>
      <c r="B34" s="10">
        <v>76.239998</v>
      </c>
      <c r="C34" s="10">
        <v>76.650002000000001</v>
      </c>
      <c r="D34" s="10">
        <v>74.680000000000007</v>
      </c>
      <c r="E34" s="10">
        <v>76.300003000000004</v>
      </c>
      <c r="F34" s="10">
        <v>76.300003000000004</v>
      </c>
      <c r="G34">
        <v>16199100</v>
      </c>
      <c r="H34" s="10">
        <f>IF(tbl_CVX[[#This Row],[Date]]=$A$5, $F34, EMA_Beta*$H33 + (1-EMA_Beta)*$F34)</f>
        <v>80.427171021053027</v>
      </c>
      <c r="I34" s="46">
        <f ca="1">IF(tbl_CVX[[#This Row],[RS]]= "", "", 100-(100/(1+tbl_CVX[[#This Row],[RS]])))</f>
        <v>24.309772680792861</v>
      </c>
      <c r="J34" s="10">
        <f ca="1">IF(ROW($N34)-4&lt;BB_Periods, "", AVERAGE(INDIRECT(ADDRESS(ROW($F34)-RSI_Periods +1, MATCH("Adj Close", Price_Header,0))): INDIRECT(ADDRESS(ROW($F34),MATCH("Adj Close", Price_Header,0)))))</f>
        <v>79.344286214285717</v>
      </c>
      <c r="K34" s="10">
        <f ca="1">IF(tbl_CVX[[#This Row],[BB_Mean]]="", "", tbl_CVX[[#This Row],[BB_Mean]]+(BB_Width*tbl_CVX[[#This Row],[BB_Stdev]]))</f>
        <v>84.09936924994922</v>
      </c>
      <c r="L34" s="10">
        <f ca="1">IF(tbl_CVX[[#This Row],[BB_Mean]]="", "", tbl_CVX[[#This Row],[BB_Mean]]-(BB_Width*tbl_CVX[[#This Row],[BB_Stdev]]))</f>
        <v>74.589203178622213</v>
      </c>
      <c r="M34" s="46">
        <f>IF(ROW(tbl_CVX[[#This Row],[Adj Close]])=5, 0, $F34-$F33)</f>
        <v>-1.9099959999999925</v>
      </c>
      <c r="N34" s="46">
        <f>MAX(tbl_CVX[[#This Row],[Move]],0)</f>
        <v>0</v>
      </c>
      <c r="O34" s="46">
        <f>MAX(-tbl_CVX[[#This Row],[Move]],0)</f>
        <v>1.9099959999999925</v>
      </c>
      <c r="P34" s="46">
        <f ca="1">IF(ROW($N34)-5&lt;RSI_Periods, "", AVERAGE(INDIRECT(ADDRESS(ROW($N34)-RSI_Periods +1, MATCH("Upmove", Price_Header,0))): INDIRECT(ADDRESS(ROW($N34),MATCH("Upmove", Price_Header,0)))))</f>
        <v>0.25785721428571612</v>
      </c>
      <c r="Q34" s="46">
        <f ca="1">IF(ROW($O34)-5&lt;RSI_Periods, "", AVERAGE(INDIRECT(ADDRESS(ROW($O34)-RSI_Periods +1, MATCH("Downmove", Price_Header,0))): INDIRECT(ADDRESS(ROW($O34),MATCH("Downmove", Price_Header,0)))))</f>
        <v>0.80285700000000204</v>
      </c>
      <c r="R34" s="46">
        <f ca="1">IF(tbl_CVX[[#This Row],[Avg_Upmove]]="", "", tbl_CVX[[#This Row],[Avg_Upmove]]/tbl_CVX[[#This Row],[Avg_Downmove]])</f>
        <v>0.32117452334066399</v>
      </c>
      <c r="S34" s="10">
        <f ca="1">IF(ROW($N34)-4&lt;BB_Periods, "", _xlfn.STDEV.S(INDIRECT(ADDRESS(ROW($F34)-RSI_Periods +1, MATCH("Adj Close", Price_Header,0))): INDIRECT(ADDRESS(ROW($F34),MATCH("Adj Close", Price_Header,0)))))</f>
        <v>2.3775415178317543</v>
      </c>
    </row>
    <row r="35" spans="1:19" x14ac:dyDescent="0.25">
      <c r="A35" s="8">
        <v>44096</v>
      </c>
      <c r="B35" s="10">
        <v>76.150002000000001</v>
      </c>
      <c r="C35" s="10">
        <v>77.529999000000004</v>
      </c>
      <c r="D35" s="10">
        <v>75.349997999999999</v>
      </c>
      <c r="E35" s="10">
        <v>75.529999000000004</v>
      </c>
      <c r="F35" s="10">
        <v>75.529999000000004</v>
      </c>
      <c r="G35">
        <v>9155000</v>
      </c>
      <c r="H35" s="10">
        <f>IF(tbl_CVX[[#This Row],[Date]]=$A$5, $F35, EMA_Beta*$H34 + (1-EMA_Beta)*$F35)</f>
        <v>79.937453818947731</v>
      </c>
      <c r="I35" s="46">
        <f ca="1">IF(tbl_CVX[[#This Row],[RS]]= "", "", 100-(100/(1+tbl_CVX[[#This Row],[RS]])))</f>
        <v>24.441433838377279</v>
      </c>
      <c r="J35" s="10">
        <f ca="1">IF(ROW($N35)-4&lt;BB_Periods, "", AVERAGE(INDIRECT(ADDRESS(ROW($F35)-RSI_Periods +1, MATCH("Adj Close", Price_Header,0))): INDIRECT(ADDRESS(ROW($F35),MATCH("Adj Close", Price_Header,0)))))</f>
        <v>78.805000285714286</v>
      </c>
      <c r="K35" s="10">
        <f ca="1">IF(tbl_CVX[[#This Row],[BB_Mean]]="", "", tbl_CVX[[#This Row],[BB_Mean]]+(BB_Width*tbl_CVX[[#This Row],[BB_Stdev]]))</f>
        <v>83.446178910557663</v>
      </c>
      <c r="L35" s="10">
        <f ca="1">IF(tbl_CVX[[#This Row],[BB_Mean]]="", "", tbl_CVX[[#This Row],[BB_Mean]]-(BB_Width*tbl_CVX[[#This Row],[BB_Stdev]]))</f>
        <v>74.163821660870909</v>
      </c>
      <c r="M35" s="46">
        <f>IF(ROW(tbl_CVX[[#This Row],[Adj Close]])=5, 0, $F35-$F34)</f>
        <v>-0.77000400000000013</v>
      </c>
      <c r="N35" s="46">
        <f>MAX(tbl_CVX[[#This Row],[Move]],0)</f>
        <v>0</v>
      </c>
      <c r="O35" s="46">
        <f>MAX(-tbl_CVX[[#This Row],[Move]],0)</f>
        <v>0.77000400000000013</v>
      </c>
      <c r="P35" s="46">
        <f ca="1">IF(ROW($N35)-5&lt;RSI_Periods, "", AVERAGE(INDIRECT(ADDRESS(ROW($N35)-RSI_Periods +1, MATCH("Upmove", Price_Header,0))): INDIRECT(ADDRESS(ROW($N35),MATCH("Upmove", Price_Header,0)))))</f>
        <v>0.25785721428571612</v>
      </c>
      <c r="Q35" s="46">
        <f ca="1">IF(ROW($O35)-5&lt;RSI_Periods, "", AVERAGE(INDIRECT(ADDRESS(ROW($O35)-RSI_Periods +1, MATCH("Downmove", Price_Header,0))): INDIRECT(ADDRESS(ROW($O35),MATCH("Downmove", Price_Header,0)))))</f>
        <v>0.79714314285714394</v>
      </c>
      <c r="R35" s="46">
        <f ca="1">IF(tbl_CVX[[#This Row],[Avg_Upmove]]="", "", tbl_CVX[[#This Row],[Avg_Upmove]]/tbl_CVX[[#This Row],[Avg_Downmove]])</f>
        <v>0.32347667617323622</v>
      </c>
      <c r="S35" s="10">
        <f ca="1">IF(ROW($N35)-4&lt;BB_Periods, "", _xlfn.STDEV.S(INDIRECT(ADDRESS(ROW($F35)-RSI_Periods +1, MATCH("Adj Close", Price_Header,0))): INDIRECT(ADDRESS(ROW($F35),MATCH("Adj Close", Price_Header,0)))))</f>
        <v>2.3205893124216881</v>
      </c>
    </row>
    <row r="36" spans="1:19" x14ac:dyDescent="0.25">
      <c r="A36" s="8">
        <v>44097</v>
      </c>
      <c r="B36" s="10">
        <v>75.589995999999999</v>
      </c>
      <c r="C36" s="10">
        <v>75.910004000000001</v>
      </c>
      <c r="D36" s="10">
        <v>71.849997999999999</v>
      </c>
      <c r="E36" s="10">
        <v>71.949996999999996</v>
      </c>
      <c r="F36" s="10">
        <v>71.949996999999996</v>
      </c>
      <c r="G36">
        <v>16649200</v>
      </c>
      <c r="H36" s="10">
        <f>IF(tbl_CVX[[#This Row],[Date]]=$A$5, $F36, EMA_Beta*$H35 + (1-EMA_Beta)*$F36)</f>
        <v>79.138708137052959</v>
      </c>
      <c r="I36" s="46">
        <f ca="1">IF(tbl_CVX[[#This Row],[RS]]= "", "", 100-(100/(1+tbl_CVX[[#This Row],[RS]])))</f>
        <v>19.188594609640262</v>
      </c>
      <c r="J36" s="10">
        <f ca="1">IF(ROW($N36)-4&lt;BB_Periods, "", AVERAGE(INDIRECT(ADDRESS(ROW($F36)-RSI_Periods +1, MATCH("Adj Close", Price_Header,0))): INDIRECT(ADDRESS(ROW($F36),MATCH("Adj Close", Price_Header,0)))))</f>
        <v>78.002142785714298</v>
      </c>
      <c r="K36" s="10">
        <f ca="1">IF(tbl_CVX[[#This Row],[BB_Mean]]="", "", tbl_CVX[[#This Row],[BB_Mean]]+(BB_Width*tbl_CVX[[#This Row],[BB_Stdev]]))</f>
        <v>83.227685364494988</v>
      </c>
      <c r="L36" s="10">
        <f ca="1">IF(tbl_CVX[[#This Row],[BB_Mean]]="", "", tbl_CVX[[#This Row],[BB_Mean]]-(BB_Width*tbl_CVX[[#This Row],[BB_Stdev]]))</f>
        <v>72.776600206933608</v>
      </c>
      <c r="M36" s="46">
        <f>IF(ROW(tbl_CVX[[#This Row],[Adj Close]])=5, 0, $F36-$F35)</f>
        <v>-3.5800020000000075</v>
      </c>
      <c r="N36" s="46">
        <f>MAX(tbl_CVX[[#This Row],[Move]],0)</f>
        <v>0</v>
      </c>
      <c r="O36" s="46">
        <f>MAX(-tbl_CVX[[#This Row],[Move]],0)</f>
        <v>3.5800020000000075</v>
      </c>
      <c r="P36" s="46">
        <f ca="1">IF(ROW($N36)-5&lt;RSI_Periods, "", AVERAGE(INDIRECT(ADDRESS(ROW($N36)-RSI_Periods +1, MATCH("Upmove", Price_Header,0))): INDIRECT(ADDRESS(ROW($N36),MATCH("Upmove", Price_Header,0)))))</f>
        <v>0.25000007142857228</v>
      </c>
      <c r="Q36" s="46">
        <f ca="1">IF(ROW($O36)-5&lt;RSI_Periods, "", AVERAGE(INDIRECT(ADDRESS(ROW($O36)-RSI_Periods +1, MATCH("Downmove", Price_Header,0))): INDIRECT(ADDRESS(ROW($O36),MATCH("Downmove", Price_Header,0)))))</f>
        <v>1.0528575714285731</v>
      </c>
      <c r="R36" s="46">
        <f ca="1">IF(tbl_CVX[[#This Row],[Avg_Upmove]]="", "", tbl_CVX[[#This Row],[Avg_Upmove]]/tbl_CVX[[#This Row],[Avg_Downmove]])</f>
        <v>0.23744908923374974</v>
      </c>
      <c r="S36" s="10">
        <f ca="1">IF(ROW($N36)-4&lt;BB_Periods, "", _xlfn.STDEV.S(INDIRECT(ADDRESS(ROW($F36)-RSI_Periods +1, MATCH("Adj Close", Price_Header,0))): INDIRECT(ADDRESS(ROW($F36),MATCH("Adj Close", Price_Header,0)))))</f>
        <v>2.6127712893903468</v>
      </c>
    </row>
    <row r="37" spans="1:19" x14ac:dyDescent="0.25">
      <c r="A37" s="8">
        <v>44098</v>
      </c>
      <c r="B37" s="10">
        <v>71.25</v>
      </c>
      <c r="C37" s="10">
        <v>73.029999000000004</v>
      </c>
      <c r="D37" s="10">
        <v>70.5</v>
      </c>
      <c r="E37" s="10">
        <v>71.800003000000004</v>
      </c>
      <c r="F37" s="10">
        <v>71.800003000000004</v>
      </c>
      <c r="G37">
        <v>15203500</v>
      </c>
      <c r="H37" s="10">
        <f>IF(tbl_CVX[[#This Row],[Date]]=$A$5, $F37, EMA_Beta*$H36 + (1-EMA_Beta)*$F37)</f>
        <v>78.404837623347674</v>
      </c>
      <c r="I37" s="46">
        <f ca="1">IF(tbl_CVX[[#This Row],[RS]]= "", "", 100-(100/(1+tbl_CVX[[#This Row],[RS]])))</f>
        <v>20.022891306967011</v>
      </c>
      <c r="J37" s="10">
        <f ca="1">IF(ROW($N37)-4&lt;BB_Periods, "", AVERAGE(INDIRECT(ADDRESS(ROW($F37)-RSI_Periods +1, MATCH("Adj Close", Price_Header,0))): INDIRECT(ADDRESS(ROW($F37),MATCH("Adj Close", Price_Header,0)))))</f>
        <v>77.253571642857153</v>
      </c>
      <c r="K37" s="10">
        <f ca="1">IF(tbl_CVX[[#This Row],[BB_Mean]]="", "", tbl_CVX[[#This Row],[BB_Mean]]+(BB_Width*tbl_CVX[[#This Row],[BB_Stdev]]))</f>
        <v>82.830086161862212</v>
      </c>
      <c r="L37" s="10">
        <f ca="1">IF(tbl_CVX[[#This Row],[BB_Mean]]="", "", tbl_CVX[[#This Row],[BB_Mean]]-(BB_Width*tbl_CVX[[#This Row],[BB_Stdev]]))</f>
        <v>71.677057123852094</v>
      </c>
      <c r="M37" s="46">
        <f>IF(ROW(tbl_CVX[[#This Row],[Adj Close]])=5, 0, $F37-$F36)</f>
        <v>-0.14999399999999241</v>
      </c>
      <c r="N37" s="46">
        <f>MAX(tbl_CVX[[#This Row],[Move]],0)</f>
        <v>0</v>
      </c>
      <c r="O37" s="46">
        <f>MAX(-tbl_CVX[[#This Row],[Move]],0)</f>
        <v>0.14999399999999241</v>
      </c>
      <c r="P37" s="46">
        <f ca="1">IF(ROW($N37)-5&lt;RSI_Periods, "", AVERAGE(INDIRECT(ADDRESS(ROW($N37)-RSI_Periods +1, MATCH("Upmove", Price_Header,0))): INDIRECT(ADDRESS(ROW($N37),MATCH("Upmove", Price_Header,0)))))</f>
        <v>0.25000007142857228</v>
      </c>
      <c r="Q37" s="46">
        <f ca="1">IF(ROW($O37)-5&lt;RSI_Periods, "", AVERAGE(INDIRECT(ADDRESS(ROW($O37)-RSI_Periods +1, MATCH("Downmove", Price_Header,0))): INDIRECT(ADDRESS(ROW($O37),MATCH("Downmove", Price_Header,0)))))</f>
        <v>0.99857121428571516</v>
      </c>
      <c r="R37" s="46">
        <f ca="1">IF(tbl_CVX[[#This Row],[Avg_Upmove]]="", "", tbl_CVX[[#This Row],[Avg_Upmove]]/tbl_CVX[[#This Row],[Avg_Downmove]])</f>
        <v>0.25035777904673434</v>
      </c>
      <c r="S37" s="10">
        <f ca="1">IF(ROW($N37)-4&lt;BB_Periods, "", _xlfn.STDEV.S(INDIRECT(ADDRESS(ROW($F37)-RSI_Periods +1, MATCH("Adj Close", Price_Header,0))): INDIRECT(ADDRESS(ROW($F37),MATCH("Adj Close", Price_Header,0)))))</f>
        <v>2.7882572595025299</v>
      </c>
    </row>
    <row r="38" spans="1:19" x14ac:dyDescent="0.25">
      <c r="A38" s="8">
        <v>44099</v>
      </c>
      <c r="B38" s="10">
        <v>71.010002</v>
      </c>
      <c r="C38" s="10">
        <v>72.480002999999996</v>
      </c>
      <c r="D38" s="10">
        <v>70.769997000000004</v>
      </c>
      <c r="E38" s="10">
        <v>71.830001999999993</v>
      </c>
      <c r="F38" s="10">
        <v>71.830001999999993</v>
      </c>
      <c r="G38">
        <v>11070500</v>
      </c>
      <c r="H38" s="10">
        <f>IF(tbl_CVX[[#This Row],[Date]]=$A$5, $F38, EMA_Beta*$H37 + (1-EMA_Beta)*$F38)</f>
        <v>77.747354061012899</v>
      </c>
      <c r="I38" s="46">
        <f ca="1">IF(tbl_CVX[[#This Row],[RS]]= "", "", 100-(100/(1+tbl_CVX[[#This Row],[RS]])))</f>
        <v>20.571097968659416</v>
      </c>
      <c r="J38" s="10">
        <f ca="1">IF(ROW($N38)-4&lt;BB_Periods, "", AVERAGE(INDIRECT(ADDRESS(ROW($F38)-RSI_Periods +1, MATCH("Adj Close", Price_Header,0))): INDIRECT(ADDRESS(ROW($F38),MATCH("Adj Close", Price_Header,0)))))</f>
        <v>76.532143214285711</v>
      </c>
      <c r="K38" s="10">
        <f ca="1">IF(tbl_CVX[[#This Row],[BB_Mean]]="", "", tbl_CVX[[#This Row],[BB_Mean]]+(BB_Width*tbl_CVX[[#This Row],[BB_Stdev]]))</f>
        <v>82.115817794094482</v>
      </c>
      <c r="L38" s="10">
        <f ca="1">IF(tbl_CVX[[#This Row],[BB_Mean]]="", "", tbl_CVX[[#This Row],[BB_Mean]]-(BB_Width*tbl_CVX[[#This Row],[BB_Stdev]]))</f>
        <v>70.948468634476939</v>
      </c>
      <c r="M38" s="46">
        <f>IF(ROW(tbl_CVX[[#This Row],[Adj Close]])=5, 0, $F38-$F37)</f>
        <v>2.9998999999989451E-2</v>
      </c>
      <c r="N38" s="46">
        <f>MAX(tbl_CVX[[#This Row],[Move]],0)</f>
        <v>2.9998999999989451E-2</v>
      </c>
      <c r="O38" s="46">
        <f>MAX(-tbl_CVX[[#This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0.25214285714285722</v>
      </c>
      <c r="Q38" s="46">
        <f ca="1">IF(ROW($O38)-5&lt;RSI_Periods, "", AVERAGE(INDIRECT(ADDRESS(ROW($O38)-RSI_Periods +1, MATCH("Downmove", Price_Header,0))): INDIRECT(ADDRESS(ROW($O38),MATCH("Downmove", Price_Header,0)))))</f>
        <v>0.97357128571428675</v>
      </c>
      <c r="R38" s="46">
        <f ca="1">IF(tbl_CVX[[#This Row],[Avg_Upmove]]="", "", tbl_CVX[[#This Row],[Avg_Upmove]]/tbl_CVX[[#This Row],[Avg_Downmove]])</f>
        <v>0.25898756551541663</v>
      </c>
      <c r="S38" s="10">
        <f ca="1">IF(ROW($N38)-4&lt;BB_Periods, "", _xlfn.STDEV.S(INDIRECT(ADDRESS(ROW($F38)-RSI_Periods +1, MATCH("Adj Close", Price_Header,0))): INDIRECT(ADDRESS(ROW($F38),MATCH("Adj Close", Price_Header,0)))))</f>
        <v>2.7918372899043824</v>
      </c>
    </row>
    <row r="39" spans="1:19" x14ac:dyDescent="0.25">
      <c r="A39" s="8">
        <v>44102</v>
      </c>
      <c r="B39" s="10">
        <v>73.639999000000003</v>
      </c>
      <c r="C39" s="10">
        <v>74.760002</v>
      </c>
      <c r="D39" s="10">
        <v>73.150002000000001</v>
      </c>
      <c r="E39" s="10">
        <v>73.930000000000007</v>
      </c>
      <c r="F39" s="10">
        <v>73.930000000000007</v>
      </c>
      <c r="G39">
        <v>12863800</v>
      </c>
      <c r="H39" s="10">
        <f>IF(tbl_CVX[[#This Row],[Date]]=$A$5, $F39, EMA_Beta*$H38 + (1-EMA_Beta)*$F39)</f>
        <v>77.365618654911614</v>
      </c>
      <c r="I39" s="46">
        <f ca="1">IF(tbl_CVX[[#This Row],[RS]]= "", "", 100-(100/(1+tbl_CVX[[#This Row],[RS]])))</f>
        <v>34.539871387706441</v>
      </c>
      <c r="J39" s="10">
        <f ca="1">IF(ROW($N39)-4&lt;BB_Periods, "", AVERAGE(INDIRECT(ADDRESS(ROW($F39)-RSI_Periods +1, MATCH("Adj Close", Price_Header,0))): INDIRECT(ADDRESS(ROW($F39),MATCH("Adj Close", Price_Header,0)))))</f>
        <v>76.172143142857152</v>
      </c>
      <c r="K39" s="10">
        <f ca="1">IF(tbl_CVX[[#This Row],[BB_Mean]]="", "", tbl_CVX[[#This Row],[BB_Mean]]+(BB_Width*tbl_CVX[[#This Row],[BB_Stdev]]))</f>
        <v>81.728573067442625</v>
      </c>
      <c r="L39" s="10">
        <f ca="1">IF(tbl_CVX[[#This Row],[BB_Mean]]="", "", tbl_CVX[[#This Row],[BB_Mean]]-(BB_Width*tbl_CVX[[#This Row],[BB_Stdev]]))</f>
        <v>70.615713218271679</v>
      </c>
      <c r="M39" s="46">
        <f>IF(ROW(tbl_CVX[[#This Row],[Adj Close]])=5, 0, $F39-$F38)</f>
        <v>2.0999980000000136</v>
      </c>
      <c r="N39" s="46">
        <f>MAX(tbl_CVX[[#This Row],[Move]],0)</f>
        <v>2.0999980000000136</v>
      </c>
      <c r="O39" s="46">
        <f>MAX(-tbl_CVX[[#This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0.40214271428571535</v>
      </c>
      <c r="Q39" s="46">
        <f ca="1">IF(ROW($O39)-5&lt;RSI_Periods, "", AVERAGE(INDIRECT(ADDRESS(ROW($O39)-RSI_Periods +1, MATCH("Downmove", Price_Header,0))): INDIRECT(ADDRESS(ROW($O39),MATCH("Downmove", Price_Header,0)))))</f>
        <v>0.76214278571428606</v>
      </c>
      <c r="R39" s="46">
        <f ca="1">IF(tbl_CVX[[#This Row],[Avg_Upmove]]="", "", tbl_CVX[[#This Row],[Avg_Upmove]]/tbl_CVX[[#This Row],[Avg_Downmove]])</f>
        <v>0.52764747213191043</v>
      </c>
      <c r="S39" s="10">
        <f ca="1">IF(ROW($N39)-4&lt;BB_Periods, "", _xlfn.STDEV.S(INDIRECT(ADDRESS(ROW($F39)-RSI_Periods +1, MATCH("Adj Close", Price_Header,0))): INDIRECT(ADDRESS(ROW($F39),MATCH("Adj Close", Price_Header,0)))))</f>
        <v>2.7782149622927332</v>
      </c>
    </row>
    <row r="40" spans="1:19" x14ac:dyDescent="0.25">
      <c r="A40" s="8">
        <v>44103</v>
      </c>
      <c r="B40" s="10">
        <v>74</v>
      </c>
      <c r="C40" s="10">
        <v>74.139999000000003</v>
      </c>
      <c r="D40" s="10">
        <v>71.110000999999997</v>
      </c>
      <c r="E40" s="10">
        <v>71.900002000000001</v>
      </c>
      <c r="F40" s="10">
        <v>71.900002000000001</v>
      </c>
      <c r="G40">
        <v>10553000</v>
      </c>
      <c r="H40" s="10">
        <f>IF(tbl_CVX[[#This Row],[Date]]=$A$5, $F40, EMA_Beta*$H39 + (1-EMA_Beta)*$F40)</f>
        <v>76.81905698942046</v>
      </c>
      <c r="I40" s="46">
        <f ca="1">IF(tbl_CVX[[#This Row],[RS]]= "", "", 100-(100/(1+tbl_CVX[[#This Row],[RS]])))</f>
        <v>26.462077555659107</v>
      </c>
      <c r="J40" s="10">
        <f ca="1">IF(ROW($N40)-4&lt;BB_Periods, "", AVERAGE(INDIRECT(ADDRESS(ROW($F40)-RSI_Periods +1, MATCH("Adj Close", Price_Header,0))): INDIRECT(ADDRESS(ROW($F40),MATCH("Adj Close", Price_Header,0)))))</f>
        <v>75.591429071428593</v>
      </c>
      <c r="K40" s="10">
        <f ca="1">IF(tbl_CVX[[#This Row],[BB_Mean]]="", "", tbl_CVX[[#This Row],[BB_Mean]]+(BB_Width*tbl_CVX[[#This Row],[BB_Stdev]]))</f>
        <v>81.110268229429479</v>
      </c>
      <c r="L40" s="10">
        <f ca="1">IF(tbl_CVX[[#This Row],[BB_Mean]]="", "", tbl_CVX[[#This Row],[BB_Mean]]-(BB_Width*tbl_CVX[[#This Row],[BB_Stdev]]))</f>
        <v>70.072589913427706</v>
      </c>
      <c r="M40" s="46">
        <f>IF(ROW(tbl_CVX[[#This Row],[Adj Close]])=5, 0, $F40-$F39)</f>
        <v>-2.0299980000000062</v>
      </c>
      <c r="N40" s="46">
        <f>MAX(tbl_CVX[[#This Row],[Move]],0)</f>
        <v>0</v>
      </c>
      <c r="O40" s="46">
        <f>MAX(-tbl_CVX[[#This Row],[Move]],0)</f>
        <v>2.0299980000000062</v>
      </c>
      <c r="P40" s="46">
        <f ca="1">IF(ROW($N40)-5&lt;RSI_Periods, "", AVERAGE(INDIRECT(ADDRESS(ROW($N40)-RSI_Periods +1, MATCH("Upmove", Price_Header,0))): INDIRECT(ADDRESS(ROW($N40),MATCH("Upmove", Price_Header,0)))))</f>
        <v>0.32642857142857196</v>
      </c>
      <c r="Q40" s="46">
        <f ca="1">IF(ROW($O40)-5&lt;RSI_Periods, "", AVERAGE(INDIRECT(ADDRESS(ROW($O40)-RSI_Periods +1, MATCH("Downmove", Price_Header,0))): INDIRECT(ADDRESS(ROW($O40),MATCH("Downmove", Price_Header,0)))))</f>
        <v>0.90714264285714363</v>
      </c>
      <c r="R40" s="46">
        <f ca="1">IF(tbl_CVX[[#This Row],[Avg_Upmove]]="", "", tbl_CVX[[#This Row],[Avg_Upmove]]/tbl_CVX[[#This Row],[Avg_Downmove]])</f>
        <v>0.35984260468722973</v>
      </c>
      <c r="S40" s="10">
        <f ca="1">IF(ROW($N40)-4&lt;BB_Periods, "", _xlfn.STDEV.S(INDIRECT(ADDRESS(ROW($F40)-RSI_Periods +1, MATCH("Adj Close", Price_Header,0))): INDIRECT(ADDRESS(ROW($F40),MATCH("Adj Close", Price_Header,0)))))</f>
        <v>2.7594195790004461</v>
      </c>
    </row>
    <row r="41" spans="1:19" x14ac:dyDescent="0.25">
      <c r="A41" s="8">
        <v>44104</v>
      </c>
      <c r="B41" s="10">
        <v>72.25</v>
      </c>
      <c r="C41" s="10">
        <v>72.889999000000003</v>
      </c>
      <c r="D41" s="10">
        <v>71.610000999999997</v>
      </c>
      <c r="E41" s="10">
        <v>72</v>
      </c>
      <c r="F41" s="10">
        <v>72</v>
      </c>
      <c r="G41">
        <v>10454300</v>
      </c>
      <c r="H41" s="10">
        <f>IF(tbl_CVX[[#This Row],[Date]]=$A$5, $F41, EMA_Beta*$H40 + (1-EMA_Beta)*$F41)</f>
        <v>76.337151290478417</v>
      </c>
      <c r="I41" s="46">
        <f ca="1">IF(tbl_CVX[[#This Row],[RS]]= "", "", 100-(100/(1+tbl_CVX[[#This Row],[RS]])))</f>
        <v>30.148473873269722</v>
      </c>
      <c r="J41" s="10">
        <f ca="1">IF(ROW($N41)-4&lt;BB_Periods, "", AVERAGE(INDIRECT(ADDRESS(ROW($F41)-RSI_Periods +1, MATCH("Adj Close", Price_Header,0))): INDIRECT(ADDRESS(ROW($F41),MATCH("Adj Close", Price_Header,0)))))</f>
        <v>75.152143214285715</v>
      </c>
      <c r="K41" s="10">
        <f ca="1">IF(tbl_CVX[[#This Row],[BB_Mean]]="", "", tbl_CVX[[#This Row],[BB_Mean]]+(BB_Width*tbl_CVX[[#This Row],[BB_Stdev]]))</f>
        <v>80.771823243855053</v>
      </c>
      <c r="L41" s="10">
        <f ca="1">IF(tbl_CVX[[#This Row],[BB_Mean]]="", "", tbl_CVX[[#This Row],[BB_Mean]]-(BB_Width*tbl_CVX[[#This Row],[BB_Stdev]]))</f>
        <v>69.532463184716377</v>
      </c>
      <c r="M41" s="46">
        <f>IF(ROW(tbl_CVX[[#This Row],[Adj Close]])=5, 0, $F41-$F40)</f>
        <v>9.9997999999999365E-2</v>
      </c>
      <c r="N41" s="46">
        <f>MAX(tbl_CVX[[#This Row],[Move]],0)</f>
        <v>9.9997999999999365E-2</v>
      </c>
      <c r="O41" s="46">
        <f>MAX(-tbl_CVX[[#This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0.33357128571428618</v>
      </c>
      <c r="Q41" s="46">
        <f ca="1">IF(ROW($O41)-5&lt;RSI_Periods, "", AVERAGE(INDIRECT(ADDRESS(ROW($O41)-RSI_Periods +1, MATCH("Downmove", Price_Header,0))): INDIRECT(ADDRESS(ROW($O41),MATCH("Downmove", Price_Header,0)))))</f>
        <v>0.77285714285714335</v>
      </c>
      <c r="R41" s="46">
        <f ca="1">IF(tbl_CVX[[#This Row],[Avg_Upmove]]="", "", tbl_CVX[[#This Row],[Avg_Upmove]]/tbl_CVX[[#This Row],[Avg_Downmove]])</f>
        <v>0.43160794824399296</v>
      </c>
      <c r="S41" s="10">
        <f ca="1">IF(ROW($N41)-4&lt;BB_Periods, "", _xlfn.STDEV.S(INDIRECT(ADDRESS(ROW($F41)-RSI_Periods +1, MATCH("Adj Close", Price_Header,0))): INDIRECT(ADDRESS(ROW($F41),MATCH("Adj Close", Price_Header,0)))))</f>
        <v>2.8098400147846689</v>
      </c>
    </row>
    <row r="42" spans="1:19" x14ac:dyDescent="0.25">
      <c r="A42" s="8">
        <v>44105</v>
      </c>
      <c r="B42" s="10">
        <v>71.510002</v>
      </c>
      <c r="C42" s="10">
        <v>71.879997000000003</v>
      </c>
      <c r="D42" s="10">
        <v>70.029999000000004</v>
      </c>
      <c r="E42" s="10">
        <v>70.419998000000007</v>
      </c>
      <c r="F42" s="10">
        <v>70.419998000000007</v>
      </c>
      <c r="G42">
        <v>14930700</v>
      </c>
      <c r="H42" s="10">
        <f>IF(tbl_CVX[[#This Row],[Date]]=$A$5, $F42, EMA_Beta*$H41 + (1-EMA_Beta)*$F42)</f>
        <v>75.745435961430573</v>
      </c>
      <c r="I42" s="46">
        <f ca="1">IF(tbl_CVX[[#This Row],[RS]]= "", "", 100-(100/(1+tbl_CVX[[#This Row],[RS]])))</f>
        <v>28.115580975316078</v>
      </c>
      <c r="J42" s="10">
        <f ca="1">IF(ROW($N42)-4&lt;BB_Periods, "", AVERAGE(INDIRECT(ADDRESS(ROW($F42)-RSI_Periods +1, MATCH("Adj Close", Price_Header,0))): INDIRECT(ADDRESS(ROW($F42),MATCH("Adj Close", Price_Header,0)))))</f>
        <v>74.632857214285721</v>
      </c>
      <c r="K42" s="10">
        <f ca="1">IF(tbl_CVX[[#This Row],[BB_Mean]]="", "", tbl_CVX[[#This Row],[BB_Mean]]+(BB_Width*tbl_CVX[[#This Row],[BB_Stdev]]))</f>
        <v>80.576564206458784</v>
      </c>
      <c r="L42" s="10">
        <f ca="1">IF(tbl_CVX[[#This Row],[BB_Mean]]="", "", tbl_CVX[[#This Row],[BB_Mean]]-(BB_Width*tbl_CVX[[#This Row],[BB_Stdev]]))</f>
        <v>68.689150222112659</v>
      </c>
      <c r="M42" s="46">
        <f>IF(ROW(tbl_CVX[[#This Row],[Adj Close]])=5, 0, $F42-$F41)</f>
        <v>-1.5800019999999932</v>
      </c>
      <c r="N42" s="46">
        <f>MAX(tbl_CVX[[#This Row],[Move]],0)</f>
        <v>0</v>
      </c>
      <c r="O42" s="46">
        <f>MAX(-tbl_CVX[[#This Row],[Move]],0)</f>
        <v>1.5800019999999932</v>
      </c>
      <c r="P42" s="46">
        <f ca="1">IF(ROW($N42)-5&lt;RSI_Periods, "", AVERAGE(INDIRECT(ADDRESS(ROW($N42)-RSI_Periods +1, MATCH("Upmove", Price_Header,0))): INDIRECT(ADDRESS(ROW($N42),MATCH("Upmove", Price_Header,0)))))</f>
        <v>0.33357128571428618</v>
      </c>
      <c r="Q42" s="46">
        <f ca="1">IF(ROW($O42)-5&lt;RSI_Periods, "", AVERAGE(INDIRECT(ADDRESS(ROW($O42)-RSI_Periods +1, MATCH("Downmove", Price_Header,0))): INDIRECT(ADDRESS(ROW($O42),MATCH("Downmove", Price_Header,0)))))</f>
        <v>0.85285728571428621</v>
      </c>
      <c r="R42" s="46">
        <f ca="1">IF(tbl_CVX[[#This Row],[Avg_Upmove]]="", "", tbl_CVX[[#This Row],[Avg_Upmove]]/tbl_CVX[[#This Row],[Avg_Downmove]])</f>
        <v>0.39112204503818371</v>
      </c>
      <c r="S42" s="10">
        <f ca="1">IF(ROW($N42)-4&lt;BB_Periods, "", _xlfn.STDEV.S(INDIRECT(ADDRESS(ROW($F42)-RSI_Periods +1, MATCH("Adj Close", Price_Header,0))): INDIRECT(ADDRESS(ROW($F42),MATCH("Adj Close", Price_Header,0)))))</f>
        <v>2.9718534960865277</v>
      </c>
    </row>
    <row r="43" spans="1:19" x14ac:dyDescent="0.25">
      <c r="A43" s="8">
        <v>44106</v>
      </c>
      <c r="B43" s="10">
        <v>68.919998000000007</v>
      </c>
      <c r="C43" s="10">
        <v>71.669998000000007</v>
      </c>
      <c r="D43" s="10">
        <v>68.819999999999993</v>
      </c>
      <c r="E43" s="10">
        <v>71.190002000000007</v>
      </c>
      <c r="F43" s="10">
        <v>71.190002000000007</v>
      </c>
      <c r="G43">
        <v>9854800</v>
      </c>
      <c r="H43" s="10">
        <f>IF(tbl_CVX[[#This Row],[Date]]=$A$5, $F43, EMA_Beta*$H42 + (1-EMA_Beta)*$F43)</f>
        <v>75.289892565287516</v>
      </c>
      <c r="I43" s="46">
        <f ca="1">IF(tbl_CVX[[#This Row],[RS]]= "", "", 100-(100/(1+tbl_CVX[[#This Row],[RS]])))</f>
        <v>32.037697519841444</v>
      </c>
      <c r="J43" s="10">
        <f ca="1">IF(ROW($N43)-4&lt;BB_Periods, "", AVERAGE(INDIRECT(ADDRESS(ROW($F43)-RSI_Periods +1, MATCH("Adj Close", Price_Header,0))): INDIRECT(ADDRESS(ROW($F43),MATCH("Adj Close", Price_Header,0)))))</f>
        <v>74.197142999999997</v>
      </c>
      <c r="K43" s="10">
        <f ca="1">IF(tbl_CVX[[#This Row],[BB_Mean]]="", "", tbl_CVX[[#This Row],[BB_Mean]]+(BB_Width*tbl_CVX[[#This Row],[BB_Stdev]]))</f>
        <v>80.195857074655251</v>
      </c>
      <c r="L43" s="10">
        <f ca="1">IF(tbl_CVX[[#This Row],[BB_Mean]]="", "", tbl_CVX[[#This Row],[BB_Mean]]-(BB_Width*tbl_CVX[[#This Row],[BB_Stdev]]))</f>
        <v>68.198428925344743</v>
      </c>
      <c r="M43" s="46">
        <f>IF(ROW(tbl_CVX[[#This Row],[Adj Close]])=5, 0, $F43-$F42)</f>
        <v>0.77000400000000013</v>
      </c>
      <c r="N43" s="46">
        <f>MAX(tbl_CVX[[#This Row],[Move]],0)</f>
        <v>0.77000400000000013</v>
      </c>
      <c r="O43" s="46">
        <f>MAX(-tbl_CVX[[#This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0.3885715714285719</v>
      </c>
      <c r="Q43" s="46">
        <f ca="1">IF(ROW($O43)-5&lt;RSI_Periods, "", AVERAGE(INDIRECT(ADDRESS(ROW($O43)-RSI_Periods +1, MATCH("Downmove", Price_Header,0))): INDIRECT(ADDRESS(ROW($O43),MATCH("Downmove", Price_Header,0)))))</f>
        <v>0.82428578571428601</v>
      </c>
      <c r="R43" s="46">
        <f ca="1">IF(tbl_CVX[[#This Row],[Avg_Upmove]]="", "", tbl_CVX[[#This Row],[Avg_Upmove]]/tbl_CVX[[#This Row],[Avg_Downmove]])</f>
        <v>0.47140394528562041</v>
      </c>
      <c r="S43" s="10">
        <f ca="1">IF(ROW($N43)-4&lt;BB_Periods, "", _xlfn.STDEV.S(INDIRECT(ADDRESS(ROW($F43)-RSI_Periods +1, MATCH("Adj Close", Price_Header,0))): INDIRECT(ADDRESS(ROW($F43),MATCH("Adj Close", Price_Header,0)))))</f>
        <v>2.999357037327627</v>
      </c>
    </row>
    <row r="44" spans="1:19" x14ac:dyDescent="0.25">
      <c r="A44" s="8">
        <v>44109</v>
      </c>
      <c r="B44" s="10">
        <v>71.519997000000004</v>
      </c>
      <c r="C44" s="10">
        <v>72.730002999999996</v>
      </c>
      <c r="D44" s="10">
        <v>70.709998999999996</v>
      </c>
      <c r="E44" s="10">
        <v>72.699996999999996</v>
      </c>
      <c r="F44" s="10">
        <v>72.699996999999996</v>
      </c>
      <c r="G44">
        <v>12049800</v>
      </c>
      <c r="H44" s="10">
        <f>IF(tbl_CVX[[#This Row],[Date]]=$A$5, $F44, EMA_Beta*$H43 + (1-EMA_Beta)*$F44)</f>
        <v>75.03090300875877</v>
      </c>
      <c r="I44" s="46">
        <f ca="1">IF(tbl_CVX[[#This Row],[RS]]= "", "", 100-(100/(1+tbl_CVX[[#This Row],[RS]])))</f>
        <v>39.601133789496799</v>
      </c>
      <c r="J44" s="10">
        <f ca="1">IF(ROW($N44)-4&lt;BB_Periods, "", AVERAGE(INDIRECT(ADDRESS(ROW($F44)-RSI_Periods +1, MATCH("Adj Close", Price_Header,0))): INDIRECT(ADDRESS(ROW($F44),MATCH("Adj Close", Price_Header,0)))))</f>
        <v>73.936428642857138</v>
      </c>
      <c r="K44" s="10">
        <f ca="1">IF(tbl_CVX[[#This Row],[BB_Mean]]="", "", tbl_CVX[[#This Row],[BB_Mean]]+(BB_Width*tbl_CVX[[#This Row],[BB_Stdev]]))</f>
        <v>79.848734144378085</v>
      </c>
      <c r="L44" s="10">
        <f ca="1">IF(tbl_CVX[[#This Row],[BB_Mean]]="", "", tbl_CVX[[#This Row],[BB_Mean]]-(BB_Width*tbl_CVX[[#This Row],[BB_Stdev]]))</f>
        <v>68.02412314133619</v>
      </c>
      <c r="M44" s="46">
        <f>IF(ROW(tbl_CVX[[#This Row],[Adj Close]])=5, 0, $F44-$F43)</f>
        <v>1.5099949999999893</v>
      </c>
      <c r="N44" s="46">
        <f>MAX(tbl_CVX[[#This Row],[Move]],0)</f>
        <v>1.5099949999999893</v>
      </c>
      <c r="O44" s="46">
        <f>MAX(-tbl_CVX[[#This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0.49642835714285688</v>
      </c>
      <c r="Q44" s="46">
        <f ca="1">IF(ROW($O44)-5&lt;RSI_Periods, "", AVERAGE(INDIRECT(ADDRESS(ROW($O44)-RSI_Periods +1, MATCH("Downmove", Price_Header,0))): INDIRECT(ADDRESS(ROW($O44),MATCH("Downmove", Price_Header,0)))))</f>
        <v>0.75714271428571422</v>
      </c>
      <c r="R44" s="46">
        <f ca="1">IF(tbl_CVX[[#This Row],[Avg_Upmove]]="", "", tbl_CVX[[#This Row],[Avg_Upmove]]/tbl_CVX[[#This Row],[Avg_Downmove]])</f>
        <v>0.65566021804909747</v>
      </c>
      <c r="S44" s="10">
        <f ca="1">IF(ROW($N44)-4&lt;BB_Periods, "", _xlfn.STDEV.S(INDIRECT(ADDRESS(ROW($F44)-RSI_Periods +1, MATCH("Adj Close", Price_Header,0))): INDIRECT(ADDRESS(ROW($F44),MATCH("Adj Close", Price_Header,0)))))</f>
        <v>2.9561527507604715</v>
      </c>
    </row>
    <row r="45" spans="1:19" x14ac:dyDescent="0.25">
      <c r="A45" s="8">
        <v>44110</v>
      </c>
      <c r="B45" s="10">
        <v>73.839995999999999</v>
      </c>
      <c r="C45" s="10">
        <v>74.319999999999993</v>
      </c>
      <c r="D45" s="10">
        <v>72.25</v>
      </c>
      <c r="E45" s="10">
        <v>72.300003000000004</v>
      </c>
      <c r="F45" s="10">
        <v>72.300003000000004</v>
      </c>
      <c r="G45">
        <v>15294500</v>
      </c>
      <c r="H45" s="10">
        <f>IF(tbl_CVX[[#This Row],[Date]]=$A$5, $F45, EMA_Beta*$H44 + (1-EMA_Beta)*$F45)</f>
        <v>74.757813007882902</v>
      </c>
      <c r="I45" s="46">
        <f ca="1">IF(tbl_CVX[[#This Row],[RS]]= "", "", 100-(100/(1+tbl_CVX[[#This Row],[RS]])))</f>
        <v>30.114360308638098</v>
      </c>
      <c r="J45" s="10">
        <f ca="1">IF(ROW($N45)-4&lt;BB_Periods, "", AVERAGE(INDIRECT(ADDRESS(ROW($F45)-RSI_Periods +1, MATCH("Adj Close", Price_Header,0))): INDIRECT(ADDRESS(ROW($F45),MATCH("Adj Close", Price_Header,0)))))</f>
        <v>73.489286142857154</v>
      </c>
      <c r="K45" s="10">
        <f ca="1">IF(tbl_CVX[[#This Row],[BB_Mean]]="", "", tbl_CVX[[#This Row],[BB_Mean]]+(BB_Width*tbl_CVX[[#This Row],[BB_Stdev]]))</f>
        <v>78.812856188079863</v>
      </c>
      <c r="L45" s="10">
        <f ca="1">IF(tbl_CVX[[#This Row],[BB_Mean]]="", "", tbl_CVX[[#This Row],[BB_Mean]]-(BB_Width*tbl_CVX[[#This Row],[BB_Stdev]]))</f>
        <v>68.165716097634444</v>
      </c>
      <c r="M45" s="46">
        <f>IF(ROW(tbl_CVX[[#This Row],[Adj Close]])=5, 0, $F45-$F44)</f>
        <v>-0.39999399999999241</v>
      </c>
      <c r="N45" s="46">
        <f>MAX(tbl_CVX[[#This Row],[Move]],0)</f>
        <v>0</v>
      </c>
      <c r="O45" s="46">
        <f>MAX(-tbl_CVX[[#This Row],[Move]],0)</f>
        <v>0.39999399999999241</v>
      </c>
      <c r="P45" s="46">
        <f ca="1">IF(ROW($N45)-5&lt;RSI_Periods, "", AVERAGE(INDIRECT(ADDRESS(ROW($N45)-RSI_Periods +1, MATCH("Upmove", Price_Header,0))): INDIRECT(ADDRESS(ROW($N45),MATCH("Upmove", Price_Header,0)))))</f>
        <v>0.33857121428571446</v>
      </c>
      <c r="Q45" s="46">
        <f ca="1">IF(ROW($O45)-5&lt;RSI_Periods, "", AVERAGE(INDIRECT(ADDRESS(ROW($O45)-RSI_Periods +1, MATCH("Downmove", Price_Header,0))): INDIRECT(ADDRESS(ROW($O45),MATCH("Downmove", Price_Header,0)))))</f>
        <v>0.78571371428571368</v>
      </c>
      <c r="R45" s="46">
        <f ca="1">IF(tbl_CVX[[#This Row],[Avg_Upmove]]="", "", tbl_CVX[[#This Row],[Avg_Upmove]]/tbl_CVX[[#This Row],[Avg_Downmove]])</f>
        <v>0.43090913157027805</v>
      </c>
      <c r="S45" s="10">
        <f ca="1">IF(ROW($N45)-4&lt;BB_Periods, "", _xlfn.STDEV.S(INDIRECT(ADDRESS(ROW($F45)-RSI_Periods +1, MATCH("Adj Close", Price_Header,0))): INDIRECT(ADDRESS(ROW($F45),MATCH("Adj Close", Price_Header,0)))))</f>
        <v>2.6617850226113551</v>
      </c>
    </row>
    <row r="46" spans="1:19" x14ac:dyDescent="0.25">
      <c r="A46" s="8">
        <v>44111</v>
      </c>
      <c r="B46" s="10">
        <v>72.169998000000007</v>
      </c>
      <c r="C46" s="10">
        <v>73.919998000000007</v>
      </c>
      <c r="D46" s="10">
        <v>71.559997999999993</v>
      </c>
      <c r="E46" s="10">
        <v>73.779999000000004</v>
      </c>
      <c r="F46" s="10">
        <v>73.779999000000004</v>
      </c>
      <c r="G46">
        <v>15410300</v>
      </c>
      <c r="H46" s="10">
        <f>IF(tbl_CVX[[#This Row],[Date]]=$A$5, $F46, EMA_Beta*$H45 + (1-EMA_Beta)*$F46)</f>
        <v>74.660031607094623</v>
      </c>
      <c r="I46" s="46">
        <f ca="1">IF(tbl_CVX[[#This Row],[RS]]= "", "", 100-(100/(1+tbl_CVX[[#This Row],[RS]])))</f>
        <v>35.256011454279346</v>
      </c>
      <c r="J46" s="10">
        <f ca="1">IF(ROW($N46)-4&lt;BB_Periods, "", AVERAGE(INDIRECT(ADDRESS(ROW($F46)-RSI_Periods +1, MATCH("Adj Close", Price_Header,0))): INDIRECT(ADDRESS(ROW($F46),MATCH("Adj Close", Price_Header,0)))))</f>
        <v>73.131428857142865</v>
      </c>
      <c r="K46" s="10">
        <f ca="1">IF(tbl_CVX[[#This Row],[BB_Mean]]="", "", tbl_CVX[[#This Row],[BB_Mean]]+(BB_Width*tbl_CVX[[#This Row],[BB_Stdev]]))</f>
        <v>77.509709652059996</v>
      </c>
      <c r="L46" s="10">
        <f ca="1">IF(tbl_CVX[[#This Row],[BB_Mean]]="", "", tbl_CVX[[#This Row],[BB_Mean]]-(BB_Width*tbl_CVX[[#This Row],[BB_Stdev]]))</f>
        <v>68.753148062225733</v>
      </c>
      <c r="M46" s="46">
        <f>IF(ROW(tbl_CVX[[#This Row],[Adj Close]])=5, 0, $F46-$F45)</f>
        <v>1.4799959999999999</v>
      </c>
      <c r="N46" s="46">
        <f>MAX(tbl_CVX[[#This Row],[Move]],0)</f>
        <v>1.4799959999999999</v>
      </c>
      <c r="O46" s="46">
        <f>MAX(-tbl_CVX[[#This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0.42785642857142797</v>
      </c>
      <c r="Q46" s="46">
        <f ca="1">IF(ROW($O46)-5&lt;RSI_Periods, "", AVERAGE(INDIRECT(ADDRESS(ROW($O46)-RSI_Periods +1, MATCH("Downmove", Price_Header,0))): INDIRECT(ADDRESS(ROW($O46),MATCH("Downmove", Price_Header,0)))))</f>
        <v>0.78571371428571368</v>
      </c>
      <c r="R46" s="46">
        <f ca="1">IF(tbl_CVX[[#This Row],[Avg_Upmove]]="", "", tbl_CVX[[#This Row],[Avg_Upmove]]/tbl_CVX[[#This Row],[Avg_Downmove]])</f>
        <v>0.54454494148722987</v>
      </c>
      <c r="S46" s="10">
        <f ca="1">IF(ROW($N46)-4&lt;BB_Periods, "", _xlfn.STDEV.S(INDIRECT(ADDRESS(ROW($F46)-RSI_Periods +1, MATCH("Adj Close", Price_Header,0))): INDIRECT(ADDRESS(ROW($F46),MATCH("Adj Close", Price_Header,0)))))</f>
        <v>2.189140397458567</v>
      </c>
    </row>
    <row r="47" spans="1:19" x14ac:dyDescent="0.25">
      <c r="A47" s="8">
        <v>44112</v>
      </c>
      <c r="B47" s="10">
        <v>74.389999000000003</v>
      </c>
      <c r="C47" s="10">
        <v>75.550003000000004</v>
      </c>
      <c r="D47" s="10">
        <v>73.989998</v>
      </c>
      <c r="E47" s="10">
        <v>75.220000999999996</v>
      </c>
      <c r="F47" s="10">
        <v>75.220000999999996</v>
      </c>
      <c r="G47">
        <v>11590900</v>
      </c>
      <c r="H47" s="10">
        <f>IF(tbl_CVX[[#This Row],[Date]]=$A$5, $F47, EMA_Beta*$H46 + (1-EMA_Beta)*$F47)</f>
        <v>74.716028546385161</v>
      </c>
      <c r="I47" s="46">
        <f ca="1">IF(tbl_CVX[[#This Row],[RS]]= "", "", 100-(100/(1+tbl_CVX[[#This Row],[RS]])))</f>
        <v>41.624647016450758</v>
      </c>
      <c r="J47" s="10">
        <f ca="1">IF(ROW($N47)-4&lt;BB_Periods, "", AVERAGE(INDIRECT(ADDRESS(ROW($F47)-RSI_Periods +1, MATCH("Adj Close", Price_Header,0))): INDIRECT(ADDRESS(ROW($F47),MATCH("Adj Close", Price_Header,0)))))</f>
        <v>72.917857571428584</v>
      </c>
      <c r="K47" s="10">
        <f ca="1">IF(tbl_CVX[[#This Row],[BB_Mean]]="", "", tbl_CVX[[#This Row],[BB_Mean]]+(BB_Width*tbl_CVX[[#This Row],[BB_Stdev]]))</f>
        <v>76.43625078075064</v>
      </c>
      <c r="L47" s="10">
        <f ca="1">IF(tbl_CVX[[#This Row],[BB_Mean]]="", "", tbl_CVX[[#This Row],[BB_Mean]]-(BB_Width*tbl_CVX[[#This Row],[BB_Stdev]]))</f>
        <v>69.399464362106528</v>
      </c>
      <c r="M47" s="46">
        <f>IF(ROW(tbl_CVX[[#This Row],[Adj Close]])=5, 0, $F47-$F46)</f>
        <v>1.4400019999999927</v>
      </c>
      <c r="N47" s="46">
        <f>MAX(tbl_CVX[[#This Row],[Move]],0)</f>
        <v>1.4400019999999927</v>
      </c>
      <c r="O47" s="46">
        <f>MAX(-tbl_CVX[[#This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0.53071371428571312</v>
      </c>
      <c r="Q47" s="46">
        <f ca="1">IF(ROW($O47)-5&lt;RSI_Periods, "", AVERAGE(INDIRECT(ADDRESS(ROW($O47)-RSI_Periods +1, MATCH("Downmove", Price_Header,0))): INDIRECT(ADDRESS(ROW($O47),MATCH("Downmove", Price_Header,0)))))</f>
        <v>0.74428499999999886</v>
      </c>
      <c r="R47" s="46">
        <f ca="1">IF(tbl_CVX[[#This Row],[Avg_Upmove]]="", "", tbl_CVX[[#This Row],[Avg_Upmove]]/tbl_CVX[[#This Row],[Avg_Downmove]])</f>
        <v>0.71305173997287863</v>
      </c>
      <c r="S47" s="10">
        <f ca="1">IF(ROW($N47)-4&lt;BB_Periods, "", _xlfn.STDEV.S(INDIRECT(ADDRESS(ROW($F47)-RSI_Periods +1, MATCH("Adj Close", Price_Header,0))): INDIRECT(ADDRESS(ROW($F47),MATCH("Adj Close", Price_Header,0)))))</f>
        <v>1.7591966046610252</v>
      </c>
    </row>
    <row r="48" spans="1:19" x14ac:dyDescent="0.25">
      <c r="A48" s="8">
        <v>44113</v>
      </c>
      <c r="B48" s="10">
        <v>75.860000999999997</v>
      </c>
      <c r="C48" s="10">
        <v>76.089995999999999</v>
      </c>
      <c r="D48" s="10">
        <v>73.980002999999996</v>
      </c>
      <c r="E48" s="10">
        <v>74</v>
      </c>
      <c r="F48" s="10">
        <v>74</v>
      </c>
      <c r="G48">
        <v>12260900</v>
      </c>
      <c r="H48" s="10">
        <f>IF(tbl_CVX[[#This Row],[Date]]=$A$5, $F48, EMA_Beta*$H47 + (1-EMA_Beta)*$F48)</f>
        <v>74.644425691746648</v>
      </c>
      <c r="I48" s="46">
        <f ca="1">IF(tbl_CVX[[#This Row],[RS]]= "", "", 100-(100/(1+tbl_CVX[[#This Row],[RS]])))</f>
        <v>43.298354480105353</v>
      </c>
      <c r="J48" s="10">
        <f ca="1">IF(ROW($N48)-4&lt;BB_Periods, "", AVERAGE(INDIRECT(ADDRESS(ROW($F48)-RSI_Periods +1, MATCH("Adj Close", Price_Header,0))): INDIRECT(ADDRESS(ROW($F48),MATCH("Adj Close", Price_Header,0)))))</f>
        <v>72.753571642857153</v>
      </c>
      <c r="K48" s="10">
        <f ca="1">IF(tbl_CVX[[#This Row],[BB_Mean]]="", "", tbl_CVX[[#This Row],[BB_Mean]]+(BB_Width*tbl_CVX[[#This Row],[BB_Stdev]]))</f>
        <v>75.770769090678158</v>
      </c>
      <c r="L48" s="10">
        <f ca="1">IF(tbl_CVX[[#This Row],[BB_Mean]]="", "", tbl_CVX[[#This Row],[BB_Mean]]-(BB_Width*tbl_CVX[[#This Row],[BB_Stdev]]))</f>
        <v>69.736374195036149</v>
      </c>
      <c r="M48" s="46">
        <f>IF(ROW(tbl_CVX[[#This Row],[Adj Close]])=5, 0, $F48-$F47)</f>
        <v>-1.2200009999999963</v>
      </c>
      <c r="N48" s="46">
        <f>MAX(tbl_CVX[[#This Row],[Move]],0)</f>
        <v>0</v>
      </c>
      <c r="O48" s="46">
        <f>MAX(-tbl_CVX[[#This Row],[Move]],0)</f>
        <v>1.2200009999999963</v>
      </c>
      <c r="P48" s="46">
        <f ca="1">IF(ROW($N48)-5&lt;RSI_Periods, "", AVERAGE(INDIRECT(ADDRESS(ROW($N48)-RSI_Periods +1, MATCH("Upmove", Price_Header,0))): INDIRECT(ADDRESS(ROW($N48),MATCH("Upmove", Price_Header,0)))))</f>
        <v>0.53071371428571312</v>
      </c>
      <c r="Q48" s="46">
        <f ca="1">IF(ROW($O48)-5&lt;RSI_Periods, "", AVERAGE(INDIRECT(ADDRESS(ROW($O48)-RSI_Periods +1, MATCH("Downmove", Price_Header,0))): INDIRECT(ADDRESS(ROW($O48),MATCH("Downmove", Price_Header,0)))))</f>
        <v>0.694999642857142</v>
      </c>
      <c r="R48" s="46">
        <f ca="1">IF(tbl_CVX[[#This Row],[Avg_Upmove]]="", "", tbl_CVX[[#This Row],[Avg_Upmove]]/tbl_CVX[[#This Row],[Avg_Downmove]])</f>
        <v>0.76361724749087667</v>
      </c>
      <c r="S48" s="10">
        <f ca="1">IF(ROW($N48)-4&lt;BB_Periods, "", _xlfn.STDEV.S(INDIRECT(ADDRESS(ROW($F48)-RSI_Periods +1, MATCH("Adj Close", Price_Header,0))): INDIRECT(ADDRESS(ROW($F48),MATCH("Adj Close", Price_Header,0)))))</f>
        <v>1.5085987239105034</v>
      </c>
    </row>
    <row r="49" spans="1:19" x14ac:dyDescent="0.25">
      <c r="A49" s="8">
        <v>44116</v>
      </c>
      <c r="B49" s="10">
        <v>73.629997000000003</v>
      </c>
      <c r="C49" s="10">
        <v>74.949996999999996</v>
      </c>
      <c r="D49" s="10">
        <v>73.199996999999996</v>
      </c>
      <c r="E49" s="10">
        <v>74.510002</v>
      </c>
      <c r="F49" s="10">
        <v>74.510002</v>
      </c>
      <c r="G49">
        <v>9056900</v>
      </c>
      <c r="H49" s="10">
        <f>IF(tbl_CVX[[#This Row],[Date]]=$A$5, $F49, EMA_Beta*$H48 + (1-EMA_Beta)*$F49)</f>
        <v>74.630983322571979</v>
      </c>
      <c r="I49" s="46">
        <f ca="1">IF(tbl_CVX[[#This Row],[RS]]= "", "", 100-(100/(1+tbl_CVX[[#This Row],[RS]])))</f>
        <v>46.982254717977547</v>
      </c>
      <c r="J49" s="10">
        <f ca="1">IF(ROW($N49)-4&lt;BB_Periods, "", AVERAGE(INDIRECT(ADDRESS(ROW($F49)-RSI_Periods +1, MATCH("Adj Close", Price_Header,0))): INDIRECT(ADDRESS(ROW($F49),MATCH("Adj Close", Price_Header,0)))))</f>
        <v>72.680714714285713</v>
      </c>
      <c r="K49" s="10">
        <f ca="1">IF(tbl_CVX[[#This Row],[BB_Mean]]="", "", tbl_CVX[[#This Row],[BB_Mean]]+(BB_Width*tbl_CVX[[#This Row],[BB_Stdev]]))</f>
        <v>75.448023671412273</v>
      </c>
      <c r="L49" s="10">
        <f ca="1">IF(tbl_CVX[[#This Row],[BB_Mean]]="", "", tbl_CVX[[#This Row],[BB_Mean]]-(BB_Width*tbl_CVX[[#This Row],[BB_Stdev]]))</f>
        <v>69.913405757159154</v>
      </c>
      <c r="M49" s="46">
        <f>IF(ROW(tbl_CVX[[#This Row],[Adj Close]])=5, 0, $F49-$F48)</f>
        <v>0.51000200000000007</v>
      </c>
      <c r="N49" s="46">
        <f>MAX(tbl_CVX[[#This Row],[Move]],0)</f>
        <v>0.51000200000000007</v>
      </c>
      <c r="O49" s="46">
        <f>MAX(-tbl_CVX[[#This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0.56714242857142749</v>
      </c>
      <c r="Q49" s="46">
        <f ca="1">IF(ROW($O49)-5&lt;RSI_Periods, "", AVERAGE(INDIRECT(ADDRESS(ROW($O49)-RSI_Periods +1, MATCH("Downmove", Price_Header,0))): INDIRECT(ADDRESS(ROW($O49),MATCH("Downmove", Price_Header,0)))))</f>
        <v>0.63999935714285627</v>
      </c>
      <c r="R49" s="46">
        <f ca="1">IF(tbl_CVX[[#This Row],[Avg_Upmove]]="", "", tbl_CVX[[#This Row],[Avg_Upmove]]/tbl_CVX[[#This Row],[Avg_Downmove]])</f>
        <v>0.88616093475986701</v>
      </c>
      <c r="S49" s="10">
        <f ca="1">IF(ROW($N49)-4&lt;BB_Periods, "", _xlfn.STDEV.S(INDIRECT(ADDRESS(ROW($F49)-RSI_Periods +1, MATCH("Adj Close", Price_Header,0))): INDIRECT(ADDRESS(ROW($F49),MATCH("Adj Close", Price_Header,0)))))</f>
        <v>1.3836544785632781</v>
      </c>
    </row>
    <row r="50" spans="1:19" x14ac:dyDescent="0.25">
      <c r="A50" s="8">
        <v>44117</v>
      </c>
      <c r="B50" s="10">
        <v>74.739998</v>
      </c>
      <c r="C50" s="10">
        <v>74.739998</v>
      </c>
      <c r="D50" s="10">
        <v>72.779999000000004</v>
      </c>
      <c r="E50" s="10">
        <v>73.400002000000001</v>
      </c>
      <c r="F50" s="10">
        <v>73.400002000000001</v>
      </c>
      <c r="G50">
        <v>10440300</v>
      </c>
      <c r="H50" s="10">
        <f>IF(tbl_CVX[[#This Row],[Date]]=$A$5, $F50, EMA_Beta*$H49 + (1-EMA_Beta)*$F50)</f>
        <v>74.507885190314795</v>
      </c>
      <c r="I50" s="46">
        <f ca="1">IF(tbl_CVX[[#This Row],[RS]]= "", "", 100-(100/(1+tbl_CVX[[#This Row],[RS]])))</f>
        <v>55.02427826838052</v>
      </c>
      <c r="J50" s="10">
        <f ca="1">IF(ROW($N50)-4&lt;BB_Periods, "", AVERAGE(INDIRECT(ADDRESS(ROW($F50)-RSI_Periods +1, MATCH("Adj Close", Price_Header,0))): INDIRECT(ADDRESS(ROW($F50),MATCH("Adj Close", Price_Header,0)))))</f>
        <v>72.784286499999993</v>
      </c>
      <c r="K50" s="10">
        <f ca="1">IF(tbl_CVX[[#This Row],[BB_Mean]]="", "", tbl_CVX[[#This Row],[BB_Mean]]+(BB_Width*tbl_CVX[[#This Row],[BB_Stdev]]))</f>
        <v>75.542309343822467</v>
      </c>
      <c r="L50" s="10">
        <f ca="1">IF(tbl_CVX[[#This Row],[BB_Mean]]="", "", tbl_CVX[[#This Row],[BB_Mean]]-(BB_Width*tbl_CVX[[#This Row],[BB_Stdev]]))</f>
        <v>70.02626365617752</v>
      </c>
      <c r="M50" s="46">
        <f>IF(ROW(tbl_CVX[[#This Row],[Adj Close]])=5, 0, $F50-$F49)</f>
        <v>-1.1099999999999994</v>
      </c>
      <c r="N50" s="46">
        <f>MAX(tbl_CVX[[#This Row],[Move]],0)</f>
        <v>0</v>
      </c>
      <c r="O50" s="46">
        <f>MAX(-tbl_CVX[[#This Row],[Move]],0)</f>
        <v>1.1099999999999994</v>
      </c>
      <c r="P50" s="46">
        <f ca="1">IF(ROW($N50)-5&lt;RSI_Periods, "", AVERAGE(INDIRECT(ADDRESS(ROW($N50)-RSI_Periods +1, MATCH("Upmove", Price_Header,0))): INDIRECT(ADDRESS(ROW($N50),MATCH("Upmove", Price_Header,0)))))</f>
        <v>0.56714242857142749</v>
      </c>
      <c r="Q50" s="46">
        <f ca="1">IF(ROW($O50)-5&lt;RSI_Periods, "", AVERAGE(INDIRECT(ADDRESS(ROW($O50)-RSI_Periods +1, MATCH("Downmove", Price_Header,0))): INDIRECT(ADDRESS(ROW($O50),MATCH("Downmove", Price_Header,0)))))</f>
        <v>0.46357064285714145</v>
      </c>
      <c r="R50" s="46">
        <f ca="1">IF(tbl_CVX[[#This Row],[Avg_Upmove]]="", "", tbl_CVX[[#This Row],[Avg_Upmove]]/tbl_CVX[[#This Row],[Avg_Downmove]])</f>
        <v>1.2234217962464973</v>
      </c>
      <c r="S50" s="10">
        <f ca="1">IF(ROW($N50)-4&lt;BB_Periods, "", _xlfn.STDEV.S(INDIRECT(ADDRESS(ROW($F50)-RSI_Periods +1, MATCH("Adj Close", Price_Header,0))): INDIRECT(ADDRESS(ROW($F50),MATCH("Adj Close", Price_Header,0)))))</f>
        <v>1.3790114219112364</v>
      </c>
    </row>
    <row r="51" spans="1:19" x14ac:dyDescent="0.25">
      <c r="A51" s="8">
        <v>44118</v>
      </c>
      <c r="B51" s="10">
        <v>73.279999000000004</v>
      </c>
      <c r="C51" s="10">
        <v>74.430000000000007</v>
      </c>
      <c r="D51" s="10">
        <v>72.910004000000001</v>
      </c>
      <c r="E51" s="10">
        <v>72.949996999999996</v>
      </c>
      <c r="F51" s="10">
        <v>72.949996999999996</v>
      </c>
      <c r="G51">
        <v>7058100</v>
      </c>
      <c r="H51" s="10">
        <f>IF(tbl_CVX[[#This Row],[Date]]=$A$5, $F51, EMA_Beta*$H50 + (1-EMA_Beta)*$F51)</f>
        <v>74.352096371283324</v>
      </c>
      <c r="I51" s="46">
        <f ca="1">IF(tbl_CVX[[#This Row],[RS]]= "", "", 100-(100/(1+tbl_CVX[[#This Row],[RS]])))</f>
        <v>53.903579322571325</v>
      </c>
      <c r="J51" s="10">
        <f ca="1">IF(ROW($N51)-4&lt;BB_Periods, "", AVERAGE(INDIRECT(ADDRESS(ROW($F51)-RSI_Periods +1, MATCH("Adj Close", Price_Header,0))): INDIRECT(ADDRESS(ROW($F51),MATCH("Adj Close", Price_Header,0)))))</f>
        <v>72.866428928571423</v>
      </c>
      <c r="K51" s="10">
        <f ca="1">IF(tbl_CVX[[#This Row],[BB_Mean]]="", "", tbl_CVX[[#This Row],[BB_Mean]]+(BB_Width*tbl_CVX[[#This Row],[BB_Stdev]]))</f>
        <v>75.566054269205921</v>
      </c>
      <c r="L51" s="10">
        <f ca="1">IF(tbl_CVX[[#This Row],[BB_Mean]]="", "", tbl_CVX[[#This Row],[BB_Mean]]-(BB_Width*tbl_CVX[[#This Row],[BB_Stdev]]))</f>
        <v>70.166803587936926</v>
      </c>
      <c r="M51" s="46">
        <f>IF(ROW(tbl_CVX[[#This Row],[Adj Close]])=5, 0, $F51-$F50)</f>
        <v>-0.45000500000000443</v>
      </c>
      <c r="N51" s="46">
        <f>MAX(tbl_CVX[[#This Row],[Move]],0)</f>
        <v>0</v>
      </c>
      <c r="O51" s="46">
        <f>MAX(-tbl_CVX[[#This Row],[Move]],0)</f>
        <v>0.45000500000000443</v>
      </c>
      <c r="P51" s="46">
        <f ca="1">IF(ROW($N51)-5&lt;RSI_Periods, "", AVERAGE(INDIRECT(ADDRESS(ROW($N51)-RSI_Periods +1, MATCH("Upmove", Price_Header,0))): INDIRECT(ADDRESS(ROW($N51),MATCH("Upmove", Price_Header,0)))))</f>
        <v>0.56714242857142749</v>
      </c>
      <c r="Q51" s="46">
        <f ca="1">IF(ROW($O51)-5&lt;RSI_Periods, "", AVERAGE(INDIRECT(ADDRESS(ROW($O51)-RSI_Periods +1, MATCH("Downmove", Price_Header,0))): INDIRECT(ADDRESS(ROW($O51),MATCH("Downmove", Price_Header,0)))))</f>
        <v>0.48499999999999943</v>
      </c>
      <c r="R51" s="46">
        <f ca="1">IF(tbl_CVX[[#This Row],[Avg_Upmove]]="", "", tbl_CVX[[#This Row],[Avg_Upmove]]/tbl_CVX[[#This Row],[Avg_Downmove]])</f>
        <v>1.1693658321060374</v>
      </c>
      <c r="S51" s="10">
        <f ca="1">IF(ROW($N51)-4&lt;BB_Periods, "", _xlfn.STDEV.S(INDIRECT(ADDRESS(ROW($F51)-RSI_Periods +1, MATCH("Adj Close", Price_Header,0))): INDIRECT(ADDRESS(ROW($F51),MATCH("Adj Close", Price_Header,0)))))</f>
        <v>1.3498126703172524</v>
      </c>
    </row>
    <row r="52" spans="1:19" x14ac:dyDescent="0.25">
      <c r="A52" s="8">
        <v>44119</v>
      </c>
      <c r="B52" s="10">
        <v>71.819999999999993</v>
      </c>
      <c r="C52" s="10">
        <v>73.720000999999996</v>
      </c>
      <c r="D52" s="10">
        <v>71.389999000000003</v>
      </c>
      <c r="E52" s="10">
        <v>73.510002</v>
      </c>
      <c r="F52" s="10">
        <v>73.510002</v>
      </c>
      <c r="G52">
        <v>10052100</v>
      </c>
      <c r="H52" s="10">
        <f>IF(tbl_CVX[[#This Row],[Date]]=$A$5, $F52, EMA_Beta*$H51 + (1-EMA_Beta)*$F52)</f>
        <v>74.267886934155001</v>
      </c>
      <c r="I52" s="46">
        <f ca="1">IF(tbl_CVX[[#This Row],[RS]]= "", "", 100-(100/(1+tbl_CVX[[#This Row],[RS]])))</f>
        <v>55.504587155963321</v>
      </c>
      <c r="J52" s="10">
        <f ca="1">IF(ROW($N52)-4&lt;BB_Periods, "", AVERAGE(INDIRECT(ADDRESS(ROW($F52)-RSI_Periods +1, MATCH("Adj Close", Price_Header,0))): INDIRECT(ADDRESS(ROW($F52),MATCH("Adj Close", Price_Header,0)))))</f>
        <v>72.986428928571428</v>
      </c>
      <c r="K52" s="10">
        <f ca="1">IF(tbl_CVX[[#This Row],[BB_Mean]]="", "", tbl_CVX[[#This Row],[BB_Mean]]+(BB_Width*tbl_CVX[[#This Row],[BB_Stdev]]))</f>
        <v>75.636498924996019</v>
      </c>
      <c r="L52" s="10">
        <f ca="1">IF(tbl_CVX[[#This Row],[BB_Mean]]="", "", tbl_CVX[[#This Row],[BB_Mean]]-(BB_Width*tbl_CVX[[#This Row],[BB_Stdev]]))</f>
        <v>70.336358932146837</v>
      </c>
      <c r="M52" s="46">
        <f>IF(ROW(tbl_CVX[[#This Row],[Adj Close]])=5, 0, $F52-$F51)</f>
        <v>0.56000500000000386</v>
      </c>
      <c r="N52" s="46">
        <f>MAX(tbl_CVX[[#This Row],[Move]],0)</f>
        <v>0.56000500000000386</v>
      </c>
      <c r="O52" s="46">
        <f>MAX(-tbl_CVX[[#This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0.60499999999999987</v>
      </c>
      <c r="Q52" s="46">
        <f ca="1">IF(ROW($O52)-5&lt;RSI_Periods, "", AVERAGE(INDIRECT(ADDRESS(ROW($O52)-RSI_Periods +1, MATCH("Downmove", Price_Header,0))): INDIRECT(ADDRESS(ROW($O52),MATCH("Downmove", Price_Header,0)))))</f>
        <v>0.48499999999999943</v>
      </c>
      <c r="R52" s="46">
        <f ca="1">IF(tbl_CVX[[#This Row],[Avg_Upmove]]="", "", tbl_CVX[[#This Row],[Avg_Upmove]]/tbl_CVX[[#This Row],[Avg_Downmove]])</f>
        <v>1.2474226804123723</v>
      </c>
      <c r="S52" s="10">
        <f ca="1">IF(ROW($N52)-4&lt;BB_Periods, "", _xlfn.STDEV.S(INDIRECT(ADDRESS(ROW($F52)-RSI_Periods +1, MATCH("Adj Close", Price_Header,0))): INDIRECT(ADDRESS(ROW($F52),MATCH("Adj Close", Price_Header,0)))))</f>
        <v>1.3250349982122931</v>
      </c>
    </row>
    <row r="53" spans="1:19" x14ac:dyDescent="0.25">
      <c r="A53" s="8">
        <v>44120</v>
      </c>
      <c r="B53" s="10">
        <v>73.519997000000004</v>
      </c>
      <c r="C53" s="10">
        <v>74.029999000000004</v>
      </c>
      <c r="D53" s="10">
        <v>72.269997000000004</v>
      </c>
      <c r="E53" s="10">
        <v>72.889999000000003</v>
      </c>
      <c r="F53" s="10">
        <v>72.889999000000003</v>
      </c>
      <c r="G53">
        <v>9305600</v>
      </c>
      <c r="H53" s="10">
        <f>IF(tbl_CVX[[#This Row],[Date]]=$A$5, $F53, EMA_Beta*$H52 + (1-EMA_Beta)*$F53)</f>
        <v>74.130098140739491</v>
      </c>
      <c r="I53" s="46">
        <f ca="1">IF(tbl_CVX[[#This Row],[RS]]= "", "", 100-(100/(1+tbl_CVX[[#This Row],[RS]])))</f>
        <v>46.226412835118694</v>
      </c>
      <c r="J53" s="10">
        <f ca="1">IF(ROW($N53)-4&lt;BB_Periods, "", AVERAGE(INDIRECT(ADDRESS(ROW($F53)-RSI_Periods +1, MATCH("Adj Close", Price_Header,0))): INDIRECT(ADDRESS(ROW($F53),MATCH("Adj Close", Price_Header,0)))))</f>
        <v>72.912143142857147</v>
      </c>
      <c r="K53" s="10">
        <f ca="1">IF(tbl_CVX[[#This Row],[BB_Mean]]="", "", tbl_CVX[[#This Row],[BB_Mean]]+(BB_Width*tbl_CVX[[#This Row],[BB_Stdev]]))</f>
        <v>75.505984711899288</v>
      </c>
      <c r="L53" s="10">
        <f ca="1">IF(tbl_CVX[[#This Row],[BB_Mean]]="", "", tbl_CVX[[#This Row],[BB_Mean]]-(BB_Width*tbl_CVX[[#This Row],[BB_Stdev]]))</f>
        <v>70.318301573815006</v>
      </c>
      <c r="M53" s="46">
        <f>IF(ROW(tbl_CVX[[#This Row],[Adj Close]])=5, 0, $F53-$F52)</f>
        <v>-0.62000299999999697</v>
      </c>
      <c r="N53" s="46">
        <f>MAX(tbl_CVX[[#This Row],[Move]],0)</f>
        <v>0</v>
      </c>
      <c r="O53" s="46">
        <f>MAX(-tbl_CVX[[#This Row],[Move]],0)</f>
        <v>0.62000299999999697</v>
      </c>
      <c r="P53" s="46">
        <f ca="1">IF(ROW($N53)-5&lt;RSI_Periods, "", AVERAGE(INDIRECT(ADDRESS(ROW($N53)-RSI_Periods +1, MATCH("Upmove", Price_Header,0))): INDIRECT(ADDRESS(ROW($N53),MATCH("Upmove", Price_Header,0)))))</f>
        <v>0.4550001428571418</v>
      </c>
      <c r="Q53" s="46">
        <f ca="1">IF(ROW($O53)-5&lt;RSI_Periods, "", AVERAGE(INDIRECT(ADDRESS(ROW($O53)-RSI_Periods +1, MATCH("Downmove", Price_Header,0))): INDIRECT(ADDRESS(ROW($O53),MATCH("Downmove", Price_Header,0)))))</f>
        <v>0.52928592857142776</v>
      </c>
      <c r="R53" s="46">
        <f ca="1">IF(tbl_CVX[[#This Row],[Avg_Upmove]]="", "", tbl_CVX[[#This Row],[Avg_Upmove]]/tbl_CVX[[#This Row],[Avg_Downmove]])</f>
        <v>0.8596490446764995</v>
      </c>
      <c r="S53" s="10">
        <f ca="1">IF(ROW($N53)-4&lt;BB_Periods, "", _xlfn.STDEV.S(INDIRECT(ADDRESS(ROW($F53)-RSI_Periods +1, MATCH("Adj Close", Price_Header,0))): INDIRECT(ADDRESS(ROW($F53),MATCH("Adj Close", Price_Header,0)))))</f>
        <v>1.2969207845210677</v>
      </c>
    </row>
    <row r="54" spans="1:19" x14ac:dyDescent="0.25">
      <c r="A54" s="8">
        <v>44123</v>
      </c>
      <c r="B54" s="10">
        <v>73.110000999999997</v>
      </c>
      <c r="C54" s="10">
        <v>73.339995999999999</v>
      </c>
      <c r="D54" s="10">
        <v>71.190002000000007</v>
      </c>
      <c r="E54" s="10">
        <v>71.279999000000004</v>
      </c>
      <c r="F54" s="10">
        <v>71.279999000000004</v>
      </c>
      <c r="G54">
        <v>8357100</v>
      </c>
      <c r="H54" s="10">
        <f>IF(tbl_CVX[[#This Row],[Date]]=$A$5, $F54, EMA_Beta*$H53 + (1-EMA_Beta)*$F54)</f>
        <v>73.845088226665553</v>
      </c>
      <c r="I54" s="46">
        <f ca="1">IF(tbl_CVX[[#This Row],[RS]]= "", "", 100-(100/(1+tbl_CVX[[#This Row],[RS]])))</f>
        <v>47.679630706780323</v>
      </c>
      <c r="J54" s="10">
        <f ca="1">IF(ROW($N54)-4&lt;BB_Periods, "", AVERAGE(INDIRECT(ADDRESS(ROW($F54)-RSI_Periods +1, MATCH("Adj Close", Price_Header,0))): INDIRECT(ADDRESS(ROW($F54),MATCH("Adj Close", Price_Header,0)))))</f>
        <v>72.867857214285706</v>
      </c>
      <c r="K54" s="10">
        <f ca="1">IF(tbl_CVX[[#This Row],[BB_Mean]]="", "", tbl_CVX[[#This Row],[BB_Mean]]+(BB_Width*tbl_CVX[[#This Row],[BB_Stdev]]))</f>
        <v>75.555610246588529</v>
      </c>
      <c r="L54" s="10">
        <f ca="1">IF(tbl_CVX[[#This Row],[BB_Mean]]="", "", tbl_CVX[[#This Row],[BB_Mean]]-(BB_Width*tbl_CVX[[#This Row],[BB_Stdev]]))</f>
        <v>70.180104181982884</v>
      </c>
      <c r="M54" s="46">
        <f>IF(ROW(tbl_CVX[[#This Row],[Adj Close]])=5, 0, $F54-$F53)</f>
        <v>-1.6099999999999994</v>
      </c>
      <c r="N54" s="46">
        <f>MAX(tbl_CVX[[#This Row],[Move]],0)</f>
        <v>0</v>
      </c>
      <c r="O54" s="46">
        <f>MAX(-tbl_CVX[[#This Row],[Move]],0)</f>
        <v>1.6099999999999994</v>
      </c>
      <c r="P54" s="46">
        <f ca="1">IF(ROW($N54)-5&lt;RSI_Periods, "", AVERAGE(INDIRECT(ADDRESS(ROW($N54)-RSI_Periods +1, MATCH("Upmove", Price_Header,0))): INDIRECT(ADDRESS(ROW($N54),MATCH("Upmove", Price_Header,0)))))</f>
        <v>0.4550001428571418</v>
      </c>
      <c r="Q54" s="46">
        <f ca="1">IF(ROW($O54)-5&lt;RSI_Periods, "", AVERAGE(INDIRECT(ADDRESS(ROW($O54)-RSI_Periods +1, MATCH("Downmove", Price_Header,0))): INDIRECT(ADDRESS(ROW($O54),MATCH("Downmove", Price_Header,0)))))</f>
        <v>0.49928607142857018</v>
      </c>
      <c r="R54" s="46">
        <f ca="1">IF(tbl_CVX[[#This Row],[Avg_Upmove]]="", "", tbl_CVX[[#This Row],[Avg_Upmove]]/tbl_CVX[[#This Row],[Avg_Downmove]])</f>
        <v>0.91130149406187855</v>
      </c>
      <c r="S54" s="10">
        <f ca="1">IF(ROW($N54)-4&lt;BB_Periods, "", _xlfn.STDEV.S(INDIRECT(ADDRESS(ROW($F54)-RSI_Periods +1, MATCH("Adj Close", Price_Header,0))): INDIRECT(ADDRESS(ROW($F54),MATCH("Adj Close", Price_Header,0)))))</f>
        <v>1.3438765161514103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SUBTOTAL(103,tbl_CVX[BB_Stdev])</f>
        <v>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topLeftCell="A31" workbookViewId="0">
      <selection activeCell="H50" sqref="H50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329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108.599998</v>
      </c>
      <c r="C5" s="10">
        <v>108.989998</v>
      </c>
      <c r="D5" s="10">
        <v>105.720001</v>
      </c>
      <c r="E5" s="10">
        <v>106.360001</v>
      </c>
      <c r="F5" s="10">
        <v>105.793381</v>
      </c>
      <c r="G5">
        <v>10087100</v>
      </c>
      <c r="H5" s="10">
        <f>IF(tbl_QCOM[[#This Row],[Date]]=$A$5, $F5, EMA_Beta*$H4 + (1-EMA_Beta)*$F5)</f>
        <v>105.793381</v>
      </c>
      <c r="I5" s="46" t="str">
        <f ca="1">IF(tbl_QCOM[[#This Row],[RS]]= "", "", 100-(100/(1+tbl_QCOM[[#This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IF(tbl_QCOM[[#This Row],[BB_Mean]]="", "", tbl_QCOM[[#This Row],[BB_Mean]]+(BB_Width*tbl_QCOM[[#This Row],[BB_Stdev]]))</f>
        <v/>
      </c>
      <c r="L5" s="10" t="str">
        <f ca="1">IF(tbl_QCOM[[#This Row],[BB_Mean]]="", "", tbl_QCOM[[#This Row],[BB_Mean]]-(BB_Width*tbl_QCOM[[#This Row],[BB_Stdev]]))</f>
        <v/>
      </c>
      <c r="M5" s="46">
        <f>IF(ROW(tbl_QCOM[[#This Row],[Adj Close]])=5, 0, $F5-$F4)</f>
        <v>0</v>
      </c>
      <c r="N5" s="46">
        <f>MAX(tbl_QCOM[[#This Row],[Move]],0)</f>
        <v>0</v>
      </c>
      <c r="O5" s="46">
        <f>MAX(-tbl_QCOM[[#This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IF(tbl_QCOM[[#This Row],[Avg_Upmove]]="", "", tbl_QCOM[[#This Row],[Avg_Upmove]]/tbl_QCOM[[#This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106.199997</v>
      </c>
      <c r="C6" s="10">
        <v>112.010002</v>
      </c>
      <c r="D6" s="10">
        <v>104.739998</v>
      </c>
      <c r="E6" s="10">
        <v>108.83000199999999</v>
      </c>
      <c r="F6" s="10">
        <v>108.250221</v>
      </c>
      <c r="G6">
        <v>17803000</v>
      </c>
      <c r="H6" s="10">
        <f>IF(tbl_QCOM[[#This Row],[Date]]=$A$5, $F6, EMA_Beta*$H5 + (1-EMA_Beta)*$F6)</f>
        <v>106.03906499999999</v>
      </c>
      <c r="I6" s="46" t="str">
        <f ca="1">IF(tbl_QCOM[[#This Row],[RS]]= "", "", 100-(100/(1+tbl_QCOM[[#This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IF(tbl_QCOM[[#This Row],[BB_Mean]]="", "", tbl_QCOM[[#This Row],[BB_Mean]]+(BB_Width*tbl_QCOM[[#This Row],[BB_Stdev]]))</f>
        <v/>
      </c>
      <c r="L6" s="10" t="str">
        <f ca="1">IF(tbl_QCOM[[#This Row],[BB_Mean]]="", "", tbl_QCOM[[#This Row],[BB_Mean]]-(BB_Width*tbl_QCOM[[#This Row],[BB_Stdev]]))</f>
        <v/>
      </c>
      <c r="M6" s="46">
        <f>IF(ROW(tbl_QCOM[[#This Row],[Adj Close]])=5, 0, $F6-$F5)</f>
        <v>2.4568399999999997</v>
      </c>
      <c r="N6" s="46">
        <f>MAX(tbl_QCOM[[#This Row],[Move]],0)</f>
        <v>2.4568399999999997</v>
      </c>
      <c r="O6" s="46">
        <f>MAX(-tbl_QCOM[[#This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IF(tbl_QCOM[[#This Row],[Avg_Upmove]]="", "", tbl_QCOM[[#This Row],[Avg_Upmove]]/tbl_QCOM[[#This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110.389999</v>
      </c>
      <c r="C7" s="10">
        <v>116.25</v>
      </c>
      <c r="D7" s="10">
        <v>109.650002</v>
      </c>
      <c r="E7" s="10">
        <v>115.790001</v>
      </c>
      <c r="F7" s="10">
        <v>115.173141</v>
      </c>
      <c r="G7">
        <v>18672300</v>
      </c>
      <c r="H7" s="10">
        <f>IF(tbl_QCOM[[#This Row],[Date]]=$A$5, $F7, EMA_Beta*$H6 + (1-EMA_Beta)*$F7)</f>
        <v>106.95247259999999</v>
      </c>
      <c r="I7" s="46" t="str">
        <f ca="1">IF(tbl_QCOM[[#This Row],[RS]]= "", "", 100-(100/(1+tbl_QCOM[[#This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IF(tbl_QCOM[[#This Row],[BB_Mean]]="", "", tbl_QCOM[[#This Row],[BB_Mean]]+(BB_Width*tbl_QCOM[[#This Row],[BB_Stdev]]))</f>
        <v/>
      </c>
      <c r="L7" s="10" t="str">
        <f ca="1">IF(tbl_QCOM[[#This Row],[BB_Mean]]="", "", tbl_QCOM[[#This Row],[BB_Mean]]-(BB_Width*tbl_QCOM[[#This Row],[BB_Stdev]]))</f>
        <v/>
      </c>
      <c r="M7" s="46">
        <f>IF(ROW(tbl_QCOM[[#This Row],[Adj Close]])=5, 0, $F7-$F6)</f>
        <v>6.9229200000000048</v>
      </c>
      <c r="N7" s="46">
        <f>MAX(tbl_QCOM[[#This Row],[Move]],0)</f>
        <v>6.9229200000000048</v>
      </c>
      <c r="O7" s="46">
        <f>MAX(-tbl_QCOM[[#This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IF(tbl_QCOM[[#This Row],[Avg_Upmove]]="", "", tbl_QCOM[[#This Row],[Avg_Upmove]]/tbl_QCOM[[#This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116.199997</v>
      </c>
      <c r="C8" s="10">
        <v>116.199997</v>
      </c>
      <c r="D8" s="10">
        <v>112.769997</v>
      </c>
      <c r="E8" s="10">
        <v>113.410004</v>
      </c>
      <c r="F8" s="10">
        <v>112.805824</v>
      </c>
      <c r="G8">
        <v>9958400</v>
      </c>
      <c r="H8" s="10">
        <f>IF(tbl_QCOM[[#This Row],[Date]]=$A$5, $F8, EMA_Beta*$H7 + (1-EMA_Beta)*$F8)</f>
        <v>107.53780773999999</v>
      </c>
      <c r="I8" s="46" t="str">
        <f ca="1">IF(tbl_QCOM[[#This Row],[RS]]= "", "", 100-(100/(1+tbl_QCOM[[#This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IF(tbl_QCOM[[#This Row],[BB_Mean]]="", "", tbl_QCOM[[#This Row],[BB_Mean]]+(BB_Width*tbl_QCOM[[#This Row],[BB_Stdev]]))</f>
        <v/>
      </c>
      <c r="L8" s="10" t="str">
        <f ca="1">IF(tbl_QCOM[[#This Row],[BB_Mean]]="", "", tbl_QCOM[[#This Row],[BB_Mean]]-(BB_Width*tbl_QCOM[[#This Row],[BB_Stdev]]))</f>
        <v/>
      </c>
      <c r="M8" s="46">
        <f>IF(ROW(tbl_QCOM[[#This Row],[Adj Close]])=5, 0, $F8-$F7)</f>
        <v>-2.3673169999999999</v>
      </c>
      <c r="N8" s="46">
        <f>MAX(tbl_QCOM[[#This Row],[Move]],0)</f>
        <v>0</v>
      </c>
      <c r="O8" s="46">
        <f>MAX(-tbl_QCOM[[#This Row],[Move]],0)</f>
        <v>2.3673169999999999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IF(tbl_QCOM[[#This Row],[Avg_Upmove]]="", "", tbl_QCOM[[#This Row],[Avg_Upmove]]/tbl_QCOM[[#This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113.300003</v>
      </c>
      <c r="C9" s="10">
        <v>114.519997</v>
      </c>
      <c r="D9" s="10">
        <v>112.57</v>
      </c>
      <c r="E9" s="10">
        <v>113.739998</v>
      </c>
      <c r="F9" s="10">
        <v>113.134056</v>
      </c>
      <c r="G9">
        <v>6641000</v>
      </c>
      <c r="H9" s="10">
        <f>IF(tbl_QCOM[[#This Row],[Date]]=$A$5, $F9, EMA_Beta*$H8 + (1-EMA_Beta)*$F9)</f>
        <v>108.09743256599999</v>
      </c>
      <c r="I9" s="46" t="str">
        <f ca="1">IF(tbl_QCOM[[#This Row],[RS]]= "", "", 100-(100/(1+tbl_QCOM[[#This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IF(tbl_QCOM[[#This Row],[BB_Mean]]="", "", tbl_QCOM[[#This Row],[BB_Mean]]+(BB_Width*tbl_QCOM[[#This Row],[BB_Stdev]]))</f>
        <v/>
      </c>
      <c r="L9" s="10" t="str">
        <f ca="1">IF(tbl_QCOM[[#This Row],[BB_Mean]]="", "", tbl_QCOM[[#This Row],[BB_Mean]]-(BB_Width*tbl_QCOM[[#This Row],[BB_Stdev]]))</f>
        <v/>
      </c>
      <c r="M9" s="46">
        <f>IF(ROW(tbl_QCOM[[#This Row],[Adj Close]])=5, 0, $F9-$F8)</f>
        <v>0.32823199999999986</v>
      </c>
      <c r="N9" s="46">
        <f>MAX(tbl_QCOM[[#This Row],[Move]],0)</f>
        <v>0.32823199999999986</v>
      </c>
      <c r="O9" s="46">
        <f>MAX(-tbl_QCOM[[#This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IF(tbl_QCOM[[#This Row],[Avg_Upmove]]="", "", tbl_QCOM[[#This Row],[Avg_Upmove]]/tbl_QCOM[[#This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113.290001</v>
      </c>
      <c r="C10" s="10">
        <v>114.489998</v>
      </c>
      <c r="D10" s="10">
        <v>110.629997</v>
      </c>
      <c r="E10" s="10">
        <v>112.18</v>
      </c>
      <c r="F10" s="10">
        <v>111.582375</v>
      </c>
      <c r="G10">
        <v>10283000</v>
      </c>
      <c r="H10" s="10">
        <f>IF(tbl_QCOM[[#This Row],[Date]]=$A$5, $F10, EMA_Beta*$H9 + (1-EMA_Beta)*$F10)</f>
        <v>108.44592680939999</v>
      </c>
      <c r="I10" s="46" t="str">
        <f ca="1">IF(tbl_QCOM[[#This Row],[RS]]= "", "", 100-(100/(1+tbl_QCOM[[#This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IF(tbl_QCOM[[#This Row],[BB_Mean]]="", "", tbl_QCOM[[#This Row],[BB_Mean]]+(BB_Width*tbl_QCOM[[#This Row],[BB_Stdev]]))</f>
        <v/>
      </c>
      <c r="L10" s="10" t="str">
        <f ca="1">IF(tbl_QCOM[[#This Row],[BB_Mean]]="", "", tbl_QCOM[[#This Row],[BB_Mean]]-(BB_Width*tbl_QCOM[[#This Row],[BB_Stdev]]))</f>
        <v/>
      </c>
      <c r="M10" s="46">
        <f>IF(ROW(tbl_QCOM[[#This Row],[Adj Close]])=5, 0, $F10-$F9)</f>
        <v>-1.5516810000000021</v>
      </c>
      <c r="N10" s="46">
        <f>MAX(tbl_QCOM[[#This Row],[Move]],0)</f>
        <v>0</v>
      </c>
      <c r="O10" s="46">
        <f>MAX(-tbl_QCOM[[#This Row],[Move]],0)</f>
        <v>1.5516810000000021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IF(tbl_QCOM[[#This Row],[Avg_Upmove]]="", "", tbl_QCOM[[#This Row],[Avg_Upmove]]/tbl_QCOM[[#This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112.910004</v>
      </c>
      <c r="C11" s="10">
        <v>113.379997</v>
      </c>
      <c r="D11" s="10">
        <v>111.519997</v>
      </c>
      <c r="E11" s="10">
        <v>112.029999</v>
      </c>
      <c r="F11" s="10">
        <v>111.433167</v>
      </c>
      <c r="G11">
        <v>6387000</v>
      </c>
      <c r="H11" s="10">
        <f>IF(tbl_QCOM[[#This Row],[Date]]=$A$5, $F11, EMA_Beta*$H10 + (1-EMA_Beta)*$F11)</f>
        <v>108.74465082846</v>
      </c>
      <c r="I11" s="46" t="str">
        <f ca="1">IF(tbl_QCOM[[#This Row],[RS]]= "", "", 100-(100/(1+tbl_QCOM[[#This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IF(tbl_QCOM[[#This Row],[BB_Mean]]="", "", tbl_QCOM[[#This Row],[BB_Mean]]+(BB_Width*tbl_QCOM[[#This Row],[BB_Stdev]]))</f>
        <v/>
      </c>
      <c r="L11" s="10" t="str">
        <f ca="1">IF(tbl_QCOM[[#This Row],[BB_Mean]]="", "", tbl_QCOM[[#This Row],[BB_Mean]]-(BB_Width*tbl_QCOM[[#This Row],[BB_Stdev]]))</f>
        <v/>
      </c>
      <c r="M11" s="46">
        <f>IF(ROW(tbl_QCOM[[#This Row],[Adj Close]])=5, 0, $F11-$F10)</f>
        <v>-0.14920800000000156</v>
      </c>
      <c r="N11" s="46">
        <f>MAX(tbl_QCOM[[#This Row],[Move]],0)</f>
        <v>0</v>
      </c>
      <c r="O11" s="46">
        <f>MAX(-tbl_QCOM[[#This Row],[Move]],0)</f>
        <v>0.14920800000000156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IF(tbl_QCOM[[#This Row],[Avg_Upmove]]="", "", tbl_QCOM[[#This Row],[Avg_Upmove]]/tbl_QCOM[[#This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112.33000199999999</v>
      </c>
      <c r="C12" s="10">
        <v>113.470001</v>
      </c>
      <c r="D12" s="10">
        <v>110.75</v>
      </c>
      <c r="E12" s="10">
        <v>111.040001</v>
      </c>
      <c r="F12" s="10">
        <v>110.448448</v>
      </c>
      <c r="G12">
        <v>7747600</v>
      </c>
      <c r="H12" s="10">
        <f>IF(tbl_QCOM[[#This Row],[Date]]=$A$5, $F12, EMA_Beta*$H11 + (1-EMA_Beta)*$F12)</f>
        <v>108.91503054561399</v>
      </c>
      <c r="I12" s="46" t="str">
        <f ca="1">IF(tbl_QCOM[[#This Row],[RS]]= "", "", 100-(100/(1+tbl_QCOM[[#This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IF(tbl_QCOM[[#This Row],[BB_Mean]]="", "", tbl_QCOM[[#This Row],[BB_Mean]]+(BB_Width*tbl_QCOM[[#This Row],[BB_Stdev]]))</f>
        <v/>
      </c>
      <c r="L12" s="10" t="str">
        <f ca="1">IF(tbl_QCOM[[#This Row],[BB_Mean]]="", "", tbl_QCOM[[#This Row],[BB_Mean]]-(BB_Width*tbl_QCOM[[#This Row],[BB_Stdev]]))</f>
        <v/>
      </c>
      <c r="M12" s="46">
        <f>IF(ROW(tbl_QCOM[[#This Row],[Adj Close]])=5, 0, $F12-$F11)</f>
        <v>-0.98471899999999835</v>
      </c>
      <c r="N12" s="46">
        <f>MAX(tbl_QCOM[[#This Row],[Move]],0)</f>
        <v>0</v>
      </c>
      <c r="O12" s="46">
        <f>MAX(-tbl_QCOM[[#This Row],[Move]],0)</f>
        <v>0.98471899999999835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IF(tbl_QCOM[[#This Row],[Avg_Upmove]]="", "", tbl_QCOM[[#This Row],[Avg_Upmove]]/tbl_QCOM[[#This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110</v>
      </c>
      <c r="C13" s="10">
        <v>110.980003</v>
      </c>
      <c r="D13" s="10">
        <v>109.66999800000001</v>
      </c>
      <c r="E13" s="10">
        <v>110.660004</v>
      </c>
      <c r="F13" s="10">
        <v>110.07047300000001</v>
      </c>
      <c r="G13">
        <v>7200300</v>
      </c>
      <c r="H13" s="10">
        <f>IF(tbl_QCOM[[#This Row],[Date]]=$A$5, $F13, EMA_Beta*$H12 + (1-EMA_Beta)*$F13)</f>
        <v>109.03057479105259</v>
      </c>
      <c r="I13" s="46" t="str">
        <f ca="1">IF(tbl_QCOM[[#This Row],[RS]]= "", "", 100-(100/(1+tbl_QCOM[[#This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IF(tbl_QCOM[[#This Row],[BB_Mean]]="", "", tbl_QCOM[[#This Row],[BB_Mean]]+(BB_Width*tbl_QCOM[[#This Row],[BB_Stdev]]))</f>
        <v/>
      </c>
      <c r="L13" s="10" t="str">
        <f ca="1">IF(tbl_QCOM[[#This Row],[BB_Mean]]="", "", tbl_QCOM[[#This Row],[BB_Mean]]-(BB_Width*tbl_QCOM[[#This Row],[BB_Stdev]]))</f>
        <v/>
      </c>
      <c r="M13" s="46">
        <f>IF(ROW(tbl_QCOM[[#This Row],[Adj Close]])=5, 0, $F13-$F12)</f>
        <v>-0.37797499999999218</v>
      </c>
      <c r="N13" s="46">
        <f>MAX(tbl_QCOM[[#This Row],[Move]],0)</f>
        <v>0</v>
      </c>
      <c r="O13" s="46">
        <f>MAX(-tbl_QCOM[[#This Row],[Move]],0)</f>
        <v>0.37797499999999218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IF(tbl_QCOM[[#This Row],[Avg_Upmove]]="", "", tbl_QCOM[[#This Row],[Avg_Upmove]]/tbl_QCOM[[#This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110.230003</v>
      </c>
      <c r="C14" s="10">
        <v>113.150002</v>
      </c>
      <c r="D14" s="10">
        <v>109.949997</v>
      </c>
      <c r="E14" s="10">
        <v>113</v>
      </c>
      <c r="F14" s="10">
        <v>112.398003</v>
      </c>
      <c r="G14">
        <v>8546900</v>
      </c>
      <c r="H14" s="10">
        <f>IF(tbl_QCOM[[#This Row],[Date]]=$A$5, $F14, EMA_Beta*$H13 + (1-EMA_Beta)*$F14)</f>
        <v>109.36731761194733</v>
      </c>
      <c r="I14" s="46" t="str">
        <f ca="1">IF(tbl_QCOM[[#This Row],[RS]]= "", "", 100-(100/(1+tbl_QCOM[[#This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IF(tbl_QCOM[[#This Row],[BB_Mean]]="", "", tbl_QCOM[[#This Row],[BB_Mean]]+(BB_Width*tbl_QCOM[[#This Row],[BB_Stdev]]))</f>
        <v/>
      </c>
      <c r="L14" s="10" t="str">
        <f ca="1">IF(tbl_QCOM[[#This Row],[BB_Mean]]="", "", tbl_QCOM[[#This Row],[BB_Mean]]-(BB_Width*tbl_QCOM[[#This Row],[BB_Stdev]]))</f>
        <v/>
      </c>
      <c r="M14" s="46">
        <f>IF(ROW(tbl_QCOM[[#This Row],[Adj Close]])=5, 0, $F14-$F13)</f>
        <v>2.3275299999999959</v>
      </c>
      <c r="N14" s="46">
        <f>MAX(tbl_QCOM[[#This Row],[Move]],0)</f>
        <v>2.3275299999999959</v>
      </c>
      <c r="O14" s="46">
        <f>MAX(-tbl_QCOM[[#This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IF(tbl_QCOM[[#This Row],[Avg_Upmove]]="", "", tbl_QCOM[[#This Row],[Avg_Upmove]]/tbl_QCOM[[#This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114.370003</v>
      </c>
      <c r="C15" s="10">
        <v>116</v>
      </c>
      <c r="D15" s="10">
        <v>113.269997</v>
      </c>
      <c r="E15" s="10">
        <v>115.910004</v>
      </c>
      <c r="F15" s="10">
        <v>115.292503</v>
      </c>
      <c r="G15">
        <v>10235000</v>
      </c>
      <c r="H15" s="10">
        <f>IF(tbl_QCOM[[#This Row],[Date]]=$A$5, $F15, EMA_Beta*$H14 + (1-EMA_Beta)*$F15)</f>
        <v>109.95983615075259</v>
      </c>
      <c r="I15" s="46" t="str">
        <f ca="1">IF(tbl_QCOM[[#This Row],[RS]]= "", "", 100-(100/(1+tbl_QCOM[[#This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IF(tbl_QCOM[[#This Row],[BB_Mean]]="", "", tbl_QCOM[[#This Row],[BB_Mean]]+(BB_Width*tbl_QCOM[[#This Row],[BB_Stdev]]))</f>
        <v/>
      </c>
      <c r="L15" s="10" t="str">
        <f ca="1">IF(tbl_QCOM[[#This Row],[BB_Mean]]="", "", tbl_QCOM[[#This Row],[BB_Mean]]-(BB_Width*tbl_QCOM[[#This Row],[BB_Stdev]]))</f>
        <v/>
      </c>
      <c r="M15" s="46">
        <f>IF(ROW(tbl_QCOM[[#This Row],[Adj Close]])=5, 0, $F15-$F14)</f>
        <v>2.8944999999999936</v>
      </c>
      <c r="N15" s="46">
        <f>MAX(tbl_QCOM[[#This Row],[Move]],0)</f>
        <v>2.8944999999999936</v>
      </c>
      <c r="O15" s="46">
        <f>MAX(-tbl_QCOM[[#This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IF(tbl_QCOM[[#This Row],[Avg_Upmove]]="", "", tbl_QCOM[[#This Row],[Avg_Upmove]]/tbl_QCOM[[#This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116.110001</v>
      </c>
      <c r="C16" s="10">
        <v>117.099998</v>
      </c>
      <c r="D16" s="10">
        <v>114.44000200000001</v>
      </c>
      <c r="E16" s="10">
        <v>115.949997</v>
      </c>
      <c r="F16" s="10">
        <v>115.332283</v>
      </c>
      <c r="G16">
        <v>6208000</v>
      </c>
      <c r="H16" s="10">
        <f>IF(tbl_QCOM[[#This Row],[Date]]=$A$5, $F16, EMA_Beta*$H15 + (1-EMA_Beta)*$F16)</f>
        <v>110.49708083567734</v>
      </c>
      <c r="I16" s="46" t="str">
        <f ca="1">IF(tbl_QCOM[[#This Row],[RS]]= "", "", 100-(100/(1+tbl_QCOM[[#This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IF(tbl_QCOM[[#This Row],[BB_Mean]]="", "", tbl_QCOM[[#This Row],[BB_Mean]]+(BB_Width*tbl_QCOM[[#This Row],[BB_Stdev]]))</f>
        <v/>
      </c>
      <c r="L16" s="10" t="str">
        <f ca="1">IF(tbl_QCOM[[#This Row],[BB_Mean]]="", "", tbl_QCOM[[#This Row],[BB_Mean]]-(BB_Width*tbl_QCOM[[#This Row],[BB_Stdev]]))</f>
        <v/>
      </c>
      <c r="M16" s="46">
        <f>IF(ROW(tbl_QCOM[[#This Row],[Adj Close]])=5, 0, $F16-$F15)</f>
        <v>3.9780000000007476E-2</v>
      </c>
      <c r="N16" s="46">
        <f>MAX(tbl_QCOM[[#This Row],[Move]],0)</f>
        <v>3.9780000000007476E-2</v>
      </c>
      <c r="O16" s="46">
        <f>MAX(-tbl_QCOM[[#This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IF(tbl_QCOM[[#This Row],[Avg_Upmove]]="", "", tbl_QCOM[[#This Row],[Avg_Upmove]]/tbl_QCOM[[#This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116.25</v>
      </c>
      <c r="C17" s="10">
        <v>116.550003</v>
      </c>
      <c r="D17" s="10">
        <v>115.16999800000001</v>
      </c>
      <c r="E17" s="10">
        <v>116.040001</v>
      </c>
      <c r="F17" s="10">
        <v>115.421806</v>
      </c>
      <c r="G17">
        <v>7487400</v>
      </c>
      <c r="H17" s="10">
        <f>IF(tbl_QCOM[[#This Row],[Date]]=$A$5, $F17, EMA_Beta*$H16 + (1-EMA_Beta)*$F17)</f>
        <v>110.9895533521096</v>
      </c>
      <c r="I17" s="46" t="str">
        <f ca="1">IF(tbl_QCOM[[#This Row],[RS]]= "", "", 100-(100/(1+tbl_QCOM[[#This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IF(tbl_QCOM[[#This Row],[BB_Mean]]="", "", tbl_QCOM[[#This Row],[BB_Mean]]+(BB_Width*tbl_QCOM[[#This Row],[BB_Stdev]]))</f>
        <v/>
      </c>
      <c r="L17" s="10" t="str">
        <f ca="1">IF(tbl_QCOM[[#This Row],[BB_Mean]]="", "", tbl_QCOM[[#This Row],[BB_Mean]]-(BB_Width*tbl_QCOM[[#This Row],[BB_Stdev]]))</f>
        <v/>
      </c>
      <c r="M17" s="46">
        <f>IF(ROW(tbl_QCOM[[#This Row],[Adj Close]])=5, 0, $F17-$F16)</f>
        <v>8.9522999999999797E-2</v>
      </c>
      <c r="N17" s="46">
        <f>MAX(tbl_QCOM[[#This Row],[Move]],0)</f>
        <v>8.9522999999999797E-2</v>
      </c>
      <c r="O17" s="46">
        <f>MAX(-tbl_QCOM[[#This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IF(tbl_QCOM[[#This Row],[Avg_Upmove]]="", "", tbl_QCOM[[#This Row],[Avg_Upmove]]/tbl_QCOM[[#This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116.43</v>
      </c>
      <c r="C18" s="10">
        <v>118.18</v>
      </c>
      <c r="D18" s="10">
        <v>115.349998</v>
      </c>
      <c r="E18" s="10">
        <v>116.019997</v>
      </c>
      <c r="F18" s="10">
        <v>115.401909</v>
      </c>
      <c r="G18">
        <v>8206200</v>
      </c>
      <c r="H18" s="10">
        <f>IF(tbl_QCOM[[#This Row],[Date]]=$A$5, $F18, EMA_Beta*$H17 + (1-EMA_Beta)*$F18)</f>
        <v>111.43078891689863</v>
      </c>
      <c r="I18" s="46" t="str">
        <f ca="1">IF(tbl_QCOM[[#This Row],[RS]]= "", "", 100-(100/(1+tbl_QCOM[[#This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112.32411357142855</v>
      </c>
      <c r="K18" s="10">
        <f ca="1">IF(tbl_QCOM[[#This Row],[BB_Mean]]="", "", tbl_QCOM[[#This Row],[BB_Mean]]+(BB_Width*tbl_QCOM[[#This Row],[BB_Stdev]]))</f>
        <v>118.27590602204343</v>
      </c>
      <c r="L18" s="10">
        <f ca="1">IF(tbl_QCOM[[#This Row],[BB_Mean]]="", "", tbl_QCOM[[#This Row],[BB_Mean]]-(BB_Width*tbl_QCOM[[#This Row],[BB_Stdev]]))</f>
        <v>106.37232112081368</v>
      </c>
      <c r="M18" s="46">
        <f>IF(ROW(tbl_QCOM[[#This Row],[Adj Close]])=5, 0, $F18-$F17)</f>
        <v>-1.9897000000000276E-2</v>
      </c>
      <c r="N18" s="46">
        <f>MAX(tbl_QCOM[[#This Row],[Move]],0)</f>
        <v>0</v>
      </c>
      <c r="O18" s="46">
        <f>MAX(-tbl_QCOM[[#This Row],[Move]],0)</f>
        <v>1.9897000000000276E-2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IF(tbl_QCOM[[#This Row],[Avg_Upmove]]="", "", tbl_QCOM[[#This Row],[Avg_Upmove]]/tbl_QCOM[[#This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2.975896225307435</v>
      </c>
    </row>
    <row r="19" spans="1:19" x14ac:dyDescent="0.25">
      <c r="A19" s="8">
        <v>44071</v>
      </c>
      <c r="B19" s="10">
        <v>116.709999</v>
      </c>
      <c r="C19" s="10">
        <v>118.260002</v>
      </c>
      <c r="D19" s="10">
        <v>116.16999800000001</v>
      </c>
      <c r="E19" s="10">
        <v>118.199997</v>
      </c>
      <c r="F19" s="10">
        <v>117.570297</v>
      </c>
      <c r="G19">
        <v>6280300</v>
      </c>
      <c r="H19" s="10">
        <f>IF(tbl_QCOM[[#This Row],[Date]]=$A$5, $F19, EMA_Beta*$H18 + (1-EMA_Beta)*$F19)</f>
        <v>112.04473972520876</v>
      </c>
      <c r="I19" s="46">
        <f ca="1">IF(tbl_QCOM[[#This Row],[RS]]= "", "", 100-(100/(1+tbl_QCOM[[#This Row],[RS]])))</f>
        <v>75.964924503417564</v>
      </c>
      <c r="J19" s="10">
        <f ca="1">IF(ROW($N19)-4&lt;BB_Periods, "", AVERAGE(INDIRECT(ADDRESS(ROW($F19)-RSI_Periods +1, MATCH("Adj Close", Price_Header,0))): INDIRECT(ADDRESS(ROW($F19),MATCH("Adj Close", Price_Header,0)))))</f>
        <v>113.16532185714286</v>
      </c>
      <c r="K19" s="10">
        <f ca="1">IF(tbl_QCOM[[#This Row],[BB_Mean]]="", "", tbl_QCOM[[#This Row],[BB_Mean]]+(BB_Width*tbl_QCOM[[#This Row],[BB_Stdev]]))</f>
        <v>118.43037622304598</v>
      </c>
      <c r="L19" s="10">
        <f ca="1">IF(tbl_QCOM[[#This Row],[BB_Mean]]="", "", tbl_QCOM[[#This Row],[BB_Mean]]-(BB_Width*tbl_QCOM[[#This Row],[BB_Stdev]]))</f>
        <v>107.90026749123973</v>
      </c>
      <c r="M19" s="46">
        <f>IF(ROW(tbl_QCOM[[#This Row],[Adj Close]])=5, 0, $F19-$F18)</f>
        <v>2.1683879999999931</v>
      </c>
      <c r="N19" s="46">
        <f>MAX(tbl_QCOM[[#This Row],[Move]],0)</f>
        <v>2.1683879999999931</v>
      </c>
      <c r="O19" s="46">
        <f>MAX(-tbl_QCOM[[#This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1.2305509285714282</v>
      </c>
      <c r="Q19" s="46">
        <f ca="1">IF(ROW($O19)-5&lt;RSI_Periods, "", AVERAGE(INDIRECT(ADDRESS(ROW($O19)-RSI_Periods +1, MATCH("Downmove", Price_Header,0))): INDIRECT(ADDRESS(ROW($O19),MATCH("Downmove", Price_Header,0)))))</f>
        <v>0.38934264285714243</v>
      </c>
      <c r="R19" s="46">
        <f ca="1">IF(tbl_QCOM[[#This Row],[Avg_Upmove]]="", "", tbl_QCOM[[#This Row],[Avg_Upmove]]/tbl_QCOM[[#This Row],[Avg_Downmove]])</f>
        <v>3.1605860574150926</v>
      </c>
      <c r="S19" s="10">
        <f ca="1">IF(ROW($N19)-4&lt;BB_Periods, "", _xlfn.STDEV.S(INDIRECT(ADDRESS(ROW($F19)-RSI_Periods +1, MATCH("Adj Close", Price_Header,0))): INDIRECT(ADDRESS(ROW($F19),MATCH("Adj Close", Price_Header,0)))))</f>
        <v>2.6325271829515651</v>
      </c>
    </row>
    <row r="20" spans="1:19" x14ac:dyDescent="0.25">
      <c r="A20" s="8">
        <v>44074</v>
      </c>
      <c r="B20" s="10">
        <v>118.33000199999999</v>
      </c>
      <c r="C20" s="10">
        <v>121.05999799999999</v>
      </c>
      <c r="D20" s="10">
        <v>118.120003</v>
      </c>
      <c r="E20" s="10">
        <v>119.099998</v>
      </c>
      <c r="F20" s="10">
        <v>118.465508</v>
      </c>
      <c r="G20">
        <v>9694600</v>
      </c>
      <c r="H20" s="10">
        <f>IF(tbl_QCOM[[#This Row],[Date]]=$A$5, $F20, EMA_Beta*$H19 + (1-EMA_Beta)*$F20)</f>
        <v>112.68681655268789</v>
      </c>
      <c r="I20" s="46">
        <f ca="1">IF(tbl_QCOM[[#This Row],[RS]]= "", "", 100-(100/(1+tbl_QCOM[[#This Row],[RS]])))</f>
        <v>74.1874900938259</v>
      </c>
      <c r="J20" s="10">
        <f ca="1">IF(ROW($N20)-4&lt;BB_Periods, "", AVERAGE(INDIRECT(ADDRESS(ROW($F20)-RSI_Periods +1, MATCH("Adj Close", Price_Header,0))): INDIRECT(ADDRESS(ROW($F20),MATCH("Adj Close", Price_Header,0)))))</f>
        <v>113.89498521428571</v>
      </c>
      <c r="K20" s="10">
        <f ca="1">IF(tbl_QCOM[[#This Row],[BB_Mean]]="", "", tbl_QCOM[[#This Row],[BB_Mean]]+(BB_Width*tbl_QCOM[[#This Row],[BB_Stdev]]))</f>
        <v>119.05616062910313</v>
      </c>
      <c r="L20" s="10">
        <f ca="1">IF(tbl_QCOM[[#This Row],[BB_Mean]]="", "", tbl_QCOM[[#This Row],[BB_Mean]]-(BB_Width*tbl_QCOM[[#This Row],[BB_Stdev]]))</f>
        <v>108.73380979946829</v>
      </c>
      <c r="M20" s="46">
        <f>IF(ROW(tbl_QCOM[[#This Row],[Adj Close]])=5, 0, $F20-$F19)</f>
        <v>0.89521100000000331</v>
      </c>
      <c r="N20" s="46">
        <f>MAX(tbl_QCOM[[#This Row],[Move]],0)</f>
        <v>0.89521100000000331</v>
      </c>
      <c r="O20" s="46">
        <f>MAX(-tbl_QCOM[[#This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1.1190059999999999</v>
      </c>
      <c r="Q20" s="46">
        <f ca="1">IF(ROW($O20)-5&lt;RSI_Periods, "", AVERAGE(INDIRECT(ADDRESS(ROW($O20)-RSI_Periods +1, MATCH("Downmove", Price_Header,0))): INDIRECT(ADDRESS(ROW($O20),MATCH("Downmove", Price_Header,0)))))</f>
        <v>0.38934264285714243</v>
      </c>
      <c r="R20" s="46">
        <f ca="1">IF(tbl_QCOM[[#This Row],[Avg_Upmove]]="", "", tbl_QCOM[[#This Row],[Avg_Upmove]]/tbl_QCOM[[#This Row],[Avg_Downmove]])</f>
        <v>2.8740905229088547</v>
      </c>
      <c r="S20" s="10">
        <f ca="1">IF(ROW($N20)-4&lt;BB_Periods, "", _xlfn.STDEV.S(INDIRECT(ADDRESS(ROW($F20)-RSI_Periods +1, MATCH("Adj Close", Price_Header,0))): INDIRECT(ADDRESS(ROW($F20),MATCH("Adj Close", Price_Header,0)))))</f>
        <v>2.5805877074087111</v>
      </c>
    </row>
    <row r="21" spans="1:19" x14ac:dyDescent="0.25">
      <c r="A21" s="8">
        <v>44075</v>
      </c>
      <c r="B21" s="10">
        <v>121.08000199999999</v>
      </c>
      <c r="C21" s="10">
        <v>122.57</v>
      </c>
      <c r="D21" s="10">
        <v>119.510002</v>
      </c>
      <c r="E21" s="10">
        <v>122.010002</v>
      </c>
      <c r="F21" s="10">
        <v>121.36000799999999</v>
      </c>
      <c r="G21">
        <v>9101300</v>
      </c>
      <c r="H21" s="10">
        <f>IF(tbl_QCOM[[#This Row],[Date]]=$A$5, $F21, EMA_Beta*$H20 + (1-EMA_Beta)*$F21)</f>
        <v>113.55413569741908</v>
      </c>
      <c r="I21" s="46">
        <f ca="1">IF(tbl_QCOM[[#This Row],[RS]]= "", "", 100-(100/(1+tbl_QCOM[[#This Row],[RS]])))</f>
        <v>68.102469847928376</v>
      </c>
      <c r="J21" s="10">
        <f ca="1">IF(ROW($N21)-4&lt;BB_Periods, "", AVERAGE(INDIRECT(ADDRESS(ROW($F21)-RSI_Periods +1, MATCH("Adj Close", Price_Header,0))): INDIRECT(ADDRESS(ROW($F21),MATCH("Adj Close", Price_Header,0)))))</f>
        <v>114.33690428571428</v>
      </c>
      <c r="K21" s="10">
        <f ca="1">IF(tbl_QCOM[[#This Row],[BB_Mean]]="", "", tbl_QCOM[[#This Row],[BB_Mean]]+(BB_Width*tbl_QCOM[[#This Row],[BB_Stdev]]))</f>
        <v>120.85153672382945</v>
      </c>
      <c r="L21" s="10">
        <f ca="1">IF(tbl_QCOM[[#This Row],[BB_Mean]]="", "", tbl_QCOM[[#This Row],[BB_Mean]]-(BB_Width*tbl_QCOM[[#This Row],[BB_Stdev]]))</f>
        <v>107.82227184759911</v>
      </c>
      <c r="M21" s="46">
        <f>IF(ROW(tbl_QCOM[[#This Row],[Adj Close]])=5, 0, $F21-$F20)</f>
        <v>2.8944999999999936</v>
      </c>
      <c r="N21" s="46">
        <f>MAX(tbl_QCOM[[#This Row],[Move]],0)</f>
        <v>2.8944999999999936</v>
      </c>
      <c r="O21" s="46">
        <f>MAX(-tbl_QCOM[[#This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0.83126171428571338</v>
      </c>
      <c r="Q21" s="46">
        <f ca="1">IF(ROW($O21)-5&lt;RSI_Periods, "", AVERAGE(INDIRECT(ADDRESS(ROW($O21)-RSI_Periods +1, MATCH("Downmove", Price_Header,0))): INDIRECT(ADDRESS(ROW($O21),MATCH("Downmove", Price_Header,0)))))</f>
        <v>0.38934264285714243</v>
      </c>
      <c r="R21" s="46">
        <f ca="1">IF(tbl_QCOM[[#This Row],[Avg_Upmove]]="", "", tbl_QCOM[[#This Row],[Avg_Upmove]]/tbl_QCOM[[#This Row],[Avg_Downmove]])</f>
        <v>2.1350389676959169</v>
      </c>
      <c r="S21" s="10">
        <f ca="1">IF(ROW($N21)-4&lt;BB_Periods, "", _xlfn.STDEV.S(INDIRECT(ADDRESS(ROW($F21)-RSI_Periods +1, MATCH("Adj Close", Price_Header,0))): INDIRECT(ADDRESS(ROW($F21),MATCH("Adj Close", Price_Header,0)))))</f>
        <v>3.257316219057584</v>
      </c>
    </row>
    <row r="22" spans="1:19" x14ac:dyDescent="0.25">
      <c r="A22" s="8">
        <v>44076</v>
      </c>
      <c r="B22" s="10">
        <v>123.260002</v>
      </c>
      <c r="C22" s="10">
        <v>123.93</v>
      </c>
      <c r="D22" s="10">
        <v>121.80999799999999</v>
      </c>
      <c r="E22" s="10">
        <v>123.18</v>
      </c>
      <c r="F22" s="10">
        <v>123.18</v>
      </c>
      <c r="G22">
        <v>9167700</v>
      </c>
      <c r="H22" s="10">
        <f>IF(tbl_QCOM[[#This Row],[Date]]=$A$5, $F22, EMA_Beta*$H21 + (1-EMA_Beta)*$F22)</f>
        <v>114.51672212767717</v>
      </c>
      <c r="I22" s="46">
        <f ca="1">IF(tbl_QCOM[[#This Row],[RS]]= "", "", 100-(100/(1+tbl_QCOM[[#This Row],[RS]])))</f>
        <v>81.358716837827856</v>
      </c>
      <c r="J22" s="10">
        <f ca="1">IF(ROW($N22)-4&lt;BB_Periods, "", AVERAGE(INDIRECT(ADDRESS(ROW($F22)-RSI_Periods +1, MATCH("Adj Close", Price_Header,0))): INDIRECT(ADDRESS(ROW($F22),MATCH("Adj Close", Price_Header,0)))))</f>
        <v>115.07791685714287</v>
      </c>
      <c r="K22" s="10">
        <f ca="1">IF(tbl_QCOM[[#This Row],[BB_Mean]]="", "", tbl_QCOM[[#This Row],[BB_Mean]]+(BB_Width*tbl_QCOM[[#This Row],[BB_Stdev]]))</f>
        <v>123.04129759454455</v>
      </c>
      <c r="L22" s="10">
        <f ca="1">IF(tbl_QCOM[[#This Row],[BB_Mean]]="", "", tbl_QCOM[[#This Row],[BB_Mean]]-(BB_Width*tbl_QCOM[[#This Row],[BB_Stdev]]))</f>
        <v>107.11453611974119</v>
      </c>
      <c r="M22" s="46">
        <f>IF(ROW(tbl_QCOM[[#This Row],[Adj Close]])=5, 0, $F22-$F21)</f>
        <v>1.8199920000000134</v>
      </c>
      <c r="N22" s="46">
        <f>MAX(tbl_QCOM[[#This Row],[Move]],0)</f>
        <v>1.8199920000000134</v>
      </c>
      <c r="O22" s="46">
        <f>MAX(-tbl_QCOM[[#This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0.96126114285714281</v>
      </c>
      <c r="Q22" s="46">
        <f ca="1">IF(ROW($O22)-5&lt;RSI_Periods, "", AVERAGE(INDIRECT(ADDRESS(ROW($O22)-RSI_Periods +1, MATCH("Downmove", Price_Header,0))): INDIRECT(ADDRESS(ROW($O22),MATCH("Downmove", Price_Header,0)))))</f>
        <v>0.22024857142857104</v>
      </c>
      <c r="R22" s="46">
        <f ca="1">IF(tbl_QCOM[[#This Row],[Avg_Upmove]]="", "", tbl_QCOM[[#This Row],[Avg_Upmove]]/tbl_QCOM[[#This Row],[Avg_Downmove]])</f>
        <v>4.3644375835095488</v>
      </c>
      <c r="S22" s="10">
        <f ca="1">IF(ROW($N22)-4&lt;BB_Periods, "", _xlfn.STDEV.S(INDIRECT(ADDRESS(ROW($F22)-RSI_Periods +1, MATCH("Adj Close", Price_Header,0))): INDIRECT(ADDRESS(ROW($F22),MATCH("Adj Close", Price_Header,0)))))</f>
        <v>3.9816903687008427</v>
      </c>
    </row>
    <row r="23" spans="1:19" x14ac:dyDescent="0.25">
      <c r="A23" s="8">
        <v>44077</v>
      </c>
      <c r="B23" s="10">
        <v>121.300003</v>
      </c>
      <c r="C23" s="10">
        <v>121.709999</v>
      </c>
      <c r="D23" s="10">
        <v>115.599998</v>
      </c>
      <c r="E23" s="10">
        <v>116.43</v>
      </c>
      <c r="F23" s="10">
        <v>116.43</v>
      </c>
      <c r="G23">
        <v>13560800</v>
      </c>
      <c r="H23" s="10">
        <f>IF(tbl_QCOM[[#This Row],[Date]]=$A$5, $F23, EMA_Beta*$H22 + (1-EMA_Beta)*$F23)</f>
        <v>114.70804991490945</v>
      </c>
      <c r="I23" s="46">
        <f ca="1">IF(tbl_QCOM[[#This Row],[RS]]= "", "", 100-(100/(1+tbl_QCOM[[#This Row],[RS]])))</f>
        <v>57.176670685902806</v>
      </c>
      <c r="J23" s="10">
        <f ca="1">IF(ROW($N23)-4&lt;BB_Periods, "", AVERAGE(INDIRECT(ADDRESS(ROW($F23)-RSI_Periods +1, MATCH("Adj Close", Price_Header,0))): INDIRECT(ADDRESS(ROW($F23),MATCH("Adj Close", Price_Header,0)))))</f>
        <v>115.31334142857145</v>
      </c>
      <c r="K23" s="10">
        <f ca="1">IF(tbl_QCOM[[#This Row],[BB_Mean]]="", "", tbl_QCOM[[#This Row],[BB_Mean]]+(BB_Width*tbl_QCOM[[#This Row],[BB_Stdev]]))</f>
        <v>123.22387470026354</v>
      </c>
      <c r="L23" s="10">
        <f ca="1">IF(tbl_QCOM[[#This Row],[BB_Mean]]="", "", tbl_QCOM[[#This Row],[BB_Mean]]-(BB_Width*tbl_QCOM[[#This Row],[BB_Stdev]]))</f>
        <v>107.40280815687936</v>
      </c>
      <c r="M23" s="46">
        <f>IF(ROW(tbl_QCOM[[#This Row],[Adj Close]])=5, 0, $F23-$F22)</f>
        <v>-6.75</v>
      </c>
      <c r="N23" s="46">
        <f>MAX(tbl_QCOM[[#This Row],[Move]],0)</f>
        <v>0</v>
      </c>
      <c r="O23" s="46">
        <f>MAX(-tbl_QCOM[[#This Row],[Move]],0)</f>
        <v>6.75</v>
      </c>
      <c r="P23" s="46">
        <f ca="1">IF(ROW($N23)-5&lt;RSI_Periods, "", AVERAGE(INDIRECT(ADDRESS(ROW($N23)-RSI_Periods +1, MATCH("Upmove", Price_Header,0))): INDIRECT(ADDRESS(ROW($N23),MATCH("Upmove", Price_Header,0)))))</f>
        <v>0.93781599999999998</v>
      </c>
      <c r="Q23" s="46">
        <f ca="1">IF(ROW($O23)-5&lt;RSI_Periods, "", AVERAGE(INDIRECT(ADDRESS(ROW($O23)-RSI_Periods +1, MATCH("Downmove", Price_Header,0))): INDIRECT(ADDRESS(ROW($O23),MATCH("Downmove", Price_Header,0)))))</f>
        <v>0.70239142857142822</v>
      </c>
      <c r="R23" s="46">
        <f ca="1">IF(tbl_QCOM[[#This Row],[Avg_Upmove]]="", "", tbl_QCOM[[#This Row],[Avg_Upmove]]/tbl_QCOM[[#This Row],[Avg_Downmove]])</f>
        <v>1.3351757465312388</v>
      </c>
      <c r="S23" s="10">
        <f ca="1">IF(ROW($N23)-4&lt;BB_Periods, "", _xlfn.STDEV.S(INDIRECT(ADDRESS(ROW($F23)-RSI_Periods +1, MATCH("Adj Close", Price_Header,0))): INDIRECT(ADDRESS(ROW($F23),MATCH("Adj Close", Price_Header,0)))))</f>
        <v>3.9552666358460433</v>
      </c>
    </row>
    <row r="24" spans="1:19" x14ac:dyDescent="0.25">
      <c r="A24" s="8">
        <v>44078</v>
      </c>
      <c r="B24" s="10">
        <v>115.69000200000001</v>
      </c>
      <c r="C24" s="10">
        <v>117.82</v>
      </c>
      <c r="D24" s="10">
        <v>112.379997</v>
      </c>
      <c r="E24" s="10">
        <v>115.970001</v>
      </c>
      <c r="F24" s="10">
        <v>115.970001</v>
      </c>
      <c r="G24">
        <v>11064300</v>
      </c>
      <c r="H24" s="10">
        <f>IF(tbl_QCOM[[#This Row],[Date]]=$A$5, $F24, EMA_Beta*$H23 + (1-EMA_Beta)*$F24)</f>
        <v>114.83424502341852</v>
      </c>
      <c r="I24" s="46">
        <f ca="1">IF(tbl_QCOM[[#This Row],[RS]]= "", "", 100-(100/(1+tbl_QCOM[[#This Row],[RS]])))</f>
        <v>60.030591797751391</v>
      </c>
      <c r="J24" s="10">
        <f ca="1">IF(ROW($N24)-4&lt;BB_Periods, "", AVERAGE(INDIRECT(ADDRESS(ROW($F24)-RSI_Periods +1, MATCH("Adj Close", Price_Header,0))): INDIRECT(ADDRESS(ROW($F24),MATCH("Adj Close", Price_Header,0)))))</f>
        <v>115.6267432857143</v>
      </c>
      <c r="K24" s="10">
        <f ca="1">IF(tbl_QCOM[[#This Row],[BB_Mean]]="", "", tbl_QCOM[[#This Row],[BB_Mean]]+(BB_Width*tbl_QCOM[[#This Row],[BB_Stdev]]))</f>
        <v>123.24271325279011</v>
      </c>
      <c r="L24" s="10">
        <f ca="1">IF(tbl_QCOM[[#This Row],[BB_Mean]]="", "", tbl_QCOM[[#This Row],[BB_Mean]]-(BB_Width*tbl_QCOM[[#This Row],[BB_Stdev]]))</f>
        <v>108.01077331863848</v>
      </c>
      <c r="M24" s="46">
        <f>IF(ROW(tbl_QCOM[[#This Row],[Adj Close]])=5, 0, $F24-$F23)</f>
        <v>-0.45999900000001048</v>
      </c>
      <c r="N24" s="46">
        <f>MAX(tbl_QCOM[[#This Row],[Move]],0)</f>
        <v>0</v>
      </c>
      <c r="O24" s="46">
        <f>MAX(-tbl_QCOM[[#This Row],[Move]],0)</f>
        <v>0.45999900000001048</v>
      </c>
      <c r="P24" s="46">
        <f ca="1">IF(ROW($N24)-5&lt;RSI_Periods, "", AVERAGE(INDIRECT(ADDRESS(ROW($N24)-RSI_Periods +1, MATCH("Upmove", Price_Header,0))): INDIRECT(ADDRESS(ROW($N24),MATCH("Upmove", Price_Header,0)))))</f>
        <v>0.93781599999999998</v>
      </c>
      <c r="Q24" s="46">
        <f ca="1">IF(ROW($O24)-5&lt;RSI_Periods, "", AVERAGE(INDIRECT(ADDRESS(ROW($O24)-RSI_Periods +1, MATCH("Downmove", Price_Header,0))): INDIRECT(ADDRESS(ROW($O24),MATCH("Downmove", Price_Header,0)))))</f>
        <v>0.62441414285714303</v>
      </c>
      <c r="R24" s="46">
        <f ca="1">IF(tbl_QCOM[[#This Row],[Avg_Upmove]]="", "", tbl_QCOM[[#This Row],[Avg_Upmove]]/tbl_QCOM[[#This Row],[Avg_Downmove]])</f>
        <v>1.5019134507569263</v>
      </c>
      <c r="S24" s="10">
        <f ca="1">IF(ROW($N24)-4&lt;BB_Periods, "", _xlfn.STDEV.S(INDIRECT(ADDRESS(ROW($F24)-RSI_Periods +1, MATCH("Adj Close", Price_Header,0))): INDIRECT(ADDRESS(ROW($F24),MATCH("Adj Close", Price_Header,0)))))</f>
        <v>3.8079849835379096</v>
      </c>
    </row>
    <row r="25" spans="1:19" x14ac:dyDescent="0.25">
      <c r="A25" s="8">
        <v>44082</v>
      </c>
      <c r="B25" s="10">
        <v>111.94000200000001</v>
      </c>
      <c r="C25" s="10">
        <v>113.879997</v>
      </c>
      <c r="D25" s="10">
        <v>109.620003</v>
      </c>
      <c r="E25" s="10">
        <v>109.769997</v>
      </c>
      <c r="F25" s="10">
        <v>109.769997</v>
      </c>
      <c r="G25">
        <v>10245200</v>
      </c>
      <c r="H25" s="10">
        <f>IF(tbl_QCOM[[#This Row],[Date]]=$A$5, $F25, EMA_Beta*$H24 + (1-EMA_Beta)*$F25)</f>
        <v>114.32782022107666</v>
      </c>
      <c r="I25" s="46">
        <f ca="1">IF(tbl_QCOM[[#This Row],[RS]]= "", "", 100-(100/(1+tbl_QCOM[[#This Row],[RS]])))</f>
        <v>47.021758957393423</v>
      </c>
      <c r="J25" s="10">
        <f ca="1">IF(ROW($N25)-4&lt;BB_Periods, "", AVERAGE(INDIRECT(ADDRESS(ROW($F25)-RSI_Periods +1, MATCH("Adj Close", Price_Header,0))): INDIRECT(ADDRESS(ROW($F25),MATCH("Adj Close", Price_Header,0)))))</f>
        <v>115.50794542857145</v>
      </c>
      <c r="K25" s="10">
        <f ca="1">IF(tbl_QCOM[[#This Row],[BB_Mean]]="", "", tbl_QCOM[[#This Row],[BB_Mean]]+(BB_Width*tbl_QCOM[[#This Row],[BB_Stdev]]))</f>
        <v>123.45057741264925</v>
      </c>
      <c r="L25" s="10">
        <f ca="1">IF(tbl_QCOM[[#This Row],[BB_Mean]]="", "", tbl_QCOM[[#This Row],[BB_Mean]]-(BB_Width*tbl_QCOM[[#This Row],[BB_Stdev]]))</f>
        <v>107.56531344449364</v>
      </c>
      <c r="M25" s="46">
        <f>IF(ROW(tbl_QCOM[[#This Row],[Adj Close]])=5, 0, $F25-$F24)</f>
        <v>-6.2000039999999927</v>
      </c>
      <c r="N25" s="46">
        <f>MAX(tbl_QCOM[[#This Row],[Move]],0)</f>
        <v>0</v>
      </c>
      <c r="O25" s="46">
        <f>MAX(-tbl_QCOM[[#This Row],[Move]],0)</f>
        <v>6.2000039999999927</v>
      </c>
      <c r="P25" s="46">
        <f ca="1">IF(ROW($N25)-5&lt;RSI_Periods, "", AVERAGE(INDIRECT(ADDRESS(ROW($N25)-RSI_Periods +1, MATCH("Upmove", Price_Header,0))): INDIRECT(ADDRESS(ROW($N25),MATCH("Upmove", Price_Header,0)))))</f>
        <v>0.93781599999999998</v>
      </c>
      <c r="Q25" s="46">
        <f ca="1">IF(ROW($O25)-5&lt;RSI_Periods, "", AVERAGE(INDIRECT(ADDRESS(ROW($O25)-RSI_Periods +1, MATCH("Downmove", Price_Header,0))): INDIRECT(ADDRESS(ROW($O25),MATCH("Downmove", Price_Header,0)))))</f>
        <v>1.0566138571428567</v>
      </c>
      <c r="R25" s="46">
        <f ca="1">IF(tbl_QCOM[[#This Row],[Avg_Upmove]]="", "", tbl_QCOM[[#This Row],[Avg_Upmove]]/tbl_QCOM[[#This Row],[Avg_Downmove]])</f>
        <v>0.88756738676124047</v>
      </c>
      <c r="S25" s="10">
        <f ca="1">IF(ROW($N25)-4&lt;BB_Periods, "", _xlfn.STDEV.S(INDIRECT(ADDRESS(ROW($F25)-RSI_Periods +1, MATCH("Adj Close", Price_Header,0))): INDIRECT(ADDRESS(ROW($F25),MATCH("Adj Close", Price_Header,0)))))</f>
        <v>3.9713159920389041</v>
      </c>
    </row>
    <row r="26" spans="1:19" x14ac:dyDescent="0.25">
      <c r="A26" s="8">
        <v>44083</v>
      </c>
      <c r="B26" s="10">
        <v>113.480003</v>
      </c>
      <c r="C26" s="10">
        <v>115.769997</v>
      </c>
      <c r="D26" s="10">
        <v>112.300003</v>
      </c>
      <c r="E26" s="10">
        <v>114.019997</v>
      </c>
      <c r="F26" s="10">
        <v>114.019997</v>
      </c>
      <c r="G26">
        <v>9708400</v>
      </c>
      <c r="H26" s="10">
        <f>IF(tbl_QCOM[[#This Row],[Date]]=$A$5, $F26, EMA_Beta*$H25 + (1-EMA_Beta)*$F26)</f>
        <v>114.29703789896899</v>
      </c>
      <c r="I26" s="46">
        <f ca="1">IF(tbl_QCOM[[#This Row],[RS]]= "", "", 100-(100/(1+tbl_QCOM[[#This Row],[RS]])))</f>
        <v>55.725967163748308</v>
      </c>
      <c r="J26" s="10">
        <f ca="1">IF(ROW($N26)-4&lt;BB_Periods, "", AVERAGE(INDIRECT(ADDRESS(ROW($F26)-RSI_Periods +1, MATCH("Adj Close", Price_Header,0))): INDIRECT(ADDRESS(ROW($F26),MATCH("Adj Close", Price_Header,0)))))</f>
        <v>115.76305607142858</v>
      </c>
      <c r="K26" s="10">
        <f ca="1">IF(tbl_QCOM[[#This Row],[BB_Mean]]="", "", tbl_QCOM[[#This Row],[BB_Mean]]+(BB_Width*tbl_QCOM[[#This Row],[BB_Stdev]]))</f>
        <v>123.22025487211451</v>
      </c>
      <c r="L26" s="10">
        <f ca="1">IF(tbl_QCOM[[#This Row],[BB_Mean]]="", "", tbl_QCOM[[#This Row],[BB_Mean]]-(BB_Width*tbl_QCOM[[#This Row],[BB_Stdev]]))</f>
        <v>108.30585727074265</v>
      </c>
      <c r="M26" s="46">
        <f>IF(ROW(tbl_QCOM[[#This Row],[Adj Close]])=5, 0, $F26-$F25)</f>
        <v>4.25</v>
      </c>
      <c r="N26" s="46">
        <f>MAX(tbl_QCOM[[#This Row],[Move]],0)</f>
        <v>4.25</v>
      </c>
      <c r="O26" s="46">
        <f>MAX(-tbl_QCOM[[#This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1.2413874285714286</v>
      </c>
      <c r="Q26" s="46">
        <f ca="1">IF(ROW($O26)-5&lt;RSI_Periods, "", AVERAGE(INDIRECT(ADDRESS(ROW($O26)-RSI_Periods +1, MATCH("Downmove", Price_Header,0))): INDIRECT(ADDRESS(ROW($O26),MATCH("Downmove", Price_Header,0)))))</f>
        <v>0.98627678571428545</v>
      </c>
      <c r="R26" s="46">
        <f ca="1">IF(tbl_QCOM[[#This Row],[Avg_Upmove]]="", "", tbl_QCOM[[#This Row],[Avg_Upmove]]/tbl_QCOM[[#This Row],[Avg_Downmove]])</f>
        <v>1.2586602934919389</v>
      </c>
      <c r="S26" s="10">
        <f ca="1">IF(ROW($N26)-4&lt;BB_Periods, "", _xlfn.STDEV.S(INDIRECT(ADDRESS(ROW($F26)-RSI_Periods +1, MATCH("Adj Close", Price_Header,0))): INDIRECT(ADDRESS(ROW($F26),MATCH("Adj Close", Price_Header,0)))))</f>
        <v>3.7285994003429641</v>
      </c>
    </row>
    <row r="27" spans="1:19" x14ac:dyDescent="0.25">
      <c r="A27" s="8">
        <v>44084</v>
      </c>
      <c r="B27" s="10">
        <v>115.150002</v>
      </c>
      <c r="C27" s="10">
        <v>115.80999799999999</v>
      </c>
      <c r="D27" s="10">
        <v>111.57</v>
      </c>
      <c r="E27" s="10">
        <v>112.44000200000001</v>
      </c>
      <c r="F27" s="10">
        <v>112.44000200000001</v>
      </c>
      <c r="G27">
        <v>6166300</v>
      </c>
      <c r="H27" s="10">
        <f>IF(tbl_QCOM[[#This Row],[Date]]=$A$5, $F27, EMA_Beta*$H26 + (1-EMA_Beta)*$F27)</f>
        <v>114.11133430907211</v>
      </c>
      <c r="I27" s="46">
        <f ca="1">IF(tbl_QCOM[[#This Row],[RS]]= "", "", 100-(100/(1+tbl_QCOM[[#This Row],[RS]])))</f>
        <v>53.657886416197876</v>
      </c>
      <c r="J27" s="10">
        <f ca="1">IF(ROW($N27)-4&lt;BB_Periods, "", AVERAGE(INDIRECT(ADDRESS(ROW($F27)-RSI_Periods +1, MATCH("Adj Close", Price_Header,0))): INDIRECT(ADDRESS(ROW($F27),MATCH("Adj Close", Price_Header,0)))))</f>
        <v>115.93230814285717</v>
      </c>
      <c r="K27" s="10">
        <f ca="1">IF(tbl_QCOM[[#This Row],[BB_Mean]]="", "", tbl_QCOM[[#This Row],[BB_Mean]]+(BB_Width*tbl_QCOM[[#This Row],[BB_Stdev]]))</f>
        <v>122.92610834219978</v>
      </c>
      <c r="L27" s="10">
        <f ca="1">IF(tbl_QCOM[[#This Row],[BB_Mean]]="", "", tbl_QCOM[[#This Row],[BB_Mean]]-(BB_Width*tbl_QCOM[[#This Row],[BB_Stdev]]))</f>
        <v>108.93850794351455</v>
      </c>
      <c r="M27" s="46">
        <f>IF(ROW(tbl_QCOM[[#This Row],[Adj Close]])=5, 0, $F27-$F26)</f>
        <v>-1.5799949999999967</v>
      </c>
      <c r="N27" s="46">
        <f>MAX(tbl_QCOM[[#This Row],[Move]],0)</f>
        <v>0</v>
      </c>
      <c r="O27" s="46">
        <f>MAX(-tbl_QCOM[[#This Row],[Move]],0)</f>
        <v>1.5799949999999967</v>
      </c>
      <c r="P27" s="46">
        <f ca="1">IF(ROW($N27)-5&lt;RSI_Periods, "", AVERAGE(INDIRECT(ADDRESS(ROW($N27)-RSI_Periods +1, MATCH("Upmove", Price_Header,0))): INDIRECT(ADDRESS(ROW($N27),MATCH("Upmove", Price_Header,0)))))</f>
        <v>1.2413874285714286</v>
      </c>
      <c r="Q27" s="46">
        <f ca="1">IF(ROW($O27)-5&lt;RSI_Periods, "", AVERAGE(INDIRECT(ADDRESS(ROW($O27)-RSI_Periods +1, MATCH("Downmove", Price_Header,0))): INDIRECT(ADDRESS(ROW($O27),MATCH("Downmove", Price_Header,0)))))</f>
        <v>1.0721353571428571</v>
      </c>
      <c r="R27" s="46">
        <f ca="1">IF(tbl_QCOM[[#This Row],[Avg_Upmove]]="", "", tbl_QCOM[[#This Row],[Avg_Upmove]]/tbl_QCOM[[#This Row],[Avg_Downmove]])</f>
        <v>1.1578644620765168</v>
      </c>
      <c r="S27" s="10">
        <f ca="1">IF(ROW($N27)-4&lt;BB_Periods, "", _xlfn.STDEV.S(INDIRECT(ADDRESS(ROW($F27)-RSI_Periods +1, MATCH("Adj Close", Price_Header,0))): INDIRECT(ADDRESS(ROW($F27),MATCH("Adj Close", Price_Header,0)))))</f>
        <v>3.4969000996713073</v>
      </c>
    </row>
    <row r="28" spans="1:19" x14ac:dyDescent="0.25">
      <c r="A28" s="8">
        <v>44085</v>
      </c>
      <c r="B28" s="10">
        <v>113.379997</v>
      </c>
      <c r="C28" s="10">
        <v>114.849998</v>
      </c>
      <c r="D28" s="10">
        <v>112.400002</v>
      </c>
      <c r="E28" s="10">
        <v>113.41999800000001</v>
      </c>
      <c r="F28" s="10">
        <v>113.41999800000001</v>
      </c>
      <c r="G28">
        <v>6740200</v>
      </c>
      <c r="H28" s="10">
        <f>IF(tbl_QCOM[[#This Row],[Date]]=$A$5, $F28, EMA_Beta*$H27 + (1-EMA_Beta)*$F28)</f>
        <v>114.04220067816489</v>
      </c>
      <c r="I28" s="46">
        <f ca="1">IF(tbl_QCOM[[#This Row],[RS]]= "", "", 100-(100/(1+tbl_QCOM[[#This Row],[RS]])))</f>
        <v>51.646160167657889</v>
      </c>
      <c r="J28" s="10">
        <f ca="1">IF(ROW($N28)-4&lt;BB_Periods, "", AVERAGE(INDIRECT(ADDRESS(ROW($F28)-RSI_Periods +1, MATCH("Adj Close", Price_Header,0))): INDIRECT(ADDRESS(ROW($F28),MATCH("Adj Close", Price_Header,0)))))</f>
        <v>116.00530778571431</v>
      </c>
      <c r="K28" s="10">
        <f ca="1">IF(tbl_QCOM[[#This Row],[BB_Mean]]="", "", tbl_QCOM[[#This Row],[BB_Mean]]+(BB_Width*tbl_QCOM[[#This Row],[BB_Stdev]]))</f>
        <v>122.86015038915068</v>
      </c>
      <c r="L28" s="10">
        <f ca="1">IF(tbl_QCOM[[#This Row],[BB_Mean]]="", "", tbl_QCOM[[#This Row],[BB_Mean]]-(BB_Width*tbl_QCOM[[#This Row],[BB_Stdev]]))</f>
        <v>109.15046518227794</v>
      </c>
      <c r="M28" s="46">
        <f>IF(ROW(tbl_QCOM[[#This Row],[Adj Close]])=5, 0, $F28-$F27)</f>
        <v>0.97999599999999987</v>
      </c>
      <c r="N28" s="46">
        <f>MAX(tbl_QCOM[[#This Row],[Move]],0)</f>
        <v>0.97999599999999987</v>
      </c>
      <c r="O28" s="46">
        <f>MAX(-tbl_QCOM[[#This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1.1451350000000002</v>
      </c>
      <c r="Q28" s="46">
        <f ca="1">IF(ROW($O28)-5&lt;RSI_Periods, "", AVERAGE(INDIRECT(ADDRESS(ROW($O28)-RSI_Periods +1, MATCH("Downmove", Price_Header,0))): INDIRECT(ADDRESS(ROW($O28),MATCH("Downmove", Price_Header,0)))))</f>
        <v>1.0721353571428571</v>
      </c>
      <c r="R28" s="46">
        <f ca="1">IF(tbl_QCOM[[#This Row],[Avg_Upmove]]="", "", tbl_QCOM[[#This Row],[Avg_Upmove]]/tbl_QCOM[[#This Row],[Avg_Downmove]])</f>
        <v>1.0680880845602188</v>
      </c>
      <c r="S28" s="10">
        <f ca="1">IF(ROW($N28)-4&lt;BB_Periods, "", _xlfn.STDEV.S(INDIRECT(ADDRESS(ROW($F28)-RSI_Periods +1, MATCH("Adj Close", Price_Header,0))): INDIRECT(ADDRESS(ROW($F28),MATCH("Adj Close", Price_Header,0)))))</f>
        <v>3.4274213017181814</v>
      </c>
    </row>
    <row r="29" spans="1:19" x14ac:dyDescent="0.25">
      <c r="A29" s="8">
        <v>44088</v>
      </c>
      <c r="B29" s="10">
        <v>115.239998</v>
      </c>
      <c r="C29" s="10">
        <v>115.43</v>
      </c>
      <c r="D29" s="10">
        <v>112.650002</v>
      </c>
      <c r="E29" s="10">
        <v>113.459999</v>
      </c>
      <c r="F29" s="10">
        <v>113.459999</v>
      </c>
      <c r="G29">
        <v>5397300</v>
      </c>
      <c r="H29" s="10">
        <f>IF(tbl_QCOM[[#This Row],[Date]]=$A$5, $F29, EMA_Beta*$H28 + (1-EMA_Beta)*$F29)</f>
        <v>113.9839805103484</v>
      </c>
      <c r="I29" s="46">
        <f ca="1">IF(tbl_QCOM[[#This Row],[RS]]= "", "", 100-(100/(1+tbl_QCOM[[#This Row],[RS]])))</f>
        <v>46.749413902423953</v>
      </c>
      <c r="J29" s="10">
        <f ca="1">IF(ROW($N29)-4&lt;BB_Periods, "", AVERAGE(INDIRECT(ADDRESS(ROW($F29)-RSI_Periods +1, MATCH("Adj Close", Price_Header,0))): INDIRECT(ADDRESS(ROW($F29),MATCH("Adj Close", Price_Header,0)))))</f>
        <v>115.87441464285715</v>
      </c>
      <c r="K29" s="10">
        <f ca="1">IF(tbl_QCOM[[#This Row],[BB_Mean]]="", "", tbl_QCOM[[#This Row],[BB_Mean]]+(BB_Width*tbl_QCOM[[#This Row],[BB_Stdev]]))</f>
        <v>122.85668806758437</v>
      </c>
      <c r="L29" s="10">
        <f ca="1">IF(tbl_QCOM[[#This Row],[BB_Mean]]="", "", tbl_QCOM[[#This Row],[BB_Mean]]-(BB_Width*tbl_QCOM[[#This Row],[BB_Stdev]]))</f>
        <v>108.89214121812992</v>
      </c>
      <c r="M29" s="46">
        <f>IF(ROW(tbl_QCOM[[#This Row],[Adj Close]])=5, 0, $F29-$F28)</f>
        <v>4.0000999999989517E-2</v>
      </c>
      <c r="N29" s="46">
        <f>MAX(tbl_QCOM[[#This Row],[Move]],0)</f>
        <v>4.0000999999989517E-2</v>
      </c>
      <c r="O29" s="46">
        <f>MAX(-tbl_QCOM[[#This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0.94124221428571431</v>
      </c>
      <c r="Q29" s="46">
        <f ca="1">IF(ROW($O29)-5&lt;RSI_Periods, "", AVERAGE(INDIRECT(ADDRESS(ROW($O29)-RSI_Periods +1, MATCH("Downmove", Price_Header,0))): INDIRECT(ADDRESS(ROW($O29),MATCH("Downmove", Price_Header,0)))))</f>
        <v>1.0721353571428571</v>
      </c>
      <c r="R29" s="46">
        <f ca="1">IF(tbl_QCOM[[#This Row],[Avg_Upmove]]="", "", tbl_QCOM[[#This Row],[Avg_Upmove]]/tbl_QCOM[[#This Row],[Avg_Downmove]])</f>
        <v>0.87791360299322552</v>
      </c>
      <c r="S29" s="10">
        <f ca="1">IF(ROW($N29)-4&lt;BB_Periods, "", _xlfn.STDEV.S(INDIRECT(ADDRESS(ROW($F29)-RSI_Periods +1, MATCH("Adj Close", Price_Header,0))): INDIRECT(ADDRESS(ROW($F29),MATCH("Adj Close", Price_Header,0)))))</f>
        <v>3.4911367123636117</v>
      </c>
    </row>
    <row r="30" spans="1:19" x14ac:dyDescent="0.25">
      <c r="A30" s="8">
        <v>44089</v>
      </c>
      <c r="B30" s="10">
        <v>114.94000200000001</v>
      </c>
      <c r="C30" s="10">
        <v>117.80999799999999</v>
      </c>
      <c r="D30" s="10">
        <v>114.790001</v>
      </c>
      <c r="E30" s="10">
        <v>116.58000199999999</v>
      </c>
      <c r="F30" s="10">
        <v>116.58000199999999</v>
      </c>
      <c r="G30">
        <v>8773700</v>
      </c>
      <c r="H30" s="10">
        <f>IF(tbl_QCOM[[#This Row],[Date]]=$A$5, $F30, EMA_Beta*$H29 + (1-EMA_Beta)*$F30)</f>
        <v>114.24358265931357</v>
      </c>
      <c r="I30" s="46">
        <f ca="1">IF(tbl_QCOM[[#This Row],[RS]]= "", "", 100-(100/(1+tbl_QCOM[[#This Row],[RS]])))</f>
        <v>51.995232495175721</v>
      </c>
      <c r="J30" s="10">
        <f ca="1">IF(ROW($N30)-4&lt;BB_Periods, "", AVERAGE(INDIRECT(ADDRESS(ROW($F30)-RSI_Periods +1, MATCH("Adj Close", Price_Header,0))): INDIRECT(ADDRESS(ROW($F30),MATCH("Adj Close", Price_Header,0)))))</f>
        <v>115.96353742857143</v>
      </c>
      <c r="K30" s="10">
        <f ca="1">IF(tbl_QCOM[[#This Row],[BB_Mean]]="", "", tbl_QCOM[[#This Row],[BB_Mean]]+(BB_Width*tbl_QCOM[[#This Row],[BB_Stdev]]))</f>
        <v>122.94785411635729</v>
      </c>
      <c r="L30" s="10">
        <f ca="1">IF(tbl_QCOM[[#This Row],[BB_Mean]]="", "", tbl_QCOM[[#This Row],[BB_Mean]]-(BB_Width*tbl_QCOM[[#This Row],[BB_Stdev]]))</f>
        <v>108.97922074078556</v>
      </c>
      <c r="M30" s="46">
        <f>IF(ROW(tbl_QCOM[[#This Row],[Adj Close]])=5, 0, $F30-$F29)</f>
        <v>3.120002999999997</v>
      </c>
      <c r="N30" s="46">
        <f>MAX(tbl_QCOM[[#This Row],[Move]],0)</f>
        <v>3.120002999999997</v>
      </c>
      <c r="O30" s="46">
        <f>MAX(-tbl_QCOM[[#This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1.161258142857142</v>
      </c>
      <c r="Q30" s="46">
        <f ca="1">IF(ROW($O30)-5&lt;RSI_Periods, "", AVERAGE(INDIRECT(ADDRESS(ROW($O30)-RSI_Periods +1, MATCH("Downmove", Price_Header,0))): INDIRECT(ADDRESS(ROW($O30),MATCH("Downmove", Price_Header,0)))))</f>
        <v>1.0721353571428571</v>
      </c>
      <c r="R30" s="46">
        <f ca="1">IF(tbl_QCOM[[#This Row],[Avg_Upmove]]="", "", tbl_QCOM[[#This Row],[Avg_Upmove]]/tbl_QCOM[[#This Row],[Avg_Downmove]])</f>
        <v>1.0831264309310618</v>
      </c>
      <c r="S30" s="10">
        <f ca="1">IF(ROW($N30)-4&lt;BB_Periods, "", _xlfn.STDEV.S(INDIRECT(ADDRESS(ROW($F30)-RSI_Periods +1, MATCH("Adj Close", Price_Header,0))): INDIRECT(ADDRESS(ROW($F30),MATCH("Adj Close", Price_Header,0)))))</f>
        <v>3.4921583438929318</v>
      </c>
    </row>
    <row r="31" spans="1:19" x14ac:dyDescent="0.25">
      <c r="A31" s="8">
        <v>44090</v>
      </c>
      <c r="B31" s="10">
        <v>118</v>
      </c>
      <c r="C31" s="10">
        <v>118</v>
      </c>
      <c r="D31" s="10">
        <v>114.540001</v>
      </c>
      <c r="E31" s="10">
        <v>114.55999799999999</v>
      </c>
      <c r="F31" s="10">
        <v>114.55999799999999</v>
      </c>
      <c r="G31">
        <v>6340100</v>
      </c>
      <c r="H31" s="10">
        <f>IF(tbl_QCOM[[#This Row],[Date]]=$A$5, $F31, EMA_Beta*$H30 + (1-EMA_Beta)*$F31)</f>
        <v>114.27522419338221</v>
      </c>
      <c r="I31" s="46">
        <f ca="1">IF(tbl_QCOM[[#This Row],[RS]]= "", "", 100-(100/(1+tbl_QCOM[[#This Row],[RS]])))</f>
        <v>48.702017802885038</v>
      </c>
      <c r="J31" s="10">
        <f ca="1">IF(ROW($N31)-4&lt;BB_Periods, "", AVERAGE(INDIRECT(ADDRESS(ROW($F31)-RSI_Periods +1, MATCH("Adj Close", Price_Header,0))): INDIRECT(ADDRESS(ROW($F31),MATCH("Adj Close", Price_Header,0)))))</f>
        <v>115.90197971428573</v>
      </c>
      <c r="K31" s="10">
        <f ca="1">IF(tbl_QCOM[[#This Row],[BB_Mean]]="", "", tbl_QCOM[[#This Row],[BB_Mean]]+(BB_Width*tbl_QCOM[[#This Row],[BB_Stdev]]))</f>
        <v>122.92196454312958</v>
      </c>
      <c r="L31" s="10">
        <f ca="1">IF(tbl_QCOM[[#This Row],[BB_Mean]]="", "", tbl_QCOM[[#This Row],[BB_Mean]]-(BB_Width*tbl_QCOM[[#This Row],[BB_Stdev]]))</f>
        <v>108.88199488544188</v>
      </c>
      <c r="M31" s="46">
        <f>IF(ROW(tbl_QCOM[[#This Row],[Adj Close]])=5, 0, $F31-$F30)</f>
        <v>-2.0200040000000001</v>
      </c>
      <c r="N31" s="46">
        <f>MAX(tbl_QCOM[[#This Row],[Move]],0)</f>
        <v>0</v>
      </c>
      <c r="O31" s="46">
        <f>MAX(-tbl_QCOM[[#This Row],[Move]],0)</f>
        <v>2.0200040000000001</v>
      </c>
      <c r="P31" s="46">
        <f ca="1">IF(ROW($N31)-5&lt;RSI_Periods, "", AVERAGE(INDIRECT(ADDRESS(ROW($N31)-RSI_Periods +1, MATCH("Upmove", Price_Header,0))): INDIRECT(ADDRESS(ROW($N31),MATCH("Upmove", Price_Header,0)))))</f>
        <v>1.1548636428571422</v>
      </c>
      <c r="Q31" s="46">
        <f ca="1">IF(ROW($O31)-5&lt;RSI_Periods, "", AVERAGE(INDIRECT(ADDRESS(ROW($O31)-RSI_Periods +1, MATCH("Downmove", Price_Header,0))): INDIRECT(ADDRESS(ROW($O31),MATCH("Downmove", Price_Header,0)))))</f>
        <v>1.2164213571428573</v>
      </c>
      <c r="R31" s="46">
        <f ca="1">IF(tbl_QCOM[[#This Row],[Avg_Upmove]]="", "", tbl_QCOM[[#This Row],[Avg_Upmove]]/tbl_QCOM[[#This Row],[Avg_Downmove]])</f>
        <v>0.94939441508138056</v>
      </c>
      <c r="S31" s="10">
        <f ca="1">IF(ROW($N31)-4&lt;BB_Periods, "", _xlfn.STDEV.S(INDIRECT(ADDRESS(ROW($F31)-RSI_Periods +1, MATCH("Adj Close", Price_Header,0))): INDIRECT(ADDRESS(ROW($F31),MATCH("Adj Close", Price_Header,0)))))</f>
        <v>3.509992414421923</v>
      </c>
    </row>
    <row r="32" spans="1:19" x14ac:dyDescent="0.25">
      <c r="A32" s="8">
        <v>44091</v>
      </c>
      <c r="B32" s="10">
        <v>111.91999800000001</v>
      </c>
      <c r="C32" s="10">
        <v>115.699997</v>
      </c>
      <c r="D32" s="10">
        <v>111</v>
      </c>
      <c r="E32" s="10">
        <v>114.879997</v>
      </c>
      <c r="F32" s="10">
        <v>114.879997</v>
      </c>
      <c r="G32">
        <v>7418100</v>
      </c>
      <c r="H32" s="10">
        <f>IF(tbl_QCOM[[#This Row],[Date]]=$A$5, $F32, EMA_Beta*$H31 + (1-EMA_Beta)*$F32)</f>
        <v>114.335701474044</v>
      </c>
      <c r="I32" s="46">
        <f ca="1">IF(tbl_QCOM[[#This Row],[RS]]= "", "", 100-(100/(1+tbl_QCOM[[#This Row],[RS]])))</f>
        <v>49.220982496555322</v>
      </c>
      <c r="J32" s="10">
        <f ca="1">IF(ROW($N32)-4&lt;BB_Periods, "", AVERAGE(INDIRECT(ADDRESS(ROW($F32)-RSI_Periods +1, MATCH("Adj Close", Price_Header,0))): INDIRECT(ADDRESS(ROW($F32),MATCH("Adj Close", Price_Header,0)))))</f>
        <v>115.86470028571428</v>
      </c>
      <c r="K32" s="10">
        <f ca="1">IF(tbl_QCOM[[#This Row],[BB_Mean]]="", "", tbl_QCOM[[#This Row],[BB_Mean]]+(BB_Width*tbl_QCOM[[#This Row],[BB_Stdev]]))</f>
        <v>122.90164737526692</v>
      </c>
      <c r="L32" s="10">
        <f ca="1">IF(tbl_QCOM[[#This Row],[BB_Mean]]="", "", tbl_QCOM[[#This Row],[BB_Mean]]-(BB_Width*tbl_QCOM[[#This Row],[BB_Stdev]]))</f>
        <v>108.82775319616164</v>
      </c>
      <c r="M32" s="46">
        <f>IF(ROW(tbl_QCOM[[#This Row],[Adj Close]])=5, 0, $F32-$F31)</f>
        <v>0.31999900000000991</v>
      </c>
      <c r="N32" s="46">
        <f>MAX(tbl_QCOM[[#This Row],[Move]],0)</f>
        <v>0.31999900000000991</v>
      </c>
      <c r="O32" s="46">
        <f>MAX(-tbl_QCOM[[#This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1.1777207142857142</v>
      </c>
      <c r="Q32" s="46">
        <f ca="1">IF(ROW($O32)-5&lt;RSI_Periods, "", AVERAGE(INDIRECT(ADDRESS(ROW($O32)-RSI_Periods +1, MATCH("Downmove", Price_Header,0))): INDIRECT(ADDRESS(ROW($O32),MATCH("Downmove", Price_Header,0)))))</f>
        <v>1.2150001428571429</v>
      </c>
      <c r="R32" s="46">
        <f ca="1">IF(tbl_QCOM[[#This Row],[Avg_Upmove]]="", "", tbl_QCOM[[#This Row],[Avg_Upmove]]/tbl_QCOM[[#This Row],[Avg_Downmove]])</f>
        <v>0.96931734634716671</v>
      </c>
      <c r="S32" s="10">
        <f ca="1">IF(ROW($N32)-4&lt;BB_Periods, "", _xlfn.STDEV.S(INDIRECT(ADDRESS(ROW($F32)-RSI_Periods +1, MATCH("Adj Close", Price_Header,0))): INDIRECT(ADDRESS(ROW($F32),MATCH("Adj Close", Price_Header,0)))))</f>
        <v>3.518473544776318</v>
      </c>
    </row>
    <row r="33" spans="1:19" x14ac:dyDescent="0.25">
      <c r="A33" s="8">
        <v>44092</v>
      </c>
      <c r="B33" s="10">
        <v>115.040001</v>
      </c>
      <c r="C33" s="10">
        <v>115.43</v>
      </c>
      <c r="D33" s="10">
        <v>109.800003</v>
      </c>
      <c r="E33" s="10">
        <v>110.69000200000001</v>
      </c>
      <c r="F33" s="10">
        <v>110.69000200000001</v>
      </c>
      <c r="G33">
        <v>15443200</v>
      </c>
      <c r="H33" s="10">
        <f>IF(tbl_QCOM[[#This Row],[Date]]=$A$5, $F33, EMA_Beta*$H32 + (1-EMA_Beta)*$F33)</f>
        <v>113.9711315266396</v>
      </c>
      <c r="I33" s="46">
        <f ca="1">IF(tbl_QCOM[[#This Row],[RS]]= "", "", 100-(100/(1+tbl_QCOM[[#This Row],[RS]])))</f>
        <v>40.314817983114111</v>
      </c>
      <c r="J33" s="10">
        <f ca="1">IF(ROW($N33)-4&lt;BB_Periods, "", AVERAGE(INDIRECT(ADDRESS(ROW($F33)-RSI_Periods +1, MATCH("Adj Close", Price_Header,0))): INDIRECT(ADDRESS(ROW($F33),MATCH("Adj Close", Price_Header,0)))))</f>
        <v>115.37325064285713</v>
      </c>
      <c r="K33" s="10">
        <f ca="1">IF(tbl_QCOM[[#This Row],[BB_Mean]]="", "", tbl_QCOM[[#This Row],[BB_Mean]]+(BB_Width*tbl_QCOM[[#This Row],[BB_Stdev]]))</f>
        <v>122.84468656261015</v>
      </c>
      <c r="L33" s="10">
        <f ca="1">IF(tbl_QCOM[[#This Row],[BB_Mean]]="", "", tbl_QCOM[[#This Row],[BB_Mean]]-(BB_Width*tbl_QCOM[[#This Row],[BB_Stdev]]))</f>
        <v>107.90181472310411</v>
      </c>
      <c r="M33" s="46">
        <f>IF(ROW(tbl_QCOM[[#This Row],[Adj Close]])=5, 0, $F33-$F32)</f>
        <v>-4.1899949999999961</v>
      </c>
      <c r="N33" s="46">
        <f>MAX(tbl_QCOM[[#This Row],[Move]],0)</f>
        <v>0</v>
      </c>
      <c r="O33" s="46">
        <f>MAX(-tbl_QCOM[[#This Row],[Move]],0)</f>
        <v>4.1899949999999961</v>
      </c>
      <c r="P33" s="46">
        <f ca="1">IF(ROW($N33)-5&lt;RSI_Periods, "", AVERAGE(INDIRECT(ADDRESS(ROW($N33)-RSI_Periods +1, MATCH("Upmove", Price_Header,0))): INDIRECT(ADDRESS(ROW($N33),MATCH("Upmove", Price_Header,0)))))</f>
        <v>1.0228358571428575</v>
      </c>
      <c r="Q33" s="46">
        <f ca="1">IF(ROW($O33)-5&lt;RSI_Periods, "", AVERAGE(INDIRECT(ADDRESS(ROW($O33)-RSI_Periods +1, MATCH("Downmove", Price_Header,0))): INDIRECT(ADDRESS(ROW($O33),MATCH("Downmove", Price_Header,0)))))</f>
        <v>1.5142854999999997</v>
      </c>
      <c r="R33" s="46">
        <f ca="1">IF(tbl_QCOM[[#This Row],[Avg_Upmove]]="", "", tbl_QCOM[[#This Row],[Avg_Upmove]]/tbl_QCOM[[#This Row],[Avg_Downmove]])</f>
        <v>0.67545773709307633</v>
      </c>
      <c r="S33" s="10">
        <f ca="1">IF(ROW($N33)-4&lt;BB_Periods, "", _xlfn.STDEV.S(INDIRECT(ADDRESS(ROW($F33)-RSI_Periods +1, MATCH("Adj Close", Price_Header,0))): INDIRECT(ADDRESS(ROW($F33),MATCH("Adj Close", Price_Header,0)))))</f>
        <v>3.7357179598765118</v>
      </c>
    </row>
    <row r="34" spans="1:19" x14ac:dyDescent="0.25">
      <c r="A34" s="8">
        <v>44095</v>
      </c>
      <c r="B34" s="10">
        <v>109.160004</v>
      </c>
      <c r="C34" s="10">
        <v>112.139999</v>
      </c>
      <c r="D34" s="10">
        <v>108.300003</v>
      </c>
      <c r="E34" s="10">
        <v>111.91999800000001</v>
      </c>
      <c r="F34" s="10">
        <v>111.91999800000001</v>
      </c>
      <c r="G34">
        <v>8197600</v>
      </c>
      <c r="H34" s="10">
        <f>IF(tbl_QCOM[[#This Row],[Date]]=$A$5, $F34, EMA_Beta*$H33 + (1-EMA_Beta)*$F34)</f>
        <v>113.76601817397562</v>
      </c>
      <c r="I34" s="46">
        <f ca="1">IF(tbl_QCOM[[#This Row],[RS]]= "", "", 100-(100/(1+tbl_QCOM[[#This Row],[RS]])))</f>
        <v>40.872117975536902</v>
      </c>
      <c r="J34" s="10">
        <f ca="1">IF(ROW($N34)-4&lt;BB_Periods, "", AVERAGE(INDIRECT(ADDRESS(ROW($F34)-RSI_Periods +1, MATCH("Adj Close", Price_Header,0))): INDIRECT(ADDRESS(ROW($F34),MATCH("Adj Close", Price_Header,0)))))</f>
        <v>114.90571421428571</v>
      </c>
      <c r="K34" s="10">
        <f ca="1">IF(tbl_QCOM[[#This Row],[BB_Mean]]="", "", tbl_QCOM[[#This Row],[BB_Mean]]+(BB_Width*tbl_QCOM[[#This Row],[BB_Stdev]]))</f>
        <v>122.36277667301854</v>
      </c>
      <c r="L34" s="10">
        <f ca="1">IF(tbl_QCOM[[#This Row],[BB_Mean]]="", "", tbl_QCOM[[#This Row],[BB_Mean]]-(BB_Width*tbl_QCOM[[#This Row],[BB_Stdev]]))</f>
        <v>107.44865175555287</v>
      </c>
      <c r="M34" s="46">
        <f>IF(ROW(tbl_QCOM[[#This Row],[Adj Close]])=5, 0, $F34-$F33)</f>
        <v>1.2299959999999999</v>
      </c>
      <c r="N34" s="46">
        <f>MAX(tbl_QCOM[[#This Row],[Move]],0)</f>
        <v>1.2299959999999999</v>
      </c>
      <c r="O34" s="46">
        <f>MAX(-tbl_QCOM[[#This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1.0467490714285717</v>
      </c>
      <c r="Q34" s="46">
        <f ca="1">IF(ROW($O34)-5&lt;RSI_Periods, "", AVERAGE(INDIRECT(ADDRESS(ROW($O34)-RSI_Periods +1, MATCH("Downmove", Price_Header,0))): INDIRECT(ADDRESS(ROW($O34),MATCH("Downmove", Price_Header,0)))))</f>
        <v>1.5142854999999997</v>
      </c>
      <c r="R34" s="46">
        <f ca="1">IF(tbl_QCOM[[#This Row],[Avg_Upmove]]="", "", tbl_QCOM[[#This Row],[Avg_Upmove]]/tbl_QCOM[[#This Row],[Avg_Downmove]])</f>
        <v>0.6912494846107764</v>
      </c>
      <c r="S34" s="10">
        <f ca="1">IF(ROW($N34)-4&lt;BB_Periods, "", _xlfn.STDEV.S(INDIRECT(ADDRESS(ROW($F34)-RSI_Periods +1, MATCH("Adj Close", Price_Header,0))): INDIRECT(ADDRESS(ROW($F34),MATCH("Adj Close", Price_Header,0)))))</f>
        <v>3.7285312293664146</v>
      </c>
    </row>
    <row r="35" spans="1:19" x14ac:dyDescent="0.25">
      <c r="A35" s="8">
        <v>44096</v>
      </c>
      <c r="B35" s="10">
        <v>112.610001</v>
      </c>
      <c r="C35" s="10">
        <v>114.25</v>
      </c>
      <c r="D35" s="10">
        <v>110.41999800000001</v>
      </c>
      <c r="E35" s="10">
        <v>113.82</v>
      </c>
      <c r="F35" s="10">
        <v>113.82</v>
      </c>
      <c r="G35">
        <v>6911200</v>
      </c>
      <c r="H35" s="10">
        <f>IF(tbl_QCOM[[#This Row],[Date]]=$A$5, $F35, EMA_Beta*$H34 + (1-EMA_Beta)*$F35)</f>
        <v>113.77141635657806</v>
      </c>
      <c r="I35" s="46">
        <f ca="1">IF(tbl_QCOM[[#This Row],[RS]]= "", "", 100-(100/(1+tbl_QCOM[[#This Row],[RS]])))</f>
        <v>39.185296861564993</v>
      </c>
      <c r="J35" s="10">
        <f ca="1">IF(ROW($N35)-4&lt;BB_Periods, "", AVERAGE(INDIRECT(ADDRESS(ROW($F35)-RSI_Periods +1, MATCH("Adj Close", Price_Header,0))): INDIRECT(ADDRESS(ROW($F35),MATCH("Adj Close", Price_Header,0)))))</f>
        <v>114.36714221428572</v>
      </c>
      <c r="K35" s="10">
        <f ca="1">IF(tbl_QCOM[[#This Row],[BB_Mean]]="", "", tbl_QCOM[[#This Row],[BB_Mean]]+(BB_Width*tbl_QCOM[[#This Row],[BB_Stdev]]))</f>
        <v>120.84040833943827</v>
      </c>
      <c r="L35" s="10">
        <f ca="1">IF(tbl_QCOM[[#This Row],[BB_Mean]]="", "", tbl_QCOM[[#This Row],[BB_Mean]]-(BB_Width*tbl_QCOM[[#This Row],[BB_Stdev]]))</f>
        <v>107.89387608913317</v>
      </c>
      <c r="M35" s="46">
        <f>IF(ROW(tbl_QCOM[[#This Row],[Adj Close]])=5, 0, $F35-$F34)</f>
        <v>1.9000019999999864</v>
      </c>
      <c r="N35" s="46">
        <f>MAX(tbl_QCOM[[#This Row],[Move]],0)</f>
        <v>1.9000019999999864</v>
      </c>
      <c r="O35" s="46">
        <f>MAX(-tbl_QCOM[[#This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0.97571349999999968</v>
      </c>
      <c r="Q35" s="46">
        <f ca="1">IF(ROW($O35)-5&lt;RSI_Periods, "", AVERAGE(INDIRECT(ADDRESS(ROW($O35)-RSI_Periods +1, MATCH("Downmove", Price_Header,0))): INDIRECT(ADDRESS(ROW($O35),MATCH("Downmove", Price_Header,0)))))</f>
        <v>1.5142854999999997</v>
      </c>
      <c r="R35" s="46">
        <f ca="1">IF(tbl_QCOM[[#This Row],[Avg_Upmove]]="", "", tbl_QCOM[[#This Row],[Avg_Upmove]]/tbl_QCOM[[#This Row],[Avg_Downmove]])</f>
        <v>0.64433919495365954</v>
      </c>
      <c r="S35" s="10">
        <f ca="1">IF(ROW($N35)-4&lt;BB_Periods, "", _xlfn.STDEV.S(INDIRECT(ADDRESS(ROW($F35)-RSI_Periods +1, MATCH("Adj Close", Price_Header,0))): INDIRECT(ADDRESS(ROW($F35),MATCH("Adj Close", Price_Header,0)))))</f>
        <v>3.2366330625762738</v>
      </c>
    </row>
    <row r="36" spans="1:19" x14ac:dyDescent="0.25">
      <c r="A36" s="8">
        <v>44097</v>
      </c>
      <c r="B36" s="10">
        <v>113.639999</v>
      </c>
      <c r="C36" s="10">
        <v>113.93</v>
      </c>
      <c r="D36" s="10">
        <v>110.07</v>
      </c>
      <c r="E36" s="10">
        <v>110.57</v>
      </c>
      <c r="F36" s="10">
        <v>110.57</v>
      </c>
      <c r="G36">
        <v>6553300</v>
      </c>
      <c r="H36" s="10">
        <f>IF(tbl_QCOM[[#This Row],[Date]]=$A$5, $F36, EMA_Beta*$H35 + (1-EMA_Beta)*$F36)</f>
        <v>113.45127472092025</v>
      </c>
      <c r="I36" s="46">
        <f ca="1">IF(tbl_QCOM[[#This Row],[RS]]= "", "", 100-(100/(1+tbl_QCOM[[#This Row],[RS]])))</f>
        <v>32.626064914753059</v>
      </c>
      <c r="J36" s="10">
        <f ca="1">IF(ROW($N36)-4&lt;BB_Periods, "", AVERAGE(INDIRECT(ADDRESS(ROW($F36)-RSI_Periods +1, MATCH("Adj Close", Price_Header,0))): INDIRECT(ADDRESS(ROW($F36),MATCH("Adj Close", Price_Header,0)))))</f>
        <v>113.46642792857143</v>
      </c>
      <c r="K36" s="10">
        <f ca="1">IF(tbl_QCOM[[#This Row],[BB_Mean]]="", "", tbl_QCOM[[#This Row],[BB_Mean]]+(BB_Width*tbl_QCOM[[#This Row],[BB_Stdev]]))</f>
        <v>117.81929209844088</v>
      </c>
      <c r="L36" s="10">
        <f ca="1">IF(tbl_QCOM[[#This Row],[BB_Mean]]="", "", tbl_QCOM[[#This Row],[BB_Mean]]-(BB_Width*tbl_QCOM[[#This Row],[BB_Stdev]]))</f>
        <v>109.11356375870199</v>
      </c>
      <c r="M36" s="46">
        <f>IF(ROW(tbl_QCOM[[#This Row],[Adj Close]])=5, 0, $F36-$F35)</f>
        <v>-3.25</v>
      </c>
      <c r="N36" s="46">
        <f>MAX(tbl_QCOM[[#This Row],[Move]],0)</f>
        <v>0</v>
      </c>
      <c r="O36" s="46">
        <f>MAX(-tbl_QCOM[[#This Row],[Move]],0)</f>
        <v>3.25</v>
      </c>
      <c r="P36" s="46">
        <f ca="1">IF(ROW($N36)-5&lt;RSI_Periods, "", AVERAGE(INDIRECT(ADDRESS(ROW($N36)-RSI_Periods +1, MATCH("Upmove", Price_Header,0))): INDIRECT(ADDRESS(ROW($N36),MATCH("Upmove", Price_Header,0)))))</f>
        <v>0.84571407142857014</v>
      </c>
      <c r="Q36" s="46">
        <f ca="1">IF(ROW($O36)-5&lt;RSI_Periods, "", AVERAGE(INDIRECT(ADDRESS(ROW($O36)-RSI_Periods +1, MATCH("Downmove", Price_Header,0))): INDIRECT(ADDRESS(ROW($O36),MATCH("Downmove", Price_Header,0)))))</f>
        <v>1.7464283571428569</v>
      </c>
      <c r="R36" s="46">
        <f ca="1">IF(tbl_QCOM[[#This Row],[Avg_Upmove]]="", "", tbl_QCOM[[#This Row],[Avg_Upmove]]/tbl_QCOM[[#This Row],[Avg_Downmove]])</f>
        <v>0.48425351545032841</v>
      </c>
      <c r="S36" s="10">
        <f ca="1">IF(ROW($N36)-4&lt;BB_Periods, "", _xlfn.STDEV.S(INDIRECT(ADDRESS(ROW($F36)-RSI_Periods +1, MATCH("Adj Close", Price_Header,0))): INDIRECT(ADDRESS(ROW($F36),MATCH("Adj Close", Price_Header,0)))))</f>
        <v>2.1764320849347207</v>
      </c>
    </row>
    <row r="37" spans="1:19" x14ac:dyDescent="0.25">
      <c r="A37" s="8">
        <v>44098</v>
      </c>
      <c r="B37" s="10">
        <v>109.389999</v>
      </c>
      <c r="C37" s="10">
        <v>113.290001</v>
      </c>
      <c r="D37" s="10">
        <v>109.239998</v>
      </c>
      <c r="E37" s="10">
        <v>112.19000200000001</v>
      </c>
      <c r="F37" s="10">
        <v>112.19000200000001</v>
      </c>
      <c r="G37">
        <v>6849000</v>
      </c>
      <c r="H37" s="10">
        <f>IF(tbl_QCOM[[#This Row],[Date]]=$A$5, $F37, EMA_Beta*$H36 + (1-EMA_Beta)*$F37)</f>
        <v>113.32514744882823</v>
      </c>
      <c r="I37" s="46">
        <f ca="1">IF(tbl_QCOM[[#This Row],[RS]]= "", "", 100-(100/(1+tbl_QCOM[[#This Row],[RS]])))</f>
        <v>43.196407984134531</v>
      </c>
      <c r="J37" s="10">
        <f ca="1">IF(ROW($N37)-4&lt;BB_Periods, "", AVERAGE(INDIRECT(ADDRESS(ROW($F37)-RSI_Periods +1, MATCH("Adj Close", Price_Header,0))): INDIRECT(ADDRESS(ROW($F37),MATCH("Adj Close", Price_Header,0)))))</f>
        <v>113.16357092857143</v>
      </c>
      <c r="K37" s="10">
        <f ca="1">IF(tbl_QCOM[[#This Row],[BB_Mean]]="", "", tbl_QCOM[[#This Row],[BB_Mean]]+(BB_Width*tbl_QCOM[[#This Row],[BB_Stdev]]))</f>
        <v>117.20723745665533</v>
      </c>
      <c r="L37" s="10">
        <f ca="1">IF(tbl_QCOM[[#This Row],[BB_Mean]]="", "", tbl_QCOM[[#This Row],[BB_Mean]]-(BB_Width*tbl_QCOM[[#This Row],[BB_Stdev]]))</f>
        <v>109.11990440048753</v>
      </c>
      <c r="M37" s="46">
        <f>IF(ROW(tbl_QCOM[[#This Row],[Adj Close]])=5, 0, $F37-$F36)</f>
        <v>1.6200020000000137</v>
      </c>
      <c r="N37" s="46">
        <f>MAX(tbl_QCOM[[#This Row],[Move]],0)</f>
        <v>1.6200020000000137</v>
      </c>
      <c r="O37" s="46">
        <f>MAX(-tbl_QCOM[[#This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0.96142849999999969</v>
      </c>
      <c r="Q37" s="46">
        <f ca="1">IF(ROW($O37)-5&lt;RSI_Periods, "", AVERAGE(INDIRECT(ADDRESS(ROW($O37)-RSI_Periods +1, MATCH("Downmove", Price_Header,0))): INDIRECT(ADDRESS(ROW($O37),MATCH("Downmove", Price_Header,0)))))</f>
        <v>1.2642854999999997</v>
      </c>
      <c r="R37" s="46">
        <f ca="1">IF(tbl_QCOM[[#This Row],[Avg_Upmove]]="", "", tbl_QCOM[[#This Row],[Avg_Upmove]]/tbl_QCOM[[#This Row],[Avg_Downmove]])</f>
        <v>0.76045204979413261</v>
      </c>
      <c r="S37" s="10">
        <f ca="1">IF(ROW($N37)-4&lt;BB_Periods, "", _xlfn.STDEV.S(INDIRECT(ADDRESS(ROW($F37)-RSI_Periods +1, MATCH("Adj Close", Price_Header,0))): INDIRECT(ADDRESS(ROW($F37),MATCH("Adj Close", Price_Header,0)))))</f>
        <v>2.0218332640419492</v>
      </c>
    </row>
    <row r="38" spans="1:19" x14ac:dyDescent="0.25">
      <c r="A38" s="8">
        <v>44099</v>
      </c>
      <c r="B38" s="10">
        <v>113.550003</v>
      </c>
      <c r="C38" s="10">
        <v>115.75</v>
      </c>
      <c r="D38" s="10">
        <v>111.800003</v>
      </c>
      <c r="E38" s="10">
        <v>114.5</v>
      </c>
      <c r="F38" s="10">
        <v>114.5</v>
      </c>
      <c r="G38">
        <v>11718000</v>
      </c>
      <c r="H38" s="10">
        <f>IF(tbl_QCOM[[#This Row],[Date]]=$A$5, $F38, EMA_Beta*$H37 + (1-EMA_Beta)*$F38)</f>
        <v>113.44263270394542</v>
      </c>
      <c r="I38" s="46">
        <f ca="1">IF(tbl_QCOM[[#This Row],[RS]]= "", "", 100-(100/(1+tbl_QCOM[[#This Row],[RS]])))</f>
        <v>47.773400147440192</v>
      </c>
      <c r="J38" s="10">
        <f ca="1">IF(ROW($N38)-4&lt;BB_Periods, "", AVERAGE(INDIRECT(ADDRESS(ROW($F38)-RSI_Periods +1, MATCH("Adj Close", Price_Header,0))): INDIRECT(ADDRESS(ROW($F38),MATCH("Adj Close", Price_Header,0)))))</f>
        <v>113.05857085714285</v>
      </c>
      <c r="K38" s="10">
        <f ca="1">IF(tbl_QCOM[[#This Row],[BB_Mean]]="", "", tbl_QCOM[[#This Row],[BB_Mean]]+(BB_Width*tbl_QCOM[[#This Row],[BB_Stdev]]))</f>
        <v>116.85724145155493</v>
      </c>
      <c r="L38" s="10">
        <f ca="1">IF(tbl_QCOM[[#This Row],[BB_Mean]]="", "", tbl_QCOM[[#This Row],[BB_Mean]]-(BB_Width*tbl_QCOM[[#This Row],[BB_Stdev]]))</f>
        <v>109.25990026273078</v>
      </c>
      <c r="M38" s="46">
        <f>IF(ROW(tbl_QCOM[[#This Row],[Adj Close]])=5, 0, $F38-$F37)</f>
        <v>2.3099979999999931</v>
      </c>
      <c r="N38" s="46">
        <f>MAX(tbl_QCOM[[#This Row],[Move]],0)</f>
        <v>2.3099979999999931</v>
      </c>
      <c r="O38" s="46">
        <f>MAX(-tbl_QCOM[[#This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1.1264283571428564</v>
      </c>
      <c r="Q38" s="46">
        <f ca="1">IF(ROW($O38)-5&lt;RSI_Periods, "", AVERAGE(INDIRECT(ADDRESS(ROW($O38)-RSI_Periods +1, MATCH("Downmove", Price_Header,0))): INDIRECT(ADDRESS(ROW($O38),MATCH("Downmove", Price_Header,0)))))</f>
        <v>1.2314284285714276</v>
      </c>
      <c r="R38" s="46">
        <f ca="1">IF(tbl_QCOM[[#This Row],[Avg_Upmove]]="", "", tbl_QCOM[[#This Row],[Avg_Upmove]]/tbl_QCOM[[#This Row],[Avg_Downmove]])</f>
        <v>0.91473311075790154</v>
      </c>
      <c r="S38" s="10">
        <f ca="1">IF(ROW($N38)-4&lt;BB_Periods, "", _xlfn.STDEV.S(INDIRECT(ADDRESS(ROW($F38)-RSI_Periods +1, MATCH("Adj Close", Price_Header,0))): INDIRECT(ADDRESS(ROW($F38),MATCH("Adj Close", Price_Header,0)))))</f>
        <v>1.8993352972060353</v>
      </c>
    </row>
    <row r="39" spans="1:19" x14ac:dyDescent="0.25">
      <c r="A39" s="8">
        <v>44102</v>
      </c>
      <c r="B39" s="10">
        <v>115.959999</v>
      </c>
      <c r="C39" s="10">
        <v>118.739998</v>
      </c>
      <c r="D39" s="10">
        <v>114.91999800000001</v>
      </c>
      <c r="E39" s="10">
        <v>118.470001</v>
      </c>
      <c r="F39" s="10">
        <v>118.470001</v>
      </c>
      <c r="G39">
        <v>9043600</v>
      </c>
      <c r="H39" s="10">
        <f>IF(tbl_QCOM[[#This Row],[Date]]=$A$5, $F39, EMA_Beta*$H38 + (1-EMA_Beta)*$F39)</f>
        <v>113.94536953355089</v>
      </c>
      <c r="I39" s="46">
        <f ca="1">IF(tbl_QCOM[[#This Row],[RS]]= "", "", 100-(100/(1+tbl_QCOM[[#This Row],[RS]])))</f>
        <v>64.132563777144583</v>
      </c>
      <c r="J39" s="10">
        <f ca="1">IF(ROW($N39)-4&lt;BB_Periods, "", AVERAGE(INDIRECT(ADDRESS(ROW($F39)-RSI_Periods +1, MATCH("Adj Close", Price_Header,0))): INDIRECT(ADDRESS(ROW($F39),MATCH("Adj Close", Price_Header,0)))))</f>
        <v>113.6799997142857</v>
      </c>
      <c r="K39" s="10">
        <f ca="1">IF(tbl_QCOM[[#This Row],[BB_Mean]]="", "", tbl_QCOM[[#This Row],[BB_Mean]]+(BB_Width*tbl_QCOM[[#This Row],[BB_Stdev]]))</f>
        <v>117.97524195013571</v>
      </c>
      <c r="L39" s="10">
        <f ca="1">IF(tbl_QCOM[[#This Row],[BB_Mean]]="", "", tbl_QCOM[[#This Row],[BB_Mean]]-(BB_Width*tbl_QCOM[[#This Row],[BB_Stdev]]))</f>
        <v>109.38475747843569</v>
      </c>
      <c r="M39" s="46">
        <f>IF(ROW(tbl_QCOM[[#This Row],[Adj Close]])=5, 0, $F39-$F38)</f>
        <v>3.9700009999999963</v>
      </c>
      <c r="N39" s="46">
        <f>MAX(tbl_QCOM[[#This Row],[Move]],0)</f>
        <v>3.9700009999999963</v>
      </c>
      <c r="O39" s="46">
        <f>MAX(-tbl_QCOM[[#This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1.409999857142856</v>
      </c>
      <c r="Q39" s="46">
        <f ca="1">IF(ROW($O39)-5&lt;RSI_Periods, "", AVERAGE(INDIRECT(ADDRESS(ROW($O39)-RSI_Periods +1, MATCH("Downmove", Price_Header,0))): INDIRECT(ADDRESS(ROW($O39),MATCH("Downmove", Price_Header,0)))))</f>
        <v>0.78857099999999947</v>
      </c>
      <c r="R39" s="46">
        <f ca="1">IF(tbl_QCOM[[#This Row],[Avg_Upmove]]="", "", tbl_QCOM[[#This Row],[Avg_Upmove]]/tbl_QCOM[[#This Row],[Avg_Downmove]])</f>
        <v>1.7880442688646387</v>
      </c>
      <c r="S39" s="10">
        <f ca="1">IF(ROW($N39)-4&lt;BB_Periods, "", _xlfn.STDEV.S(INDIRECT(ADDRESS(ROW($F39)-RSI_Periods +1, MATCH("Adj Close", Price_Header,0))): INDIRECT(ADDRESS(ROW($F39),MATCH("Adj Close", Price_Header,0)))))</f>
        <v>2.1476211179250031</v>
      </c>
    </row>
    <row r="40" spans="1:19" x14ac:dyDescent="0.25">
      <c r="A40" s="8">
        <v>44103</v>
      </c>
      <c r="B40" s="10">
        <v>118.139999</v>
      </c>
      <c r="C40" s="10">
        <v>119.25</v>
      </c>
      <c r="D40" s="10">
        <v>117.199997</v>
      </c>
      <c r="E40" s="10">
        <v>117.379997</v>
      </c>
      <c r="F40" s="10">
        <v>117.379997</v>
      </c>
      <c r="G40">
        <v>5655700</v>
      </c>
      <c r="H40" s="10">
        <f>IF(tbl_QCOM[[#This Row],[Date]]=$A$5, $F40, EMA_Beta*$H39 + (1-EMA_Beta)*$F40)</f>
        <v>114.28883228019581</v>
      </c>
      <c r="I40" s="46">
        <f ca="1">IF(tbl_QCOM[[#This Row],[RS]]= "", "", 100-(100/(1+tbl_QCOM[[#This Row],[RS]])))</f>
        <v>56.08254975851554</v>
      </c>
      <c r="J40" s="10">
        <f ca="1">IF(ROW($N40)-4&lt;BB_Periods, "", AVERAGE(INDIRECT(ADDRESS(ROW($F40)-RSI_Periods +1, MATCH("Adj Close", Price_Header,0))): INDIRECT(ADDRESS(ROW($F40),MATCH("Adj Close", Price_Header,0)))))</f>
        <v>113.91999971428571</v>
      </c>
      <c r="K40" s="10">
        <f ca="1">IF(tbl_QCOM[[#This Row],[BB_Mean]]="", "", tbl_QCOM[[#This Row],[BB_Mean]]+(BB_Width*tbl_QCOM[[#This Row],[BB_Stdev]]))</f>
        <v>118.65050873942639</v>
      </c>
      <c r="L40" s="10">
        <f ca="1">IF(tbl_QCOM[[#This Row],[BB_Mean]]="", "", tbl_QCOM[[#This Row],[BB_Mean]]-(BB_Width*tbl_QCOM[[#This Row],[BB_Stdev]]))</f>
        <v>109.18949068914503</v>
      </c>
      <c r="M40" s="46">
        <f>IF(ROW(tbl_QCOM[[#This Row],[Adj Close]])=5, 0, $F40-$F39)</f>
        <v>-1.0900039999999933</v>
      </c>
      <c r="N40" s="46">
        <f>MAX(tbl_QCOM[[#This Row],[Move]],0)</f>
        <v>0</v>
      </c>
      <c r="O40" s="46">
        <f>MAX(-tbl_QCOM[[#This Row],[Move]],0)</f>
        <v>1.0900039999999933</v>
      </c>
      <c r="P40" s="46">
        <f ca="1">IF(ROW($N40)-5&lt;RSI_Periods, "", AVERAGE(INDIRECT(ADDRESS(ROW($N40)-RSI_Periods +1, MATCH("Upmove", Price_Header,0))): INDIRECT(ADDRESS(ROW($N40),MATCH("Upmove", Price_Header,0)))))</f>
        <v>1.1064284285714276</v>
      </c>
      <c r="Q40" s="46">
        <f ca="1">IF(ROW($O40)-5&lt;RSI_Periods, "", AVERAGE(INDIRECT(ADDRESS(ROW($O40)-RSI_Periods +1, MATCH("Downmove", Price_Header,0))): INDIRECT(ADDRESS(ROW($O40),MATCH("Downmove", Price_Header,0)))))</f>
        <v>0.86642842857142754</v>
      </c>
      <c r="R40" s="46">
        <f ca="1">IF(tbl_QCOM[[#This Row],[Avg_Upmove]]="", "", tbl_QCOM[[#This Row],[Avg_Upmove]]/tbl_QCOM[[#This Row],[Avg_Downmove]])</f>
        <v>1.2769992212694516</v>
      </c>
      <c r="S40" s="10">
        <f ca="1">IF(ROW($N40)-4&lt;BB_Periods, "", _xlfn.STDEV.S(INDIRECT(ADDRESS(ROW($F40)-RSI_Periods +1, MATCH("Adj Close", Price_Header,0))): INDIRECT(ADDRESS(ROW($F40),MATCH("Adj Close", Price_Header,0)))))</f>
        <v>2.3652545125703415</v>
      </c>
    </row>
    <row r="41" spans="1:19" x14ac:dyDescent="0.25">
      <c r="A41" s="8">
        <v>44104</v>
      </c>
      <c r="B41" s="10">
        <v>117.5</v>
      </c>
      <c r="C41" s="10">
        <v>119.260002</v>
      </c>
      <c r="D41" s="10">
        <v>116.91999800000001</v>
      </c>
      <c r="E41" s="10">
        <v>117.68</v>
      </c>
      <c r="F41" s="10">
        <v>117.68</v>
      </c>
      <c r="G41">
        <v>5828000</v>
      </c>
      <c r="H41" s="10">
        <f>IF(tbl_QCOM[[#This Row],[Date]]=$A$5, $F41, EMA_Beta*$H40 + (1-EMA_Beta)*$F41)</f>
        <v>114.62794905217623</v>
      </c>
      <c r="I41" s="46">
        <f ca="1">IF(tbl_QCOM[[#This Row],[RS]]= "", "", 100-(100/(1+tbl_QCOM[[#This Row],[RS]])))</f>
        <v>59.946843591975167</v>
      </c>
      <c r="J41" s="10">
        <f ca="1">IF(ROW($N41)-4&lt;BB_Periods, "", AVERAGE(INDIRECT(ADDRESS(ROW($F41)-RSI_Periods +1, MATCH("Adj Close", Price_Header,0))): INDIRECT(ADDRESS(ROW($F41),MATCH("Adj Close", Price_Header,0)))))</f>
        <v>114.29428528571428</v>
      </c>
      <c r="K41" s="10">
        <f ca="1">IF(tbl_QCOM[[#This Row],[BB_Mean]]="", "", tbl_QCOM[[#This Row],[BB_Mean]]+(BB_Width*tbl_QCOM[[#This Row],[BB_Stdev]]))</f>
        <v>119.33911597094546</v>
      </c>
      <c r="L41" s="10">
        <f ca="1">IF(tbl_QCOM[[#This Row],[BB_Mean]]="", "", tbl_QCOM[[#This Row],[BB_Mean]]-(BB_Width*tbl_QCOM[[#This Row],[BB_Stdev]]))</f>
        <v>109.24945460048311</v>
      </c>
      <c r="M41" s="46">
        <f>IF(ROW(tbl_QCOM[[#This Row],[Adj Close]])=5, 0, $F41-$F40)</f>
        <v>0.30000300000000379</v>
      </c>
      <c r="N41" s="46">
        <f>MAX(tbl_QCOM[[#This Row],[Move]],0)</f>
        <v>0.30000300000000379</v>
      </c>
      <c r="O41" s="46">
        <f>MAX(-tbl_QCOM[[#This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1.1278572142857135</v>
      </c>
      <c r="Q41" s="46">
        <f ca="1">IF(ROW($O41)-5&lt;RSI_Periods, "", AVERAGE(INDIRECT(ADDRESS(ROW($O41)-RSI_Periods +1, MATCH("Downmove", Price_Header,0))): INDIRECT(ADDRESS(ROW($O41),MATCH("Downmove", Price_Header,0)))))</f>
        <v>0.75357164285714207</v>
      </c>
      <c r="R41" s="46">
        <f ca="1">IF(tbl_QCOM[[#This Row],[Avg_Upmove]]="", "", tbl_QCOM[[#This Row],[Avg_Upmove]]/tbl_QCOM[[#This Row],[Avg_Downmove]])</f>
        <v>1.4966821336448914</v>
      </c>
      <c r="S41" s="10">
        <f ca="1">IF(ROW($N41)-4&lt;BB_Periods, "", _xlfn.STDEV.S(INDIRECT(ADDRESS(ROW($F41)-RSI_Periods +1, MATCH("Adj Close", Price_Header,0))): INDIRECT(ADDRESS(ROW($F41),MATCH("Adj Close", Price_Header,0)))))</f>
        <v>2.5224153426155898</v>
      </c>
    </row>
    <row r="42" spans="1:19" x14ac:dyDescent="0.25">
      <c r="A42" s="8">
        <v>44105</v>
      </c>
      <c r="B42" s="10">
        <v>119.93</v>
      </c>
      <c r="C42" s="10">
        <v>120.209999</v>
      </c>
      <c r="D42" s="10">
        <v>117.699997</v>
      </c>
      <c r="E42" s="10">
        <v>119.519997</v>
      </c>
      <c r="F42" s="10">
        <v>119.519997</v>
      </c>
      <c r="G42">
        <v>5316800</v>
      </c>
      <c r="H42" s="10">
        <f>IF(tbl_QCOM[[#This Row],[Date]]=$A$5, $F42, EMA_Beta*$H41 + (1-EMA_Beta)*$F42)</f>
        <v>115.11715384695862</v>
      </c>
      <c r="I42" s="46">
        <f ca="1">IF(tbl_QCOM[[#This Row],[RS]]= "", "", 100-(100/(1+tbl_QCOM[[#This Row],[RS]])))</f>
        <v>61.213231394626582</v>
      </c>
      <c r="J42" s="10">
        <f ca="1">IF(ROW($N42)-4&lt;BB_Periods, "", AVERAGE(INDIRECT(ADDRESS(ROW($F42)-RSI_Periods +1, MATCH("Adj Close", Price_Header,0))): INDIRECT(ADDRESS(ROW($F42),MATCH("Adj Close", Price_Header,0)))))</f>
        <v>114.72999949999999</v>
      </c>
      <c r="K42" s="10">
        <f ca="1">IF(tbl_QCOM[[#This Row],[BB_Mean]]="", "", tbl_QCOM[[#This Row],[BB_Mean]]+(BB_Width*tbl_QCOM[[#This Row],[BB_Stdev]]))</f>
        <v>120.45711066546137</v>
      </c>
      <c r="L42" s="10">
        <f ca="1">IF(tbl_QCOM[[#This Row],[BB_Mean]]="", "", tbl_QCOM[[#This Row],[BB_Mean]]-(BB_Width*tbl_QCOM[[#This Row],[BB_Stdev]]))</f>
        <v>109.00288833453861</v>
      </c>
      <c r="M42" s="46">
        <f>IF(ROW(tbl_QCOM[[#This Row],[Adj Close]])=5, 0, $F42-$F41)</f>
        <v>1.8399969999999968</v>
      </c>
      <c r="N42" s="46">
        <f>MAX(tbl_QCOM[[#This Row],[Move]],0)</f>
        <v>1.8399969999999968</v>
      </c>
      <c r="O42" s="46">
        <f>MAX(-tbl_QCOM[[#This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1.1892858571428562</v>
      </c>
      <c r="Q42" s="46">
        <f ca="1">IF(ROW($O42)-5&lt;RSI_Periods, "", AVERAGE(INDIRECT(ADDRESS(ROW($O42)-RSI_Periods +1, MATCH("Downmove", Price_Header,0))): INDIRECT(ADDRESS(ROW($O42),MATCH("Downmove", Price_Header,0)))))</f>
        <v>0.75357164285714207</v>
      </c>
      <c r="R42" s="46">
        <f ca="1">IF(tbl_QCOM[[#This Row],[Avg_Upmove]]="", "", tbl_QCOM[[#This Row],[Avg_Upmove]]/tbl_QCOM[[#This Row],[Avg_Downmove]])</f>
        <v>1.5781987929292536</v>
      </c>
      <c r="S42" s="10">
        <f ca="1">IF(ROW($N42)-4&lt;BB_Periods, "", _xlfn.STDEV.S(INDIRECT(ADDRESS(ROW($F42)-RSI_Periods +1, MATCH("Adj Close", Price_Header,0))): INDIRECT(ADDRESS(ROW($F42),MATCH("Adj Close", Price_Header,0)))))</f>
        <v>2.863555582730692</v>
      </c>
    </row>
    <row r="43" spans="1:19" x14ac:dyDescent="0.25">
      <c r="A43" s="8">
        <v>44106</v>
      </c>
      <c r="B43" s="10">
        <v>116.779999</v>
      </c>
      <c r="C43" s="10">
        <v>118.660004</v>
      </c>
      <c r="D43" s="10">
        <v>115.43</v>
      </c>
      <c r="E43" s="10">
        <v>115.470001</v>
      </c>
      <c r="F43" s="10">
        <v>115.470001</v>
      </c>
      <c r="G43">
        <v>5834300</v>
      </c>
      <c r="H43" s="10">
        <f>IF(tbl_QCOM[[#This Row],[Date]]=$A$5, $F43, EMA_Beta*$H42 + (1-EMA_Beta)*$F43)</f>
        <v>115.15243856226274</v>
      </c>
      <c r="I43" s="46">
        <f ca="1">IF(tbl_QCOM[[#This Row],[RS]]= "", "", 100-(100/(1+tbl_QCOM[[#This Row],[RS]])))</f>
        <v>53.220124959948734</v>
      </c>
      <c r="J43" s="10">
        <f ca="1">IF(ROW($N43)-4&lt;BB_Periods, "", AVERAGE(INDIRECT(ADDRESS(ROW($F43)-RSI_Periods +1, MATCH("Adj Close", Price_Header,0))): INDIRECT(ADDRESS(ROW($F43),MATCH("Adj Close", Price_Header,0)))))</f>
        <v>114.87357107142857</v>
      </c>
      <c r="K43" s="10">
        <f ca="1">IF(tbl_QCOM[[#This Row],[BB_Mean]]="", "", tbl_QCOM[[#This Row],[BB_Mean]]+(BB_Width*tbl_QCOM[[#This Row],[BB_Stdev]]))</f>
        <v>120.56419708226247</v>
      </c>
      <c r="L43" s="10">
        <f ca="1">IF(tbl_QCOM[[#This Row],[BB_Mean]]="", "", tbl_QCOM[[#This Row],[BB_Mean]]-(BB_Width*tbl_QCOM[[#This Row],[BB_Stdev]]))</f>
        <v>109.18294506059468</v>
      </c>
      <c r="M43" s="46">
        <f>IF(ROW(tbl_QCOM[[#This Row],[Adj Close]])=5, 0, $F43-$F42)</f>
        <v>-4.0499960000000073</v>
      </c>
      <c r="N43" s="46">
        <f>MAX(tbl_QCOM[[#This Row],[Move]],0)</f>
        <v>0</v>
      </c>
      <c r="O43" s="46">
        <f>MAX(-tbl_QCOM[[#This Row],[Move]],0)</f>
        <v>4.0499960000000073</v>
      </c>
      <c r="P43" s="46">
        <f ca="1">IF(ROW($N43)-5&lt;RSI_Periods, "", AVERAGE(INDIRECT(ADDRESS(ROW($N43)-RSI_Periods +1, MATCH("Upmove", Price_Header,0))): INDIRECT(ADDRESS(ROW($N43),MATCH("Upmove", Price_Header,0)))))</f>
        <v>1.1864286428571427</v>
      </c>
      <c r="Q43" s="46">
        <f ca="1">IF(ROW($O43)-5&lt;RSI_Periods, "", AVERAGE(INDIRECT(ADDRESS(ROW($O43)-RSI_Periods +1, MATCH("Downmove", Price_Header,0))): INDIRECT(ADDRESS(ROW($O43),MATCH("Downmove", Price_Header,0)))))</f>
        <v>1.0428570714285712</v>
      </c>
      <c r="R43" s="46">
        <f ca="1">IF(tbl_QCOM[[#This Row],[Avg_Upmove]]="", "", tbl_QCOM[[#This Row],[Avg_Upmove]]/tbl_QCOM[[#This Row],[Avg_Downmove]])</f>
        <v>1.1376713792925603</v>
      </c>
      <c r="S43" s="10">
        <f ca="1">IF(ROW($N43)-4&lt;BB_Periods, "", _xlfn.STDEV.S(INDIRECT(ADDRESS(ROW($F43)-RSI_Periods +1, MATCH("Adj Close", Price_Header,0))): INDIRECT(ADDRESS(ROW($F43),MATCH("Adj Close", Price_Header,0)))))</f>
        <v>2.8453130054169509</v>
      </c>
    </row>
    <row r="44" spans="1:19" x14ac:dyDescent="0.25">
      <c r="A44" s="8">
        <v>44109</v>
      </c>
      <c r="B44" s="10">
        <v>116.900002</v>
      </c>
      <c r="C44" s="10">
        <v>120.650002</v>
      </c>
      <c r="D44" s="10">
        <v>116.730003</v>
      </c>
      <c r="E44" s="10">
        <v>120.519997</v>
      </c>
      <c r="F44" s="10">
        <v>120.519997</v>
      </c>
      <c r="G44">
        <v>5835900</v>
      </c>
      <c r="H44" s="10">
        <f>IF(tbl_QCOM[[#This Row],[Date]]=$A$5, $F44, EMA_Beta*$H43 + (1-EMA_Beta)*$F44)</f>
        <v>115.68919440603646</v>
      </c>
      <c r="I44" s="46">
        <f ca="1">IF(tbl_QCOM[[#This Row],[RS]]= "", "", 100-(100/(1+tbl_QCOM[[#This Row],[RS]])))</f>
        <v>55.944471684106887</v>
      </c>
      <c r="J44" s="10">
        <f ca="1">IF(ROW($N44)-4&lt;BB_Periods, "", AVERAGE(INDIRECT(ADDRESS(ROW($F44)-RSI_Periods +1, MATCH("Adj Close", Price_Header,0))): INDIRECT(ADDRESS(ROW($F44),MATCH("Adj Close", Price_Header,0)))))</f>
        <v>115.15499928571431</v>
      </c>
      <c r="K44" s="10">
        <f ca="1">IF(tbl_QCOM[[#This Row],[BB_Mean]]="", "", tbl_QCOM[[#This Row],[BB_Mean]]+(BB_Width*tbl_QCOM[[#This Row],[BB_Stdev]]))</f>
        <v>121.55468371976252</v>
      </c>
      <c r="L44" s="10">
        <f ca="1">IF(tbl_QCOM[[#This Row],[BB_Mean]]="", "", tbl_QCOM[[#This Row],[BB_Mean]]-(BB_Width*tbl_QCOM[[#This Row],[BB_Stdev]]))</f>
        <v>108.7553148516661</v>
      </c>
      <c r="M44" s="46">
        <f>IF(ROW(tbl_QCOM[[#This Row],[Adj Close]])=5, 0, $F44-$F43)</f>
        <v>5.0499960000000073</v>
      </c>
      <c r="N44" s="46">
        <f>MAX(tbl_QCOM[[#This Row],[Move]],0)</f>
        <v>5.0499960000000073</v>
      </c>
      <c r="O44" s="46">
        <f>MAX(-tbl_QCOM[[#This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1.3242852857142862</v>
      </c>
      <c r="Q44" s="46">
        <f ca="1">IF(ROW($O44)-5&lt;RSI_Periods, "", AVERAGE(INDIRECT(ADDRESS(ROW($O44)-RSI_Periods +1, MATCH("Downmove", Price_Header,0))): INDIRECT(ADDRESS(ROW($O44),MATCH("Downmove", Price_Header,0)))))</f>
        <v>1.0428570714285712</v>
      </c>
      <c r="R44" s="46">
        <f ca="1">IF(tbl_QCOM[[#This Row],[Avg_Upmove]]="", "", tbl_QCOM[[#This Row],[Avg_Upmove]]/tbl_QCOM[[#This Row],[Avg_Downmove]])</f>
        <v>1.2698626897166232</v>
      </c>
      <c r="S44" s="10">
        <f ca="1">IF(ROW($N44)-4&lt;BB_Periods, "", _xlfn.STDEV.S(INDIRECT(ADDRESS(ROW($F44)-RSI_Periods +1, MATCH("Adj Close", Price_Header,0))): INDIRECT(ADDRESS(ROW($F44),MATCH("Adj Close", Price_Header,0)))))</f>
        <v>3.1998422170241079</v>
      </c>
    </row>
    <row r="45" spans="1:19" x14ac:dyDescent="0.25">
      <c r="A45" s="8">
        <v>44110</v>
      </c>
      <c r="B45" s="10">
        <v>120.449997</v>
      </c>
      <c r="C45" s="10">
        <v>122.519997</v>
      </c>
      <c r="D45" s="10">
        <v>119.099998</v>
      </c>
      <c r="E45" s="10">
        <v>119.540001</v>
      </c>
      <c r="F45" s="10">
        <v>119.540001</v>
      </c>
      <c r="G45">
        <v>7637000</v>
      </c>
      <c r="H45" s="10">
        <f>IF(tbl_QCOM[[#This Row],[Date]]=$A$5, $F45, EMA_Beta*$H44 + (1-EMA_Beta)*$F45)</f>
        <v>116.07427506543281</v>
      </c>
      <c r="I45" s="46">
        <f ca="1">IF(tbl_QCOM[[#This Row],[RS]]= "", "", 100-(100/(1+tbl_QCOM[[#This Row],[RS]])))</f>
        <v>57.757017643466199</v>
      </c>
      <c r="J45" s="10">
        <f ca="1">IF(ROW($N45)-4&lt;BB_Periods, "", AVERAGE(INDIRECT(ADDRESS(ROW($F45)-RSI_Periods +1, MATCH("Adj Close", Price_Header,0))): INDIRECT(ADDRESS(ROW($F45),MATCH("Adj Close", Price_Header,0)))))</f>
        <v>115.5107137857143</v>
      </c>
      <c r="K45" s="10">
        <f ca="1">IF(tbl_QCOM[[#This Row],[BB_Mean]]="", "", tbl_QCOM[[#This Row],[BB_Mean]]+(BB_Width*tbl_QCOM[[#This Row],[BB_Stdev]]))</f>
        <v>122.30912145011949</v>
      </c>
      <c r="L45" s="10">
        <f ca="1">IF(tbl_QCOM[[#This Row],[BB_Mean]]="", "", tbl_QCOM[[#This Row],[BB_Mean]]-(BB_Width*tbl_QCOM[[#This Row],[BB_Stdev]]))</f>
        <v>108.71230612130911</v>
      </c>
      <c r="M45" s="46">
        <f>IF(ROW(tbl_QCOM[[#This Row],[Adj Close]])=5, 0, $F45-$F44)</f>
        <v>-0.97999599999999987</v>
      </c>
      <c r="N45" s="46">
        <f>MAX(tbl_QCOM[[#This Row],[Move]],0)</f>
        <v>0</v>
      </c>
      <c r="O45" s="46">
        <f>MAX(-tbl_QCOM[[#This Row],[Move]],0)</f>
        <v>0.97999599999999987</v>
      </c>
      <c r="P45" s="46">
        <f ca="1">IF(ROW($N45)-5&lt;RSI_Periods, "", AVERAGE(INDIRECT(ADDRESS(ROW($N45)-RSI_Periods +1, MATCH("Upmove", Price_Header,0))): INDIRECT(ADDRESS(ROW($N45),MATCH("Upmove", Price_Header,0)))))</f>
        <v>1.3242852857142862</v>
      </c>
      <c r="Q45" s="46">
        <f ca="1">IF(ROW($O45)-5&lt;RSI_Periods, "", AVERAGE(INDIRECT(ADDRESS(ROW($O45)-RSI_Periods +1, MATCH("Downmove", Price_Header,0))): INDIRECT(ADDRESS(ROW($O45),MATCH("Downmove", Price_Header,0)))))</f>
        <v>0.96857078571428545</v>
      </c>
      <c r="R45" s="46">
        <f ca="1">IF(tbl_QCOM[[#This Row],[Avg_Upmove]]="", "", tbl_QCOM[[#This Row],[Avg_Upmove]]/tbl_QCOM[[#This Row],[Avg_Downmove]])</f>
        <v>1.3672571021617943</v>
      </c>
      <c r="S45" s="10">
        <f ca="1">IF(ROW($N45)-4&lt;BB_Periods, "", _xlfn.STDEV.S(INDIRECT(ADDRESS(ROW($F45)-RSI_Periods +1, MATCH("Adj Close", Price_Header,0))): INDIRECT(ADDRESS(ROW($F45),MATCH("Adj Close", Price_Header,0)))))</f>
        <v>3.3992038322025944</v>
      </c>
    </row>
    <row r="46" spans="1:19" x14ac:dyDescent="0.25">
      <c r="A46" s="8">
        <v>44111</v>
      </c>
      <c r="B46" s="10">
        <v>121.239998</v>
      </c>
      <c r="C46" s="10">
        <v>123.360001</v>
      </c>
      <c r="D46" s="10">
        <v>120.650002</v>
      </c>
      <c r="E46" s="10">
        <v>123.029999</v>
      </c>
      <c r="F46" s="10">
        <v>123.029999</v>
      </c>
      <c r="G46">
        <v>7410300</v>
      </c>
      <c r="H46" s="10">
        <f>IF(tbl_QCOM[[#This Row],[Date]]=$A$5, $F46, EMA_Beta*$H45 + (1-EMA_Beta)*$F46)</f>
        <v>116.76984745888954</v>
      </c>
      <c r="I46" s="46">
        <f ca="1">IF(tbl_QCOM[[#This Row],[RS]]= "", "", 100-(100/(1+tbl_QCOM[[#This Row],[RS]])))</f>
        <v>61.553736457606568</v>
      </c>
      <c r="J46" s="10">
        <f ca="1">IF(ROW($N46)-4&lt;BB_Periods, "", AVERAGE(INDIRECT(ADDRESS(ROW($F46)-RSI_Periods +1, MATCH("Adj Close", Price_Header,0))): INDIRECT(ADDRESS(ROW($F46),MATCH("Adj Close", Price_Header,0)))))</f>
        <v>116.0928567857143</v>
      </c>
      <c r="K46" s="10">
        <f ca="1">IF(tbl_QCOM[[#This Row],[BB_Mean]]="", "", tbl_QCOM[[#This Row],[BB_Mean]]+(BB_Width*tbl_QCOM[[#This Row],[BB_Stdev]]))</f>
        <v>123.96895513379148</v>
      </c>
      <c r="L46" s="10">
        <f ca="1">IF(tbl_QCOM[[#This Row],[BB_Mean]]="", "", tbl_QCOM[[#This Row],[BB_Mean]]-(BB_Width*tbl_QCOM[[#This Row],[BB_Stdev]]))</f>
        <v>108.21675843763713</v>
      </c>
      <c r="M46" s="46">
        <f>IF(ROW(tbl_QCOM[[#This Row],[Adj Close]])=5, 0, $F46-$F45)</f>
        <v>3.4899979999999999</v>
      </c>
      <c r="N46" s="46">
        <f>MAX(tbl_QCOM[[#This Row],[Move]],0)</f>
        <v>3.4899979999999999</v>
      </c>
      <c r="O46" s="46">
        <f>MAX(-tbl_QCOM[[#This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1.5507137857142854</v>
      </c>
      <c r="Q46" s="46">
        <f ca="1">IF(ROW($O46)-5&lt;RSI_Periods, "", AVERAGE(INDIRECT(ADDRESS(ROW($O46)-RSI_Periods +1, MATCH("Downmove", Price_Header,0))): INDIRECT(ADDRESS(ROW($O46),MATCH("Downmove", Price_Header,0)))))</f>
        <v>0.96857078571428545</v>
      </c>
      <c r="R46" s="46">
        <f ca="1">IF(tbl_QCOM[[#This Row],[Avg_Upmove]]="", "", tbl_QCOM[[#This Row],[Avg_Upmove]]/tbl_QCOM[[#This Row],[Avg_Downmove]])</f>
        <v>1.6010329947859112</v>
      </c>
      <c r="S46" s="10">
        <f ca="1">IF(ROW($N46)-4&lt;BB_Periods, "", _xlfn.STDEV.S(INDIRECT(ADDRESS(ROW($F46)-RSI_Periods +1, MATCH("Adj Close", Price_Header,0))): INDIRECT(ADDRESS(ROW($F46),MATCH("Adj Close", Price_Header,0)))))</f>
        <v>3.9380491740385919</v>
      </c>
    </row>
    <row r="47" spans="1:19" x14ac:dyDescent="0.25">
      <c r="A47" s="8">
        <v>44112</v>
      </c>
      <c r="B47" s="10">
        <v>124</v>
      </c>
      <c r="C47" s="10">
        <v>124.43</v>
      </c>
      <c r="D47" s="10">
        <v>121.839996</v>
      </c>
      <c r="E47" s="10">
        <v>122.339996</v>
      </c>
      <c r="F47" s="10">
        <v>122.339996</v>
      </c>
      <c r="G47">
        <v>4757500</v>
      </c>
      <c r="H47" s="10">
        <f>IF(tbl_QCOM[[#This Row],[Date]]=$A$5, $F47, EMA_Beta*$H46 + (1-EMA_Beta)*$F47)</f>
        <v>117.32686231300059</v>
      </c>
      <c r="I47" s="46">
        <f ca="1">IF(tbl_QCOM[[#This Row],[RS]]= "", "", 100-(100/(1+tbl_QCOM[[#This Row],[RS]])))</f>
        <v>68.334902319144419</v>
      </c>
      <c r="J47" s="10">
        <f ca="1">IF(ROW($N47)-4&lt;BB_Periods, "", AVERAGE(INDIRECT(ADDRESS(ROW($F47)-RSI_Periods +1, MATCH("Adj Close", Price_Header,0))): INDIRECT(ADDRESS(ROW($F47),MATCH("Adj Close", Price_Header,0)))))</f>
        <v>116.92499921428573</v>
      </c>
      <c r="K47" s="10">
        <f ca="1">IF(tbl_QCOM[[#This Row],[BB_Mean]]="", "", tbl_QCOM[[#This Row],[BB_Mean]]+(BB_Width*tbl_QCOM[[#This Row],[BB_Stdev]]))</f>
        <v>124.80386014504013</v>
      </c>
      <c r="L47" s="10">
        <f ca="1">IF(tbl_QCOM[[#This Row],[BB_Mean]]="", "", tbl_QCOM[[#This Row],[BB_Mean]]-(BB_Width*tbl_QCOM[[#This Row],[BB_Stdev]]))</f>
        <v>109.04613828353133</v>
      </c>
      <c r="M47" s="46">
        <f>IF(ROW(tbl_QCOM[[#This Row],[Adj Close]])=5, 0, $F47-$F46)</f>
        <v>-0.69000300000000436</v>
      </c>
      <c r="N47" s="46">
        <f>MAX(tbl_QCOM[[#This Row],[Move]],0)</f>
        <v>0</v>
      </c>
      <c r="O47" s="46">
        <f>MAX(-tbl_QCOM[[#This Row],[Move]],0)</f>
        <v>0.69000300000000436</v>
      </c>
      <c r="P47" s="46">
        <f ca="1">IF(ROW($N47)-5&lt;RSI_Periods, "", AVERAGE(INDIRECT(ADDRESS(ROW($N47)-RSI_Periods +1, MATCH("Upmove", Price_Header,0))): INDIRECT(ADDRESS(ROW($N47),MATCH("Upmove", Price_Header,0)))))</f>
        <v>1.5507137857142854</v>
      </c>
      <c r="Q47" s="46">
        <f ca="1">IF(ROW($O47)-5&lt;RSI_Periods, "", AVERAGE(INDIRECT(ADDRESS(ROW($O47)-RSI_Periods +1, MATCH("Downmove", Price_Header,0))): INDIRECT(ADDRESS(ROW($O47),MATCH("Downmove", Price_Header,0)))))</f>
        <v>0.71857135714285747</v>
      </c>
      <c r="R47" s="46">
        <f ca="1">IF(tbl_QCOM[[#This Row],[Avg_Upmove]]="", "", tbl_QCOM[[#This Row],[Avg_Upmove]]/tbl_QCOM[[#This Row],[Avg_Downmove]])</f>
        <v>2.1580512085537968</v>
      </c>
      <c r="S47" s="10">
        <f ca="1">IF(ROW($N47)-4&lt;BB_Periods, "", _xlfn.STDEV.S(INDIRECT(ADDRESS(ROW($F47)-RSI_Periods +1, MATCH("Adj Close", Price_Header,0))): INDIRECT(ADDRESS(ROW($F47),MATCH("Adj Close", Price_Header,0)))))</f>
        <v>3.9394304653772014</v>
      </c>
    </row>
    <row r="48" spans="1:19" x14ac:dyDescent="0.25">
      <c r="A48" s="8">
        <v>44113</v>
      </c>
      <c r="B48" s="10">
        <v>123.93</v>
      </c>
      <c r="C48" s="10">
        <v>125.889999</v>
      </c>
      <c r="D48" s="10">
        <v>122.790001</v>
      </c>
      <c r="E48" s="10">
        <v>124.870003</v>
      </c>
      <c r="F48" s="10">
        <v>124.870003</v>
      </c>
      <c r="G48">
        <v>11073400</v>
      </c>
      <c r="H48" s="10">
        <f>IF(tbl_QCOM[[#This Row],[Date]]=$A$5, $F48, EMA_Beta*$H47 + (1-EMA_Beta)*$F48)</f>
        <v>118.08117638170053</v>
      </c>
      <c r="I48" s="46">
        <f ca="1">IF(tbl_QCOM[[#This Row],[RS]]= "", "", 100-(100/(1+tbl_QCOM[[#This Row],[RS]])))</f>
        <v>69.579685251313691</v>
      </c>
      <c r="J48" s="10">
        <f ca="1">IF(ROW($N48)-4&lt;BB_Periods, "", AVERAGE(INDIRECT(ADDRESS(ROW($F48)-RSI_Periods +1, MATCH("Adj Close", Price_Header,0))): INDIRECT(ADDRESS(ROW($F48),MATCH("Adj Close", Price_Header,0)))))</f>
        <v>117.84999957142858</v>
      </c>
      <c r="K48" s="10">
        <f ca="1">IF(tbl_QCOM[[#This Row],[BB_Mean]]="", "", tbl_QCOM[[#This Row],[BB_Mean]]+(BB_Width*tbl_QCOM[[#This Row],[BB_Stdev]]))</f>
        <v>126.22289999417627</v>
      </c>
      <c r="L48" s="10">
        <f ca="1">IF(tbl_QCOM[[#This Row],[BB_Mean]]="", "", tbl_QCOM[[#This Row],[BB_Mean]]-(BB_Width*tbl_QCOM[[#This Row],[BB_Stdev]]))</f>
        <v>109.47709914868089</v>
      </c>
      <c r="M48" s="46">
        <f>IF(ROW(tbl_QCOM[[#This Row],[Adj Close]])=5, 0, $F48-$F47)</f>
        <v>2.5300069999999977</v>
      </c>
      <c r="N48" s="46">
        <f>MAX(tbl_QCOM[[#This Row],[Move]],0)</f>
        <v>2.5300069999999977</v>
      </c>
      <c r="O48" s="46">
        <f>MAX(-tbl_QCOM[[#This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1.643571714285714</v>
      </c>
      <c r="Q48" s="46">
        <f ca="1">IF(ROW($O48)-5&lt;RSI_Periods, "", AVERAGE(INDIRECT(ADDRESS(ROW($O48)-RSI_Periods +1, MATCH("Downmove", Price_Header,0))): INDIRECT(ADDRESS(ROW($O48),MATCH("Downmove", Price_Header,0)))))</f>
        <v>0.71857135714285747</v>
      </c>
      <c r="R48" s="46">
        <f ca="1">IF(tbl_QCOM[[#This Row],[Avg_Upmove]]="", "", tbl_QCOM[[#This Row],[Avg_Upmove]]/tbl_QCOM[[#This Row],[Avg_Downmove]])</f>
        <v>2.2872769669261386</v>
      </c>
      <c r="S48" s="10">
        <f ca="1">IF(ROW($N48)-4&lt;BB_Periods, "", _xlfn.STDEV.S(INDIRECT(ADDRESS(ROW($F48)-RSI_Periods +1, MATCH("Adj Close", Price_Header,0))): INDIRECT(ADDRESS(ROW($F48),MATCH("Adj Close", Price_Header,0)))))</f>
        <v>4.1864502113738453</v>
      </c>
    </row>
    <row r="49" spans="1:19" x14ac:dyDescent="0.25">
      <c r="A49" s="8">
        <v>44116</v>
      </c>
      <c r="B49" s="10">
        <v>127.699997</v>
      </c>
      <c r="C49" s="10">
        <v>127.699997</v>
      </c>
      <c r="D49" s="10">
        <v>124.949997</v>
      </c>
      <c r="E49" s="10">
        <v>126.69000200000001</v>
      </c>
      <c r="F49" s="10">
        <v>126.69000200000001</v>
      </c>
      <c r="G49">
        <v>7893800</v>
      </c>
      <c r="H49" s="10">
        <f>IF(tbl_QCOM[[#This Row],[Date]]=$A$5, $F49, EMA_Beta*$H48 + (1-EMA_Beta)*$F49)</f>
        <v>118.94205894353048</v>
      </c>
      <c r="I49" s="46">
        <f ca="1">IF(tbl_QCOM[[#This Row],[RS]]= "", "", 100-(100/(1+tbl_QCOM[[#This Row],[RS]])))</f>
        <v>69.505913913307069</v>
      </c>
      <c r="J49" s="10">
        <f ca="1">IF(ROW($N49)-4&lt;BB_Periods, "", AVERAGE(INDIRECT(ADDRESS(ROW($F49)-RSI_Periods +1, MATCH("Adj Close", Price_Header,0))): INDIRECT(ADDRESS(ROW($F49),MATCH("Adj Close", Price_Header,0)))))</f>
        <v>118.76928542857145</v>
      </c>
      <c r="K49" s="10">
        <f ca="1">IF(tbl_QCOM[[#This Row],[BB_Mean]]="", "", tbl_QCOM[[#This Row],[BB_Mean]]+(BB_Width*tbl_QCOM[[#This Row],[BB_Stdev]]))</f>
        <v>128.01659331808912</v>
      </c>
      <c r="L49" s="10">
        <f ca="1">IF(tbl_QCOM[[#This Row],[BB_Mean]]="", "", tbl_QCOM[[#This Row],[BB_Mean]]-(BB_Width*tbl_QCOM[[#This Row],[BB_Stdev]]))</f>
        <v>109.52197753905378</v>
      </c>
      <c r="M49" s="46">
        <f>IF(ROW(tbl_QCOM[[#This Row],[Adj Close]])=5, 0, $F49-$F48)</f>
        <v>1.8199990000000099</v>
      </c>
      <c r="N49" s="46">
        <f>MAX(tbl_QCOM[[#This Row],[Move]],0)</f>
        <v>1.8199990000000099</v>
      </c>
      <c r="O49" s="46">
        <f>MAX(-tbl_QCOM[[#This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1.6378572142857155</v>
      </c>
      <c r="Q49" s="46">
        <f ca="1">IF(ROW($O49)-5&lt;RSI_Periods, "", AVERAGE(INDIRECT(ADDRESS(ROW($O49)-RSI_Periods +1, MATCH("Downmove", Price_Header,0))): INDIRECT(ADDRESS(ROW($O49),MATCH("Downmove", Price_Header,0)))))</f>
        <v>0.71857135714285747</v>
      </c>
      <c r="R49" s="46">
        <f ca="1">IF(tbl_QCOM[[#This Row],[Avg_Upmove]]="", "", tbl_QCOM[[#This Row],[Avg_Upmove]]/tbl_QCOM[[#This Row],[Avg_Downmove]])</f>
        <v>2.2793243816425832</v>
      </c>
      <c r="S49" s="10">
        <f ca="1">IF(ROW($N49)-4&lt;BB_Periods, "", _xlfn.STDEV.S(INDIRECT(ADDRESS(ROW($F49)-RSI_Periods +1, MATCH("Adj Close", Price_Header,0))): INDIRECT(ADDRESS(ROW($F49),MATCH("Adj Close", Price_Header,0)))))</f>
        <v>4.6236539447588383</v>
      </c>
    </row>
    <row r="50" spans="1:19" x14ac:dyDescent="0.25">
      <c r="A50" s="8">
        <v>44117</v>
      </c>
      <c r="B50" s="10">
        <v>127.470001</v>
      </c>
      <c r="C50" s="10">
        <v>128.179993</v>
      </c>
      <c r="D50" s="10">
        <v>125.400002</v>
      </c>
      <c r="E50" s="10">
        <v>127.459999</v>
      </c>
      <c r="F50" s="10">
        <v>127.459999</v>
      </c>
      <c r="G50">
        <v>7605700</v>
      </c>
      <c r="H50" s="10">
        <f>IF(tbl_QCOM[[#This Row],[Date]]=$A$5, $F50, EMA_Beta*$H49 + (1-EMA_Beta)*$F50)</f>
        <v>119.79385294917743</v>
      </c>
      <c r="I50" s="46">
        <f ca="1">IF(tbl_QCOM[[#This Row],[RS]]= "", "", 100-(100/(1+tbl_QCOM[[#This Row],[RS]])))</f>
        <v>77.679450443734879</v>
      </c>
      <c r="J50" s="10">
        <f ca="1">IF(ROW($N50)-4&lt;BB_Periods, "", AVERAGE(INDIRECT(ADDRESS(ROW($F50)-RSI_Periods +1, MATCH("Adj Close", Price_Header,0))): INDIRECT(ADDRESS(ROW($F50),MATCH("Adj Close", Price_Header,0)))))</f>
        <v>119.97571392857142</v>
      </c>
      <c r="K50" s="10">
        <f ca="1">IF(tbl_QCOM[[#This Row],[BB_Mean]]="", "", tbl_QCOM[[#This Row],[BB_Mean]]+(BB_Width*tbl_QCOM[[#This Row],[BB_Stdev]]))</f>
        <v>129.01987787929079</v>
      </c>
      <c r="L50" s="10">
        <f ca="1">IF(tbl_QCOM[[#This Row],[BB_Mean]]="", "", tbl_QCOM[[#This Row],[BB_Mean]]-(BB_Width*tbl_QCOM[[#This Row],[BB_Stdev]]))</f>
        <v>110.93154997785204</v>
      </c>
      <c r="M50" s="46">
        <f>IF(ROW(tbl_QCOM[[#This Row],[Adj Close]])=5, 0, $F50-$F49)</f>
        <v>0.76999699999998938</v>
      </c>
      <c r="N50" s="46">
        <f>MAX(tbl_QCOM[[#This Row],[Move]],0)</f>
        <v>0.76999699999998938</v>
      </c>
      <c r="O50" s="46">
        <f>MAX(-tbl_QCOM[[#This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1.6928570000000005</v>
      </c>
      <c r="Q50" s="46">
        <f ca="1">IF(ROW($O50)-5&lt;RSI_Periods, "", AVERAGE(INDIRECT(ADDRESS(ROW($O50)-RSI_Periods +1, MATCH("Downmove", Price_Header,0))): INDIRECT(ADDRESS(ROW($O50),MATCH("Downmove", Price_Header,0)))))</f>
        <v>0.48642850000000032</v>
      </c>
      <c r="R50" s="46">
        <f ca="1">IF(tbl_QCOM[[#This Row],[Avg_Upmove]]="", "", tbl_QCOM[[#This Row],[Avg_Upmove]]/tbl_QCOM[[#This Row],[Avg_Downmove]])</f>
        <v>3.48017642880711</v>
      </c>
      <c r="S50" s="10">
        <f ca="1">IF(ROW($N50)-4&lt;BB_Periods, "", _xlfn.STDEV.S(INDIRECT(ADDRESS(ROW($F50)-RSI_Periods +1, MATCH("Adj Close", Price_Header,0))): INDIRECT(ADDRESS(ROW($F50),MATCH("Adj Close", Price_Header,0)))))</f>
        <v>4.522081975359689</v>
      </c>
    </row>
    <row r="51" spans="1:19" x14ac:dyDescent="0.25">
      <c r="A51" s="8">
        <v>44118</v>
      </c>
      <c r="B51" s="10">
        <v>129.08000200000001</v>
      </c>
      <c r="C51" s="10">
        <v>132.41999799999999</v>
      </c>
      <c r="D51" s="10">
        <v>128.929993</v>
      </c>
      <c r="E51" s="10">
        <v>129.88000500000001</v>
      </c>
      <c r="F51" s="10">
        <v>129.88000500000001</v>
      </c>
      <c r="G51">
        <v>13183600</v>
      </c>
      <c r="H51" s="10">
        <f>IF(tbl_QCOM[[#This Row],[Date]]=$A$5, $F51, EMA_Beta*$H50 + (1-EMA_Beta)*$F51)</f>
        <v>120.80246815425969</v>
      </c>
      <c r="I51" s="46">
        <f ca="1">IF(tbl_QCOM[[#This Row],[RS]]= "", "", 100-(100/(1+tbl_QCOM[[#This Row],[RS]])))</f>
        <v>78.249764348458498</v>
      </c>
      <c r="J51" s="10">
        <f ca="1">IF(ROW($N51)-4&lt;BB_Periods, "", AVERAGE(INDIRECT(ADDRESS(ROW($F51)-RSI_Periods +1, MATCH("Adj Close", Price_Header,0))): INDIRECT(ADDRESS(ROW($F51),MATCH("Adj Close", Price_Header,0)))))</f>
        <v>121.23928557142857</v>
      </c>
      <c r="K51" s="10">
        <f ca="1">IF(tbl_QCOM[[#This Row],[BB_Mean]]="", "", tbl_QCOM[[#This Row],[BB_Mean]]+(BB_Width*tbl_QCOM[[#This Row],[BB_Stdev]]))</f>
        <v>130.53717640478629</v>
      </c>
      <c r="L51" s="10">
        <f ca="1">IF(tbl_QCOM[[#This Row],[BB_Mean]]="", "", tbl_QCOM[[#This Row],[BB_Mean]]-(BB_Width*tbl_QCOM[[#This Row],[BB_Stdev]]))</f>
        <v>111.94139473807085</v>
      </c>
      <c r="M51" s="46">
        <f>IF(ROW(tbl_QCOM[[#This Row],[Adj Close]])=5, 0, $F51-$F50)</f>
        <v>2.420006000000015</v>
      </c>
      <c r="N51" s="46">
        <f>MAX(tbl_QCOM[[#This Row],[Move]],0)</f>
        <v>2.420006000000015</v>
      </c>
      <c r="O51" s="46">
        <f>MAX(-tbl_QCOM[[#This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1.7500001428571434</v>
      </c>
      <c r="Q51" s="46">
        <f ca="1">IF(ROW($O51)-5&lt;RSI_Periods, "", AVERAGE(INDIRECT(ADDRESS(ROW($O51)-RSI_Periods +1, MATCH("Downmove", Price_Header,0))): INDIRECT(ADDRESS(ROW($O51),MATCH("Downmove", Price_Header,0)))))</f>
        <v>0.48642850000000032</v>
      </c>
      <c r="R51" s="46">
        <f ca="1">IF(tbl_QCOM[[#This Row],[Avg_Upmove]]="", "", tbl_QCOM[[#This Row],[Avg_Upmove]]/tbl_QCOM[[#This Row],[Avg_Downmove]])</f>
        <v>3.5976513359253053</v>
      </c>
      <c r="S51" s="10">
        <f ca="1">IF(ROW($N51)-4&lt;BB_Periods, "", _xlfn.STDEV.S(INDIRECT(ADDRESS(ROW($F51)-RSI_Periods +1, MATCH("Adj Close", Price_Header,0))): INDIRECT(ADDRESS(ROW($F51),MATCH("Adj Close", Price_Header,0)))))</f>
        <v>4.648945416678858</v>
      </c>
    </row>
    <row r="52" spans="1:19" x14ac:dyDescent="0.25">
      <c r="A52" s="8">
        <v>44119</v>
      </c>
      <c r="B52" s="10">
        <v>127.300003</v>
      </c>
      <c r="C52" s="10">
        <v>129.13999899999999</v>
      </c>
      <c r="D52" s="10">
        <v>126.650002</v>
      </c>
      <c r="E52" s="10">
        <v>128.58000200000001</v>
      </c>
      <c r="F52" s="10">
        <v>128.58000200000001</v>
      </c>
      <c r="G52">
        <v>7376600</v>
      </c>
      <c r="H52" s="10">
        <f>IF(tbl_QCOM[[#This Row],[Date]]=$A$5, $F52, EMA_Beta*$H51 + (1-EMA_Beta)*$F52)</f>
        <v>121.58022153883371</v>
      </c>
      <c r="I52" s="46">
        <f ca="1">IF(tbl_QCOM[[#This Row],[RS]]= "", "", 100-(100/(1+tbl_QCOM[[#This Row],[RS]])))</f>
        <v>73.234322131817393</v>
      </c>
      <c r="J52" s="10">
        <f ca="1">IF(ROW($N52)-4&lt;BB_Periods, "", AVERAGE(INDIRECT(ADDRESS(ROW($F52)-RSI_Periods +1, MATCH("Adj Close", Price_Header,0))): INDIRECT(ADDRESS(ROW($F52),MATCH("Adj Close", Price_Header,0)))))</f>
        <v>122.24499999999999</v>
      </c>
      <c r="K52" s="10">
        <f ca="1">IF(tbl_QCOM[[#This Row],[BB_Mean]]="", "", tbl_QCOM[[#This Row],[BB_Mean]]+(BB_Width*tbl_QCOM[[#This Row],[BB_Stdev]]))</f>
        <v>131.44822187464118</v>
      </c>
      <c r="L52" s="10">
        <f ca="1">IF(tbl_QCOM[[#This Row],[BB_Mean]]="", "", tbl_QCOM[[#This Row],[BB_Mean]]-(BB_Width*tbl_QCOM[[#This Row],[BB_Stdev]]))</f>
        <v>113.0417781253588</v>
      </c>
      <c r="M52" s="46">
        <f>IF(ROW(tbl_QCOM[[#This Row],[Adj Close]])=5, 0, $F52-$F51)</f>
        <v>-1.3000030000000038</v>
      </c>
      <c r="N52" s="46">
        <f>MAX(tbl_QCOM[[#This Row],[Move]],0)</f>
        <v>0</v>
      </c>
      <c r="O52" s="46">
        <f>MAX(-tbl_QCOM[[#This Row],[Move]],0)</f>
        <v>1.3000030000000038</v>
      </c>
      <c r="P52" s="46">
        <f ca="1">IF(ROW($N52)-5&lt;RSI_Periods, "", AVERAGE(INDIRECT(ADDRESS(ROW($N52)-RSI_Periods +1, MATCH("Upmove", Price_Header,0))): INDIRECT(ADDRESS(ROW($N52),MATCH("Upmove", Price_Header,0)))))</f>
        <v>1.5850002857142869</v>
      </c>
      <c r="Q52" s="46">
        <f ca="1">IF(ROW($O52)-5&lt;RSI_Periods, "", AVERAGE(INDIRECT(ADDRESS(ROW($O52)-RSI_Periods +1, MATCH("Downmove", Price_Header,0))): INDIRECT(ADDRESS(ROW($O52),MATCH("Downmove", Price_Header,0)))))</f>
        <v>0.57928585714285774</v>
      </c>
      <c r="R52" s="46">
        <f ca="1">IF(tbl_QCOM[[#This Row],[Avg_Upmove]]="", "", tbl_QCOM[[#This Row],[Avg_Upmove]]/tbl_QCOM[[#This Row],[Avg_Downmove]])</f>
        <v>2.7361280552088636</v>
      </c>
      <c r="S52" s="10">
        <f ca="1">IF(ROW($N52)-4&lt;BB_Periods, "", _xlfn.STDEV.S(INDIRECT(ADDRESS(ROW($F52)-RSI_Periods +1, MATCH("Adj Close", Price_Header,0))): INDIRECT(ADDRESS(ROW($F52),MATCH("Adj Close", Price_Header,0)))))</f>
        <v>4.60161093732059</v>
      </c>
    </row>
    <row r="53" spans="1:19" x14ac:dyDescent="0.25">
      <c r="A53" s="8">
        <v>44120</v>
      </c>
      <c r="B53" s="10">
        <v>129.699997</v>
      </c>
      <c r="C53" s="10">
        <v>130.19000199999999</v>
      </c>
      <c r="D53" s="10">
        <v>127.739998</v>
      </c>
      <c r="E53" s="10">
        <v>129.029999</v>
      </c>
      <c r="F53" s="10">
        <v>129.029999</v>
      </c>
      <c r="G53">
        <v>6625400</v>
      </c>
      <c r="H53" s="10">
        <f>IF(tbl_QCOM[[#This Row],[Date]]=$A$5, $F53, EMA_Beta*$H52 + (1-EMA_Beta)*$F53)</f>
        <v>122.32519928495034</v>
      </c>
      <c r="I53" s="46">
        <f ca="1">IF(tbl_QCOM[[#This Row],[RS]]= "", "", 100-(100/(1+tbl_QCOM[[#This Row],[RS]])))</f>
        <v>69.716200917386033</v>
      </c>
      <c r="J53" s="10">
        <f ca="1">IF(ROW($N53)-4&lt;BB_Periods, "", AVERAGE(INDIRECT(ADDRESS(ROW($F53)-RSI_Periods +1, MATCH("Adj Close", Price_Header,0))): INDIRECT(ADDRESS(ROW($F53),MATCH("Adj Close", Price_Header,0)))))</f>
        <v>122.99928557142857</v>
      </c>
      <c r="K53" s="10">
        <f ca="1">IF(tbl_QCOM[[#This Row],[BB_Mean]]="", "", tbl_QCOM[[#This Row],[BB_Mean]]+(BB_Width*tbl_QCOM[[#This Row],[BB_Stdev]]))</f>
        <v>132.59244085077509</v>
      </c>
      <c r="L53" s="10">
        <f ca="1">IF(tbl_QCOM[[#This Row],[BB_Mean]]="", "", tbl_QCOM[[#This Row],[BB_Mean]]-(BB_Width*tbl_QCOM[[#This Row],[BB_Stdev]]))</f>
        <v>113.40613029208205</v>
      </c>
      <c r="M53" s="46">
        <f>IF(ROW(tbl_QCOM[[#This Row],[Adj Close]])=5, 0, $F53-$F52)</f>
        <v>0.44999699999999621</v>
      </c>
      <c r="N53" s="46">
        <f>MAX(tbl_QCOM[[#This Row],[Move]],0)</f>
        <v>0.44999699999999621</v>
      </c>
      <c r="O53" s="46">
        <f>MAX(-tbl_QCOM[[#This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1.3335714285714297</v>
      </c>
      <c r="Q53" s="46">
        <f ca="1">IF(ROW($O53)-5&lt;RSI_Periods, "", AVERAGE(INDIRECT(ADDRESS(ROW($O53)-RSI_Periods +1, MATCH("Downmove", Price_Header,0))): INDIRECT(ADDRESS(ROW($O53),MATCH("Downmove", Price_Header,0)))))</f>
        <v>0.57928585714285774</v>
      </c>
      <c r="R53" s="46">
        <f ca="1">IF(tbl_QCOM[[#This Row],[Avg_Upmove]]="", "", tbl_QCOM[[#This Row],[Avg_Upmove]]/tbl_QCOM[[#This Row],[Avg_Downmove]])</f>
        <v>2.3020956098407863</v>
      </c>
      <c r="S53" s="10">
        <f ca="1">IF(ROW($N53)-4&lt;BB_Periods, "", _xlfn.STDEV.S(INDIRECT(ADDRESS(ROW($F53)-RSI_Periods +1, MATCH("Adj Close", Price_Header,0))): INDIRECT(ADDRESS(ROW($F53),MATCH("Adj Close", Price_Header,0)))))</f>
        <v>4.7965776396732611</v>
      </c>
    </row>
    <row r="54" spans="1:19" x14ac:dyDescent="0.25">
      <c r="A54" s="8">
        <v>44123</v>
      </c>
      <c r="B54" s="10">
        <v>130.13000500000001</v>
      </c>
      <c r="C54" s="10">
        <v>131.96000699999999</v>
      </c>
      <c r="D54" s="10">
        <v>127.699997</v>
      </c>
      <c r="E54" s="10">
        <v>128.41999799999999</v>
      </c>
      <c r="F54" s="10">
        <v>128.41999799999999</v>
      </c>
      <c r="G54">
        <v>5765800</v>
      </c>
      <c r="H54" s="10">
        <f>IF(tbl_QCOM[[#This Row],[Date]]=$A$5, $F54, EMA_Beta*$H53 + (1-EMA_Beta)*$F54)</f>
        <v>122.9346791564553</v>
      </c>
      <c r="I54" s="46">
        <f ca="1">IF(tbl_QCOM[[#This Row],[RS]]= "", "", 100-(100/(1+tbl_QCOM[[#This Row],[RS]])))</f>
        <v>70.988595855079637</v>
      </c>
      <c r="J54" s="10">
        <f ca="1">IF(ROW($N54)-4&lt;BB_Periods, "", AVERAGE(INDIRECT(ADDRESS(ROW($F54)-RSI_Periods +1, MATCH("Adj Close", Price_Header,0))): INDIRECT(ADDRESS(ROW($F54),MATCH("Adj Close", Price_Header,0)))))</f>
        <v>123.78785707142856</v>
      </c>
      <c r="K54" s="10">
        <f ca="1">IF(tbl_QCOM[[#This Row],[BB_Mean]]="", "", tbl_QCOM[[#This Row],[BB_Mean]]+(BB_Width*tbl_QCOM[[#This Row],[BB_Stdev]]))</f>
        <v>133.20461677429688</v>
      </c>
      <c r="L54" s="10">
        <f ca="1">IF(tbl_QCOM[[#This Row],[BB_Mean]]="", "", tbl_QCOM[[#This Row],[BB_Mean]]-(BB_Width*tbl_QCOM[[#This Row],[BB_Stdev]]))</f>
        <v>114.37109736856024</v>
      </c>
      <c r="M54" s="46">
        <f>IF(ROW(tbl_QCOM[[#This Row],[Adj Close]])=5, 0, $F54-$F53)</f>
        <v>-0.61000100000001112</v>
      </c>
      <c r="N54" s="46">
        <f>MAX(tbl_QCOM[[#This Row],[Move]],0)</f>
        <v>0</v>
      </c>
      <c r="O54" s="46">
        <f>MAX(-tbl_QCOM[[#This Row],[Move]],0)</f>
        <v>0.61000100000001112</v>
      </c>
      <c r="P54" s="46">
        <f ca="1">IF(ROW($N54)-5&lt;RSI_Periods, "", AVERAGE(INDIRECT(ADDRESS(ROW($N54)-RSI_Periods +1, MATCH("Upmove", Price_Header,0))): INDIRECT(ADDRESS(ROW($N54),MATCH("Upmove", Price_Header,0)))))</f>
        <v>1.3335714285714297</v>
      </c>
      <c r="Q54" s="46">
        <f ca="1">IF(ROW($O54)-5&lt;RSI_Periods, "", AVERAGE(INDIRECT(ADDRESS(ROW($O54)-RSI_Periods +1, MATCH("Downmove", Price_Header,0))): INDIRECT(ADDRESS(ROW($O54),MATCH("Downmove", Price_Header,0)))))</f>
        <v>0.54499992857143043</v>
      </c>
      <c r="R54" s="46">
        <f ca="1">IF(tbl_QCOM[[#This Row],[Avg_Upmove]]="", "", tbl_QCOM[[#This Row],[Avg_Upmove]]/tbl_QCOM[[#This Row],[Avg_Downmove]])</f>
        <v>2.4469203731219302</v>
      </c>
      <c r="S54" s="10">
        <f ca="1">IF(ROW($N54)-4&lt;BB_Periods, "", _xlfn.STDEV.S(INDIRECT(ADDRESS(ROW($F54)-RSI_Periods +1, MATCH("Adj Close", Price_Header,0))): INDIRECT(ADDRESS(ROW($F54),MATCH("Adj Close", Price_Header,0)))))</f>
        <v>4.7083798514341595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SUBTOTAL(103,tbl_QCOM[BB_Stdev])</f>
        <v>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49" workbookViewId="0">
      <selection activeCell="J21" sqref="J21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333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6.91</v>
      </c>
      <c r="C5" s="10">
        <v>7.13</v>
      </c>
      <c r="D5" s="10">
        <v>6.91</v>
      </c>
      <c r="E5" s="10">
        <v>7.09</v>
      </c>
      <c r="F5" s="10">
        <v>7.09</v>
      </c>
      <c r="G5">
        <v>57229000</v>
      </c>
      <c r="H5" s="10">
        <f>IF(tbl_F[[#This Row],[Date]]=$A$5, $F5, EMA_Beta*$H4 + (1-EMA_Beta)*$F5)</f>
        <v>7.09</v>
      </c>
      <c r="I5" s="46" t="str">
        <f ca="1">IF(tbl_F[[#This Row],[RS]]= "", "", 100-(100/(1+tbl_F[[#This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IF(tbl_F[[#This Row],[BB_Mean]]="", "", tbl_F[[#This Row],[BB_Mean]]+(BB_Width*tbl_F[[#This Row],[BB_Stdev]]))</f>
        <v/>
      </c>
      <c r="L5" s="10" t="str">
        <f ca="1">IF(tbl_F[[#This Row],[BB_Mean]]="", "", tbl_F[[#This Row],[BB_Mean]]-(BB_Width*tbl_F[[#This Row],[BB_Stdev]]))</f>
        <v/>
      </c>
      <c r="M5" s="46">
        <f>IF(ROW(tbl_F[[#This Row],[Adj Close]])=5, 0, $F5-$F4)</f>
        <v>0</v>
      </c>
      <c r="N5" s="46">
        <f>MAX(tbl_F[[#This Row],[Move]],0)</f>
        <v>0</v>
      </c>
      <c r="O5" s="46">
        <f>MAX(-tbl_F[[#This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IF(tbl_F[[#This Row],[Avg_Upmove]]="", "", tbl_F[[#This Row],[Avg_Upmove]]/tbl_F[[#This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7.21</v>
      </c>
      <c r="C6" s="10">
        <v>7.38</v>
      </c>
      <c r="D6" s="10">
        <v>7.19</v>
      </c>
      <c r="E6" s="10">
        <v>7.23</v>
      </c>
      <c r="F6" s="10">
        <v>7.23</v>
      </c>
      <c r="G6">
        <v>74016400</v>
      </c>
      <c r="H6" s="10">
        <f>IF(tbl_F[[#This Row],[Date]]=$A$5, $F6, EMA_Beta*$H5 + (1-EMA_Beta)*$F6)</f>
        <v>7.1040000000000001</v>
      </c>
      <c r="I6" s="46" t="str">
        <f ca="1">IF(tbl_F[[#This Row],[RS]]= "", "", 100-(100/(1+tbl_F[[#This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IF(tbl_F[[#This Row],[BB_Mean]]="", "", tbl_F[[#This Row],[BB_Mean]]+(BB_Width*tbl_F[[#This Row],[BB_Stdev]]))</f>
        <v/>
      </c>
      <c r="L6" s="10" t="str">
        <f ca="1">IF(tbl_F[[#This Row],[BB_Mean]]="", "", tbl_F[[#This Row],[BB_Mean]]-(BB_Width*tbl_F[[#This Row],[BB_Stdev]]))</f>
        <v/>
      </c>
      <c r="M6" s="46">
        <f>IF(ROW(tbl_F[[#This Row],[Adj Close]])=5, 0, $F6-$F5)</f>
        <v>0.14000000000000057</v>
      </c>
      <c r="N6" s="46">
        <f>MAX(tbl_F[[#This Row],[Move]],0)</f>
        <v>0.14000000000000057</v>
      </c>
      <c r="O6" s="46">
        <f>MAX(-tbl_F[[#This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IF(tbl_F[[#This Row],[Avg_Upmove]]="", "", tbl_F[[#This Row],[Avg_Upmove]]/tbl_F[[#This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7.33</v>
      </c>
      <c r="C7" s="10">
        <v>7.37</v>
      </c>
      <c r="D7" s="10">
        <v>7.06</v>
      </c>
      <c r="E7" s="10">
        <v>7.11</v>
      </c>
      <c r="F7" s="10">
        <v>7.11</v>
      </c>
      <c r="G7">
        <v>59194100</v>
      </c>
      <c r="H7" s="10">
        <f>IF(tbl_F[[#This Row],[Date]]=$A$5, $F7, EMA_Beta*$H6 + (1-EMA_Beta)*$F7)</f>
        <v>7.1045999999999996</v>
      </c>
      <c r="I7" s="46" t="str">
        <f ca="1">IF(tbl_F[[#This Row],[RS]]= "", "", 100-(100/(1+tbl_F[[#This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IF(tbl_F[[#This Row],[BB_Mean]]="", "", tbl_F[[#This Row],[BB_Mean]]+(BB_Width*tbl_F[[#This Row],[BB_Stdev]]))</f>
        <v/>
      </c>
      <c r="L7" s="10" t="str">
        <f ca="1">IF(tbl_F[[#This Row],[BB_Mean]]="", "", tbl_F[[#This Row],[BB_Mean]]-(BB_Width*tbl_F[[#This Row],[BB_Stdev]]))</f>
        <v/>
      </c>
      <c r="M7" s="46">
        <f>IF(ROW(tbl_F[[#This Row],[Adj Close]])=5, 0, $F7-$F6)</f>
        <v>-0.12000000000000011</v>
      </c>
      <c r="N7" s="46">
        <f>MAX(tbl_F[[#This Row],[Move]],0)</f>
        <v>0</v>
      </c>
      <c r="O7" s="46">
        <f>MAX(-tbl_F[[#This Row],[Move]],0)</f>
        <v>0.12000000000000011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IF(tbl_F[[#This Row],[Avg_Upmove]]="", "", tbl_F[[#This Row],[Avg_Upmove]]/tbl_F[[#This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7.03</v>
      </c>
      <c r="C8" s="10">
        <v>7.18</v>
      </c>
      <c r="D8" s="10">
        <v>7</v>
      </c>
      <c r="E8" s="10">
        <v>7.03</v>
      </c>
      <c r="F8" s="10">
        <v>7.03</v>
      </c>
      <c r="G8">
        <v>50066800</v>
      </c>
      <c r="H8" s="10">
        <f>IF(tbl_F[[#This Row],[Date]]=$A$5, $F8, EMA_Beta*$H7 + (1-EMA_Beta)*$F8)</f>
        <v>7.0971399999999996</v>
      </c>
      <c r="I8" s="46" t="str">
        <f ca="1">IF(tbl_F[[#This Row],[RS]]= "", "", 100-(100/(1+tbl_F[[#This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IF(tbl_F[[#This Row],[BB_Mean]]="", "", tbl_F[[#This Row],[BB_Mean]]+(BB_Width*tbl_F[[#This Row],[BB_Stdev]]))</f>
        <v/>
      </c>
      <c r="L8" s="10" t="str">
        <f ca="1">IF(tbl_F[[#This Row],[BB_Mean]]="", "", tbl_F[[#This Row],[BB_Mean]]-(BB_Width*tbl_F[[#This Row],[BB_Stdev]]))</f>
        <v/>
      </c>
      <c r="M8" s="46">
        <f>IF(ROW(tbl_F[[#This Row],[Adj Close]])=5, 0, $F8-$F7)</f>
        <v>-8.0000000000000071E-2</v>
      </c>
      <c r="N8" s="46">
        <f>MAX(tbl_F[[#This Row],[Move]],0)</f>
        <v>0</v>
      </c>
      <c r="O8" s="46">
        <f>MAX(-tbl_F[[#This Row],[Move]],0)</f>
        <v>8.0000000000000071E-2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IF(tbl_F[[#This Row],[Avg_Upmove]]="", "", tbl_F[[#This Row],[Avg_Upmove]]/tbl_F[[#This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6.97</v>
      </c>
      <c r="C9" s="10">
        <v>7.11</v>
      </c>
      <c r="D9" s="10">
        <v>6.93</v>
      </c>
      <c r="E9" s="10">
        <v>7.04</v>
      </c>
      <c r="F9" s="10">
        <v>7.04</v>
      </c>
      <c r="G9">
        <v>43517700</v>
      </c>
      <c r="H9" s="10">
        <f>IF(tbl_F[[#This Row],[Date]]=$A$5, $F9, EMA_Beta*$H8 + (1-EMA_Beta)*$F9)</f>
        <v>7.0914259999999993</v>
      </c>
      <c r="I9" s="46" t="str">
        <f ca="1">IF(tbl_F[[#This Row],[RS]]= "", "", 100-(100/(1+tbl_F[[#This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IF(tbl_F[[#This Row],[BB_Mean]]="", "", tbl_F[[#This Row],[BB_Mean]]+(BB_Width*tbl_F[[#This Row],[BB_Stdev]]))</f>
        <v/>
      </c>
      <c r="L9" s="10" t="str">
        <f ca="1">IF(tbl_F[[#This Row],[BB_Mean]]="", "", tbl_F[[#This Row],[BB_Mean]]-(BB_Width*tbl_F[[#This Row],[BB_Stdev]]))</f>
        <v/>
      </c>
      <c r="M9" s="46">
        <f>IF(ROW(tbl_F[[#This Row],[Adj Close]])=5, 0, $F9-$F8)</f>
        <v>9.9999999999997868E-3</v>
      </c>
      <c r="N9" s="46">
        <f>MAX(tbl_F[[#This Row],[Move]],0)</f>
        <v>9.9999999999997868E-3</v>
      </c>
      <c r="O9" s="46">
        <f>MAX(-tbl_F[[#This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IF(tbl_F[[#This Row],[Avg_Upmove]]="", "", tbl_F[[#This Row],[Avg_Upmove]]/tbl_F[[#This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7.05</v>
      </c>
      <c r="C10" s="10">
        <v>7.06</v>
      </c>
      <c r="D10" s="10">
        <v>6.87</v>
      </c>
      <c r="E10" s="10">
        <v>6.98</v>
      </c>
      <c r="F10" s="10">
        <v>6.98</v>
      </c>
      <c r="G10">
        <v>64555200</v>
      </c>
      <c r="H10" s="10">
        <f>IF(tbl_F[[#This Row],[Date]]=$A$5, $F10, EMA_Beta*$H9 + (1-EMA_Beta)*$F10)</f>
        <v>7.080283399999999</v>
      </c>
      <c r="I10" s="46" t="str">
        <f ca="1">IF(tbl_F[[#This Row],[RS]]= "", "", 100-(100/(1+tbl_F[[#This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IF(tbl_F[[#This Row],[BB_Mean]]="", "", tbl_F[[#This Row],[BB_Mean]]+(BB_Width*tbl_F[[#This Row],[BB_Stdev]]))</f>
        <v/>
      </c>
      <c r="L10" s="10" t="str">
        <f ca="1">IF(tbl_F[[#This Row],[BB_Mean]]="", "", tbl_F[[#This Row],[BB_Mean]]-(BB_Width*tbl_F[[#This Row],[BB_Stdev]]))</f>
        <v/>
      </c>
      <c r="M10" s="46">
        <f>IF(ROW(tbl_F[[#This Row],[Adj Close]])=5, 0, $F10-$F9)</f>
        <v>-5.9999999999999609E-2</v>
      </c>
      <c r="N10" s="46">
        <f>MAX(tbl_F[[#This Row],[Move]],0)</f>
        <v>0</v>
      </c>
      <c r="O10" s="46">
        <f>MAX(-tbl_F[[#This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IF(tbl_F[[#This Row],[Avg_Upmove]]="", "", tbl_F[[#This Row],[Avg_Upmove]]/tbl_F[[#This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6.98</v>
      </c>
      <c r="C11" s="10">
        <v>7.01</v>
      </c>
      <c r="D11" s="10">
        <v>6.89</v>
      </c>
      <c r="E11" s="10">
        <v>6.89</v>
      </c>
      <c r="F11" s="10">
        <v>6.89</v>
      </c>
      <c r="G11">
        <v>40444200</v>
      </c>
      <c r="H11" s="10">
        <f>IF(tbl_F[[#This Row],[Date]]=$A$5, $F11, EMA_Beta*$H10 + (1-EMA_Beta)*$F11)</f>
        <v>7.0612550599999997</v>
      </c>
      <c r="I11" s="46" t="str">
        <f ca="1">IF(tbl_F[[#This Row],[RS]]= "", "", 100-(100/(1+tbl_F[[#This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IF(tbl_F[[#This Row],[BB_Mean]]="", "", tbl_F[[#This Row],[BB_Mean]]+(BB_Width*tbl_F[[#This Row],[BB_Stdev]]))</f>
        <v/>
      </c>
      <c r="L11" s="10" t="str">
        <f ca="1">IF(tbl_F[[#This Row],[BB_Mean]]="", "", tbl_F[[#This Row],[BB_Mean]]-(BB_Width*tbl_F[[#This Row],[BB_Stdev]]))</f>
        <v/>
      </c>
      <c r="M11" s="46">
        <f>IF(ROW(tbl_F[[#This Row],[Adj Close]])=5, 0, $F11-$F10)</f>
        <v>-9.0000000000000746E-2</v>
      </c>
      <c r="N11" s="46">
        <f>MAX(tbl_F[[#This Row],[Move]],0)</f>
        <v>0</v>
      </c>
      <c r="O11" s="46">
        <f>MAX(-tbl_F[[#This Row],[Move]],0)</f>
        <v>9.0000000000000746E-2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IF(tbl_F[[#This Row],[Avg_Upmove]]="", "", tbl_F[[#This Row],[Avg_Upmove]]/tbl_F[[#This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6.89</v>
      </c>
      <c r="C12" s="10">
        <v>7.02</v>
      </c>
      <c r="D12" s="10">
        <v>6.86</v>
      </c>
      <c r="E12" s="10">
        <v>6.87</v>
      </c>
      <c r="F12" s="10">
        <v>6.87</v>
      </c>
      <c r="G12">
        <v>44158100</v>
      </c>
      <c r="H12" s="10">
        <f>IF(tbl_F[[#This Row],[Date]]=$A$5, $F12, EMA_Beta*$H11 + (1-EMA_Beta)*$F12)</f>
        <v>7.0421295539999988</v>
      </c>
      <c r="I12" s="46" t="str">
        <f ca="1">IF(tbl_F[[#This Row],[RS]]= "", "", 100-(100/(1+tbl_F[[#This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IF(tbl_F[[#This Row],[BB_Mean]]="", "", tbl_F[[#This Row],[BB_Mean]]+(BB_Width*tbl_F[[#This Row],[BB_Stdev]]))</f>
        <v/>
      </c>
      <c r="L12" s="10" t="str">
        <f ca="1">IF(tbl_F[[#This Row],[BB_Mean]]="", "", tbl_F[[#This Row],[BB_Mean]]-(BB_Width*tbl_F[[#This Row],[BB_Stdev]]))</f>
        <v/>
      </c>
      <c r="M12" s="46">
        <f>IF(ROW(tbl_F[[#This Row],[Adj Close]])=5, 0, $F12-$F11)</f>
        <v>-1.9999999999999574E-2</v>
      </c>
      <c r="N12" s="46">
        <f>MAX(tbl_F[[#This Row],[Move]],0)</f>
        <v>0</v>
      </c>
      <c r="O12" s="46">
        <f>MAX(-tbl_F[[#This Row],[Move]],0)</f>
        <v>1.9999999999999574E-2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IF(tbl_F[[#This Row],[Avg_Upmove]]="", "", tbl_F[[#This Row],[Avg_Upmove]]/tbl_F[[#This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6.77</v>
      </c>
      <c r="C13" s="10">
        <v>6.89</v>
      </c>
      <c r="D13" s="10">
        <v>6.73</v>
      </c>
      <c r="E13" s="10">
        <v>6.84</v>
      </c>
      <c r="F13" s="10">
        <v>6.84</v>
      </c>
      <c r="G13">
        <v>41824500</v>
      </c>
      <c r="H13" s="10">
        <f>IF(tbl_F[[#This Row],[Date]]=$A$5, $F13, EMA_Beta*$H12 + (1-EMA_Beta)*$F13)</f>
        <v>7.0219165985999989</v>
      </c>
      <c r="I13" s="46" t="str">
        <f ca="1">IF(tbl_F[[#This Row],[RS]]= "", "", 100-(100/(1+tbl_F[[#This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IF(tbl_F[[#This Row],[BB_Mean]]="", "", tbl_F[[#This Row],[BB_Mean]]+(BB_Width*tbl_F[[#This Row],[BB_Stdev]]))</f>
        <v/>
      </c>
      <c r="L13" s="10" t="str">
        <f ca="1">IF(tbl_F[[#This Row],[BB_Mean]]="", "", tbl_F[[#This Row],[BB_Mean]]-(BB_Width*tbl_F[[#This Row],[BB_Stdev]]))</f>
        <v/>
      </c>
      <c r="M13" s="46">
        <f>IF(ROW(tbl_F[[#This Row],[Adj Close]])=5, 0, $F13-$F12)</f>
        <v>-3.0000000000000249E-2</v>
      </c>
      <c r="N13" s="46">
        <f>MAX(tbl_F[[#This Row],[Move]],0)</f>
        <v>0</v>
      </c>
      <c r="O13" s="46">
        <f>MAX(-tbl_F[[#This Row],[Move]],0)</f>
        <v>3.0000000000000249E-2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IF(tbl_F[[#This Row],[Avg_Upmove]]="", "", tbl_F[[#This Row],[Avg_Upmove]]/tbl_F[[#This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6.78</v>
      </c>
      <c r="C14" s="10">
        <v>6.85</v>
      </c>
      <c r="D14" s="10">
        <v>6.65</v>
      </c>
      <c r="E14" s="10">
        <v>6.66</v>
      </c>
      <c r="F14" s="10">
        <v>6.66</v>
      </c>
      <c r="G14">
        <v>39158900</v>
      </c>
      <c r="H14" s="10">
        <f>IF(tbl_F[[#This Row],[Date]]=$A$5, $F14, EMA_Beta*$H13 + (1-EMA_Beta)*$F14)</f>
        <v>6.9857249387399989</v>
      </c>
      <c r="I14" s="46" t="str">
        <f ca="1">IF(tbl_F[[#This Row],[RS]]= "", "", 100-(100/(1+tbl_F[[#This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IF(tbl_F[[#This Row],[BB_Mean]]="", "", tbl_F[[#This Row],[BB_Mean]]+(BB_Width*tbl_F[[#This Row],[BB_Stdev]]))</f>
        <v/>
      </c>
      <c r="L14" s="10" t="str">
        <f ca="1">IF(tbl_F[[#This Row],[BB_Mean]]="", "", tbl_F[[#This Row],[BB_Mean]]-(BB_Width*tbl_F[[#This Row],[BB_Stdev]]))</f>
        <v/>
      </c>
      <c r="M14" s="46">
        <f>IF(ROW(tbl_F[[#This Row],[Adj Close]])=5, 0, $F14-$F13)</f>
        <v>-0.17999999999999972</v>
      </c>
      <c r="N14" s="46">
        <f>MAX(tbl_F[[#This Row],[Move]],0)</f>
        <v>0</v>
      </c>
      <c r="O14" s="46">
        <f>MAX(-tbl_F[[#This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IF(tbl_F[[#This Row],[Avg_Upmove]]="", "", tbl_F[[#This Row],[Avg_Upmove]]/tbl_F[[#This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6.73</v>
      </c>
      <c r="C15" s="10">
        <v>7</v>
      </c>
      <c r="D15" s="10">
        <v>6.69</v>
      </c>
      <c r="E15" s="10">
        <v>6.98</v>
      </c>
      <c r="F15" s="10">
        <v>6.98</v>
      </c>
      <c r="G15">
        <v>64974700</v>
      </c>
      <c r="H15" s="10">
        <f>IF(tbl_F[[#This Row],[Date]]=$A$5, $F15, EMA_Beta*$H14 + (1-EMA_Beta)*$F15)</f>
        <v>6.9851524448659985</v>
      </c>
      <c r="I15" s="46" t="str">
        <f ca="1">IF(tbl_F[[#This Row],[RS]]= "", "", 100-(100/(1+tbl_F[[#This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IF(tbl_F[[#This Row],[BB_Mean]]="", "", tbl_F[[#This Row],[BB_Mean]]+(BB_Width*tbl_F[[#This Row],[BB_Stdev]]))</f>
        <v/>
      </c>
      <c r="L15" s="10" t="str">
        <f ca="1">IF(tbl_F[[#This Row],[BB_Mean]]="", "", tbl_F[[#This Row],[BB_Mean]]-(BB_Width*tbl_F[[#This Row],[BB_Stdev]]))</f>
        <v/>
      </c>
      <c r="M15" s="46">
        <f>IF(ROW(tbl_F[[#This Row],[Adj Close]])=5, 0, $F15-$F14)</f>
        <v>0.32000000000000028</v>
      </c>
      <c r="N15" s="46">
        <f>MAX(tbl_F[[#This Row],[Move]],0)</f>
        <v>0.32000000000000028</v>
      </c>
      <c r="O15" s="46">
        <f>MAX(-tbl_F[[#This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IF(tbl_F[[#This Row],[Avg_Upmove]]="", "", tbl_F[[#This Row],[Avg_Upmove]]/tbl_F[[#This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7.01</v>
      </c>
      <c r="C16" s="10">
        <v>7.1</v>
      </c>
      <c r="D16" s="10">
        <v>6.86</v>
      </c>
      <c r="E16" s="10">
        <v>6.94</v>
      </c>
      <c r="F16" s="10">
        <v>6.94</v>
      </c>
      <c r="G16">
        <v>49550000</v>
      </c>
      <c r="H16" s="10">
        <f>IF(tbl_F[[#This Row],[Date]]=$A$5, $F16, EMA_Beta*$H15 + (1-EMA_Beta)*$F16)</f>
        <v>6.9806372003793991</v>
      </c>
      <c r="I16" s="46" t="str">
        <f ca="1">IF(tbl_F[[#This Row],[RS]]= "", "", 100-(100/(1+tbl_F[[#This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IF(tbl_F[[#This Row],[BB_Mean]]="", "", tbl_F[[#This Row],[BB_Mean]]+(BB_Width*tbl_F[[#This Row],[BB_Stdev]]))</f>
        <v/>
      </c>
      <c r="L16" s="10" t="str">
        <f ca="1">IF(tbl_F[[#This Row],[BB_Mean]]="", "", tbl_F[[#This Row],[BB_Mean]]-(BB_Width*tbl_F[[#This Row],[BB_Stdev]]))</f>
        <v/>
      </c>
      <c r="M16" s="46">
        <f>IF(ROW(tbl_F[[#This Row],[Adj Close]])=5, 0, $F16-$F15)</f>
        <v>-4.0000000000000036E-2</v>
      </c>
      <c r="N16" s="46">
        <f>MAX(tbl_F[[#This Row],[Move]],0)</f>
        <v>0</v>
      </c>
      <c r="O16" s="46">
        <f>MAX(-tbl_F[[#This Row],[Move]],0)</f>
        <v>4.0000000000000036E-2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IF(tbl_F[[#This Row],[Avg_Upmove]]="", "", tbl_F[[#This Row],[Avg_Upmove]]/tbl_F[[#This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6.94</v>
      </c>
      <c r="C17" s="10">
        <v>6.97</v>
      </c>
      <c r="D17" s="10">
        <v>6.77</v>
      </c>
      <c r="E17" s="10">
        <v>6.82</v>
      </c>
      <c r="F17" s="10">
        <v>6.82</v>
      </c>
      <c r="G17">
        <v>48600100</v>
      </c>
      <c r="H17" s="10">
        <f>IF(tbl_F[[#This Row],[Date]]=$A$5, $F17, EMA_Beta*$H16 + (1-EMA_Beta)*$F17)</f>
        <v>6.9645734803414587</v>
      </c>
      <c r="I17" s="46" t="str">
        <f ca="1">IF(tbl_F[[#This Row],[RS]]= "", "", 100-(100/(1+tbl_F[[#This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IF(tbl_F[[#This Row],[BB_Mean]]="", "", tbl_F[[#This Row],[BB_Mean]]+(BB_Width*tbl_F[[#This Row],[BB_Stdev]]))</f>
        <v/>
      </c>
      <c r="L17" s="10" t="str">
        <f ca="1">IF(tbl_F[[#This Row],[BB_Mean]]="", "", tbl_F[[#This Row],[BB_Mean]]-(BB_Width*tbl_F[[#This Row],[BB_Stdev]]))</f>
        <v/>
      </c>
      <c r="M17" s="46">
        <f>IF(ROW(tbl_F[[#This Row],[Adj Close]])=5, 0, $F17-$F16)</f>
        <v>-0.12000000000000011</v>
      </c>
      <c r="N17" s="46">
        <f>MAX(tbl_F[[#This Row],[Move]],0)</f>
        <v>0</v>
      </c>
      <c r="O17" s="46">
        <f>MAX(-tbl_F[[#This Row],[Move]],0)</f>
        <v>0.12000000000000011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IF(tbl_F[[#This Row],[Avg_Upmove]]="", "", tbl_F[[#This Row],[Avg_Upmove]]/tbl_F[[#This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6.83</v>
      </c>
      <c r="C18" s="10">
        <v>6.98</v>
      </c>
      <c r="D18" s="10">
        <v>6.83</v>
      </c>
      <c r="E18" s="10">
        <v>6.91</v>
      </c>
      <c r="F18" s="10">
        <v>6.91</v>
      </c>
      <c r="G18">
        <v>45740900</v>
      </c>
      <c r="H18" s="10">
        <f>IF(tbl_F[[#This Row],[Date]]=$A$5, $F18, EMA_Beta*$H17 + (1-EMA_Beta)*$F18)</f>
        <v>6.9591161323073125</v>
      </c>
      <c r="I18" s="46" t="str">
        <f ca="1">IF(tbl_F[[#This Row],[RS]]= "", "", 100-(100/(1+tbl_F[[#This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6.9564285714285701</v>
      </c>
      <c r="K18" s="10">
        <f ca="1">IF(tbl_F[[#This Row],[BB_Mean]]="", "", tbl_F[[#This Row],[BB_Mean]]+(BB_Width*tbl_F[[#This Row],[BB_Stdev]]))</f>
        <v>7.2415042313298184</v>
      </c>
      <c r="L18" s="10">
        <f ca="1">IF(tbl_F[[#This Row],[BB_Mean]]="", "", tbl_F[[#This Row],[BB_Mean]]-(BB_Width*tbl_F[[#This Row],[BB_Stdev]]))</f>
        <v>6.6713529115273218</v>
      </c>
      <c r="M18" s="46">
        <f>IF(ROW(tbl_F[[#This Row],[Adj Close]])=5, 0, $F18-$F17)</f>
        <v>8.9999999999999858E-2</v>
      </c>
      <c r="N18" s="46">
        <f>MAX(tbl_F[[#This Row],[Move]],0)</f>
        <v>8.9999999999999858E-2</v>
      </c>
      <c r="O18" s="46">
        <f>MAX(-tbl_F[[#This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IF(tbl_F[[#This Row],[Avg_Upmove]]="", "", tbl_F[[#This Row],[Avg_Upmove]]/tbl_F[[#This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0.14253782995062392</v>
      </c>
    </row>
    <row r="19" spans="1:19" x14ac:dyDescent="0.25">
      <c r="A19" s="8">
        <v>44071</v>
      </c>
      <c r="B19" s="10">
        <v>6.93</v>
      </c>
      <c r="C19" s="10">
        <v>6.95</v>
      </c>
      <c r="D19" s="10">
        <v>6.86</v>
      </c>
      <c r="E19" s="10">
        <v>6.94</v>
      </c>
      <c r="F19" s="10">
        <v>6.94</v>
      </c>
      <c r="G19">
        <v>39936900</v>
      </c>
      <c r="H19" s="10">
        <f>IF(tbl_F[[#This Row],[Date]]=$A$5, $F19, EMA_Beta*$H18 + (1-EMA_Beta)*$F19)</f>
        <v>6.9572045190765817</v>
      </c>
      <c r="I19" s="46">
        <f ca="1">IF(tbl_F[[#This Row],[RS]]= "", "", 100-(100/(1+tbl_F[[#This Row],[RS]])))</f>
        <v>44.360902255639118</v>
      </c>
      <c r="J19" s="10">
        <f ca="1">IF(ROW($N19)-4&lt;BB_Periods, "", AVERAGE(INDIRECT(ADDRESS(ROW($F19)-RSI_Periods +1, MATCH("Adj Close", Price_Header,0))): INDIRECT(ADDRESS(ROW($F19),MATCH("Adj Close", Price_Header,0)))))</f>
        <v>6.945714285714284</v>
      </c>
      <c r="K19" s="10">
        <f ca="1">IF(tbl_F[[#This Row],[BB_Mean]]="", "", tbl_F[[#This Row],[BB_Mean]]+(BB_Width*tbl_F[[#This Row],[BB_Stdev]]))</f>
        <v>7.2202448540796906</v>
      </c>
      <c r="L19" s="10">
        <f ca="1">IF(tbl_F[[#This Row],[BB_Mean]]="", "", tbl_F[[#This Row],[BB_Mean]]-(BB_Width*tbl_F[[#This Row],[BB_Stdev]]))</f>
        <v>6.6711837173488773</v>
      </c>
      <c r="M19" s="46">
        <f>IF(ROW(tbl_F[[#This Row],[Adj Close]])=5, 0, $F19-$F18)</f>
        <v>3.0000000000000249E-2</v>
      </c>
      <c r="N19" s="46">
        <f>MAX(tbl_F[[#This Row],[Move]],0)</f>
        <v>3.0000000000000249E-2</v>
      </c>
      <c r="O19" s="46">
        <f>MAX(-tbl_F[[#This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4.2142857142857197E-2</v>
      </c>
      <c r="Q19" s="46">
        <f ca="1">IF(ROW($O19)-5&lt;RSI_Periods, "", AVERAGE(INDIRECT(ADDRESS(ROW($O19)-RSI_Periods +1, MATCH("Downmove", Price_Header,0))): INDIRECT(ADDRESS(ROW($O19),MATCH("Downmove", Price_Header,0)))))</f>
        <v>5.2857142857142873E-2</v>
      </c>
      <c r="R19" s="46">
        <f ca="1">IF(tbl_F[[#This Row],[Avg_Upmove]]="", "", tbl_F[[#This Row],[Avg_Upmove]]/tbl_F[[#This Row],[Avg_Downmove]])</f>
        <v>0.79729729729729804</v>
      </c>
      <c r="S19" s="10">
        <f ca="1">IF(ROW($N19)-4&lt;BB_Periods, "", _xlfn.STDEV.S(INDIRECT(ADDRESS(ROW($F19)-RSI_Periods +1, MATCH("Adj Close", Price_Header,0))): INDIRECT(ADDRESS(ROW($F19),MATCH("Adj Close", Price_Header,0)))))</f>
        <v>0.1372652841827032</v>
      </c>
    </row>
    <row r="20" spans="1:19" x14ac:dyDescent="0.25">
      <c r="A20" s="8">
        <v>44074</v>
      </c>
      <c r="B20" s="10">
        <v>6.9</v>
      </c>
      <c r="C20" s="10">
        <v>6.93</v>
      </c>
      <c r="D20" s="10">
        <v>6.79</v>
      </c>
      <c r="E20" s="10">
        <v>6.82</v>
      </c>
      <c r="F20" s="10">
        <v>6.82</v>
      </c>
      <c r="G20">
        <v>50089500</v>
      </c>
      <c r="H20" s="10">
        <f>IF(tbl_F[[#This Row],[Date]]=$A$5, $F20, EMA_Beta*$H19 + (1-EMA_Beta)*$F20)</f>
        <v>6.9434840671689235</v>
      </c>
      <c r="I20" s="46">
        <f ca="1">IF(tbl_F[[#This Row],[RS]]= "", "", 100-(100/(1+tbl_F[[#This Row],[RS]])))</f>
        <v>34.351145038167942</v>
      </c>
      <c r="J20" s="10">
        <f ca="1">IF(ROW($N20)-4&lt;BB_Periods, "", AVERAGE(INDIRECT(ADDRESS(ROW($F20)-RSI_Periods +1, MATCH("Adj Close", Price_Header,0))): INDIRECT(ADDRESS(ROW($F20),MATCH("Adj Close", Price_Header,0)))))</f>
        <v>6.91642857142857</v>
      </c>
      <c r="K20" s="10">
        <f ca="1">IF(tbl_F[[#This Row],[BB_Mean]]="", "", tbl_F[[#This Row],[BB_Mean]]+(BB_Width*tbl_F[[#This Row],[BB_Stdev]]))</f>
        <v>7.143734822702335</v>
      </c>
      <c r="L20" s="10">
        <f ca="1">IF(tbl_F[[#This Row],[BB_Mean]]="", "", tbl_F[[#This Row],[BB_Mean]]-(BB_Width*tbl_F[[#This Row],[BB_Stdev]]))</f>
        <v>6.6891223201548051</v>
      </c>
      <c r="M20" s="46">
        <f>IF(ROW(tbl_F[[#This Row],[Adj Close]])=5, 0, $F20-$F19)</f>
        <v>-0.12000000000000011</v>
      </c>
      <c r="N20" s="46">
        <f>MAX(tbl_F[[#This Row],[Move]],0)</f>
        <v>0</v>
      </c>
      <c r="O20" s="46">
        <f>MAX(-tbl_F[[#This Row],[Move]],0)</f>
        <v>0.12000000000000011</v>
      </c>
      <c r="P20" s="46">
        <f ca="1">IF(ROW($N20)-5&lt;RSI_Periods, "", AVERAGE(INDIRECT(ADDRESS(ROW($N20)-RSI_Periods +1, MATCH("Upmove", Price_Header,0))): INDIRECT(ADDRESS(ROW($N20),MATCH("Upmove", Price_Header,0)))))</f>
        <v>3.2142857142857154E-2</v>
      </c>
      <c r="Q20" s="46">
        <f ca="1">IF(ROW($O20)-5&lt;RSI_Periods, "", AVERAGE(INDIRECT(ADDRESS(ROW($O20)-RSI_Periods +1, MATCH("Downmove", Price_Header,0))): INDIRECT(ADDRESS(ROW($O20),MATCH("Downmove", Price_Header,0)))))</f>
        <v>6.142857142857145E-2</v>
      </c>
      <c r="R20" s="46">
        <f ca="1">IF(tbl_F[[#This Row],[Avg_Upmove]]="", "", tbl_F[[#This Row],[Avg_Upmove]]/tbl_F[[#This Row],[Avg_Downmove]])</f>
        <v>0.52325581395348841</v>
      </c>
      <c r="S20" s="10">
        <f ca="1">IF(ROW($N20)-4&lt;BB_Periods, "", _xlfn.STDEV.S(INDIRECT(ADDRESS(ROW($F20)-RSI_Periods +1, MATCH("Adj Close", Price_Header,0))): INDIRECT(ADDRESS(ROW($F20),MATCH("Adj Close", Price_Header,0)))))</f>
        <v>0.11365312563688242</v>
      </c>
    </row>
    <row r="21" spans="1:19" x14ac:dyDescent="0.25">
      <c r="A21" s="8">
        <v>44075</v>
      </c>
      <c r="B21" s="10">
        <v>6.77</v>
      </c>
      <c r="C21" s="10">
        <v>6.87</v>
      </c>
      <c r="D21" s="10">
        <v>6.72</v>
      </c>
      <c r="E21" s="10">
        <v>6.83</v>
      </c>
      <c r="F21" s="10">
        <v>6.83</v>
      </c>
      <c r="G21">
        <v>48214200</v>
      </c>
      <c r="H21" s="10">
        <f>IF(tbl_F[[#This Row],[Date]]=$A$5, $F21, EMA_Beta*$H20 + (1-EMA_Beta)*$F21)</f>
        <v>6.9321356604520314</v>
      </c>
      <c r="I21" s="46">
        <f ca="1">IF(tbl_F[[#This Row],[RS]]= "", "", 100-(100/(1+tbl_F[[#This Row],[RS]])))</f>
        <v>38.333333333333329</v>
      </c>
      <c r="J21" s="10">
        <f ca="1">IF(ROW($N21)-4&lt;BB_Periods, "", AVERAGE(INDIRECT(ADDRESS(ROW($F21)-RSI_Periods +1, MATCH("Adj Close", Price_Header,0))): INDIRECT(ADDRESS(ROW($F21),MATCH("Adj Close", Price_Header,0)))))</f>
        <v>6.8964285714285714</v>
      </c>
      <c r="K21" s="10">
        <f ca="1">IF(tbl_F[[#This Row],[BB_Mean]]="", "", tbl_F[[#This Row],[BB_Mean]]+(BB_Width*tbl_F[[#This Row],[BB_Stdev]]))</f>
        <v>7.098206384168936</v>
      </c>
      <c r="L21" s="10">
        <f ca="1">IF(tbl_F[[#This Row],[BB_Mean]]="", "", tbl_F[[#This Row],[BB_Mean]]-(BB_Width*tbl_F[[#This Row],[BB_Stdev]]))</f>
        <v>6.6946507586882067</v>
      </c>
      <c r="M21" s="46">
        <f>IF(ROW(tbl_F[[#This Row],[Adj Close]])=5, 0, $F21-$F20)</f>
        <v>9.9999999999997868E-3</v>
      </c>
      <c r="N21" s="46">
        <f>MAX(tbl_F[[#This Row],[Move]],0)</f>
        <v>9.9999999999997868E-3</v>
      </c>
      <c r="O21" s="46">
        <f>MAX(-tbl_F[[#This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3.2857142857142856E-2</v>
      </c>
      <c r="Q21" s="46">
        <f ca="1">IF(ROW($O21)-5&lt;RSI_Periods, "", AVERAGE(INDIRECT(ADDRESS(ROW($O21)-RSI_Periods +1, MATCH("Downmove", Price_Header,0))): INDIRECT(ADDRESS(ROW($O21),MATCH("Downmove", Price_Header,0)))))</f>
        <v>5.2857142857142873E-2</v>
      </c>
      <c r="R21" s="46">
        <f ca="1">IF(tbl_F[[#This Row],[Avg_Upmove]]="", "", tbl_F[[#This Row],[Avg_Upmove]]/tbl_F[[#This Row],[Avg_Downmove]])</f>
        <v>0.62162162162162138</v>
      </c>
      <c r="S21" s="10">
        <f ca="1">IF(ROW($N21)-4&lt;BB_Periods, "", _xlfn.STDEV.S(INDIRECT(ADDRESS(ROW($F21)-RSI_Periods +1, MATCH("Adj Close", Price_Header,0))): INDIRECT(ADDRESS(ROW($F21),MATCH("Adj Close", Price_Header,0)))))</f>
        <v>0.10088890637018244</v>
      </c>
    </row>
    <row r="22" spans="1:19" x14ac:dyDescent="0.25">
      <c r="A22" s="8">
        <v>44076</v>
      </c>
      <c r="B22" s="10">
        <v>6.81</v>
      </c>
      <c r="C22" s="10">
        <v>6.97</v>
      </c>
      <c r="D22" s="10">
        <v>6.77</v>
      </c>
      <c r="E22" s="10">
        <v>6.95</v>
      </c>
      <c r="F22" s="10">
        <v>6.95</v>
      </c>
      <c r="G22">
        <v>59008900</v>
      </c>
      <c r="H22" s="10">
        <f>IF(tbl_F[[#This Row],[Date]]=$A$5, $F22, EMA_Beta*$H21 + (1-EMA_Beta)*$F22)</f>
        <v>6.9339220944068281</v>
      </c>
      <c r="I22" s="46">
        <f ca="1">IF(tbl_F[[#This Row],[RS]]= "", "", 100-(100/(1+tbl_F[[#This Row],[RS]])))</f>
        <v>46.774193548387096</v>
      </c>
      <c r="J22" s="10">
        <f ca="1">IF(ROW($N22)-4&lt;BB_Periods, "", AVERAGE(INDIRECT(ADDRESS(ROW($F22)-RSI_Periods +1, MATCH("Adj Close", Price_Header,0))): INDIRECT(ADDRESS(ROW($F22),MATCH("Adj Close", Price_Header,0)))))</f>
        <v>6.890714285714286</v>
      </c>
      <c r="K22" s="10">
        <f ca="1">IF(tbl_F[[#This Row],[BB_Mean]]="", "", tbl_F[[#This Row],[BB_Mean]]+(BB_Width*tbl_F[[#This Row],[BB_Stdev]]))</f>
        <v>7.080364049666243</v>
      </c>
      <c r="L22" s="10">
        <f ca="1">IF(tbl_F[[#This Row],[BB_Mean]]="", "", tbl_F[[#This Row],[BB_Mean]]-(BB_Width*tbl_F[[#This Row],[BB_Stdev]]))</f>
        <v>6.701064521762329</v>
      </c>
      <c r="M22" s="46">
        <f>IF(ROW(tbl_F[[#This Row],[Adj Close]])=5, 0, $F22-$F21)</f>
        <v>0.12000000000000011</v>
      </c>
      <c r="N22" s="46">
        <f>MAX(tbl_F[[#This Row],[Move]],0)</f>
        <v>0.12000000000000011</v>
      </c>
      <c r="O22" s="46">
        <f>MAX(-tbl_F[[#This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4.1428571428571433E-2</v>
      </c>
      <c r="Q22" s="46">
        <f ca="1">IF(ROW($O22)-5&lt;RSI_Periods, "", AVERAGE(INDIRECT(ADDRESS(ROW($O22)-RSI_Periods +1, MATCH("Downmove", Price_Header,0))): INDIRECT(ADDRESS(ROW($O22),MATCH("Downmove", Price_Header,0)))))</f>
        <v>4.7142857142857153E-2</v>
      </c>
      <c r="R22" s="46">
        <f ca="1">IF(tbl_F[[#This Row],[Avg_Upmove]]="", "", tbl_F[[#This Row],[Avg_Upmove]]/tbl_F[[#This Row],[Avg_Downmove]])</f>
        <v>0.87878787878787867</v>
      </c>
      <c r="S22" s="10">
        <f ca="1">IF(ROW($N22)-4&lt;BB_Periods, "", _xlfn.STDEV.S(INDIRECT(ADDRESS(ROW($F22)-RSI_Periods +1, MATCH("Adj Close", Price_Header,0))): INDIRECT(ADDRESS(ROW($F22),MATCH("Adj Close", Price_Header,0)))))</f>
        <v>9.4824881975978492E-2</v>
      </c>
    </row>
    <row r="23" spans="1:19" x14ac:dyDescent="0.25">
      <c r="A23" s="8">
        <v>44077</v>
      </c>
      <c r="B23" s="10">
        <v>6.92</v>
      </c>
      <c r="C23" s="10">
        <v>7.09</v>
      </c>
      <c r="D23" s="10">
        <v>6.76</v>
      </c>
      <c r="E23" s="10">
        <v>6.82</v>
      </c>
      <c r="F23" s="10">
        <v>6.82</v>
      </c>
      <c r="G23">
        <v>78130900</v>
      </c>
      <c r="H23" s="10">
        <f>IF(tbl_F[[#This Row],[Date]]=$A$5, $F23, EMA_Beta*$H22 + (1-EMA_Beta)*$F23)</f>
        <v>6.9225298849661447</v>
      </c>
      <c r="I23" s="46">
        <f ca="1">IF(tbl_F[[#This Row],[RS]]= "", "", 100-(100/(1+tbl_F[[#This Row],[RS]])))</f>
        <v>41.911764705882362</v>
      </c>
      <c r="J23" s="10">
        <f ca="1">IF(ROW($N23)-4&lt;BB_Periods, "", AVERAGE(INDIRECT(ADDRESS(ROW($F23)-RSI_Periods +1, MATCH("Adj Close", Price_Header,0))): INDIRECT(ADDRESS(ROW($F23),MATCH("Adj Close", Price_Header,0)))))</f>
        <v>6.875</v>
      </c>
      <c r="K23" s="10">
        <f ca="1">IF(tbl_F[[#This Row],[BB_Mean]]="", "", tbl_F[[#This Row],[BB_Mean]]+(BB_Width*tbl_F[[#This Row],[BB_Stdev]]))</f>
        <v>7.0470017888994629</v>
      </c>
      <c r="L23" s="10">
        <f ca="1">IF(tbl_F[[#This Row],[BB_Mean]]="", "", tbl_F[[#This Row],[BB_Mean]]-(BB_Width*tbl_F[[#This Row],[BB_Stdev]]))</f>
        <v>6.7029982111005371</v>
      </c>
      <c r="M23" s="46">
        <f>IF(ROW(tbl_F[[#This Row],[Adj Close]])=5, 0, $F23-$F22)</f>
        <v>-0.12999999999999989</v>
      </c>
      <c r="N23" s="46">
        <f>MAX(tbl_F[[#This Row],[Move]],0)</f>
        <v>0</v>
      </c>
      <c r="O23" s="46">
        <f>MAX(-tbl_F[[#This Row],[Move]],0)</f>
        <v>0.12999999999999989</v>
      </c>
      <c r="P23" s="46">
        <f ca="1">IF(ROW($N23)-5&lt;RSI_Periods, "", AVERAGE(INDIRECT(ADDRESS(ROW($N23)-RSI_Periods +1, MATCH("Upmove", Price_Header,0))): INDIRECT(ADDRESS(ROW($N23),MATCH("Upmove", Price_Header,0)))))</f>
        <v>4.0714285714285738E-2</v>
      </c>
      <c r="Q23" s="46">
        <f ca="1">IF(ROW($O23)-5&lt;RSI_Periods, "", AVERAGE(INDIRECT(ADDRESS(ROW($O23)-RSI_Periods +1, MATCH("Downmove", Price_Header,0))): INDIRECT(ADDRESS(ROW($O23),MATCH("Downmove", Price_Header,0)))))</f>
        <v>5.6428571428571432E-2</v>
      </c>
      <c r="R23" s="46">
        <f ca="1">IF(tbl_F[[#This Row],[Avg_Upmove]]="", "", tbl_F[[#This Row],[Avg_Upmove]]/tbl_F[[#This Row],[Avg_Downmove]])</f>
        <v>0.72151898734177256</v>
      </c>
      <c r="S23" s="10">
        <f ca="1">IF(ROW($N23)-4&lt;BB_Periods, "", _xlfn.STDEV.S(INDIRECT(ADDRESS(ROW($F23)-RSI_Periods +1, MATCH("Adj Close", Price_Header,0))): INDIRECT(ADDRESS(ROW($F23),MATCH("Adj Close", Price_Header,0)))))</f>
        <v>8.6000894449731496E-2</v>
      </c>
    </row>
    <row r="24" spans="1:19" x14ac:dyDescent="0.25">
      <c r="A24" s="8">
        <v>44078</v>
      </c>
      <c r="B24" s="10">
        <v>6.86</v>
      </c>
      <c r="C24" s="10">
        <v>6.95</v>
      </c>
      <c r="D24" s="10">
        <v>6.75</v>
      </c>
      <c r="E24" s="10">
        <v>6.9</v>
      </c>
      <c r="F24" s="10">
        <v>6.9</v>
      </c>
      <c r="G24">
        <v>70017500</v>
      </c>
      <c r="H24" s="10">
        <f>IF(tbl_F[[#This Row],[Date]]=$A$5, $F24, EMA_Beta*$H23 + (1-EMA_Beta)*$F24)</f>
        <v>6.92027689646953</v>
      </c>
      <c r="I24" s="46">
        <f ca="1">IF(tbl_F[[#This Row],[RS]]= "", "", 100-(100/(1+tbl_F[[#This Row],[RS]])))</f>
        <v>47.10144927536232</v>
      </c>
      <c r="J24" s="10">
        <f ca="1">IF(ROW($N24)-4&lt;BB_Periods, "", AVERAGE(INDIRECT(ADDRESS(ROW($F24)-RSI_Periods +1, MATCH("Adj Close", Price_Header,0))): INDIRECT(ADDRESS(ROW($F24),MATCH("Adj Close", Price_Header,0)))))</f>
        <v>6.8692857142857138</v>
      </c>
      <c r="K24" s="10">
        <f ca="1">IF(tbl_F[[#This Row],[BB_Mean]]="", "", tbl_F[[#This Row],[BB_Mean]]+(BB_Width*tbl_F[[#This Row],[BB_Stdev]]))</f>
        <v>7.0312855786188546</v>
      </c>
      <c r="L24" s="10">
        <f ca="1">IF(tbl_F[[#This Row],[BB_Mean]]="", "", tbl_F[[#This Row],[BB_Mean]]-(BB_Width*tbl_F[[#This Row],[BB_Stdev]]))</f>
        <v>6.7072858499525729</v>
      </c>
      <c r="M24" s="46">
        <f>IF(ROW(tbl_F[[#This Row],[Adj Close]])=5, 0, $F24-$F23)</f>
        <v>8.0000000000000071E-2</v>
      </c>
      <c r="N24" s="46">
        <f>MAX(tbl_F[[#This Row],[Move]],0)</f>
        <v>8.0000000000000071E-2</v>
      </c>
      <c r="O24" s="46">
        <f>MAX(-tbl_F[[#This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4.6428571428571451E-2</v>
      </c>
      <c r="Q24" s="46">
        <f ca="1">IF(ROW($O24)-5&lt;RSI_Periods, "", AVERAGE(INDIRECT(ADDRESS(ROW($O24)-RSI_Periods +1, MATCH("Downmove", Price_Header,0))): INDIRECT(ADDRESS(ROW($O24),MATCH("Downmove", Price_Header,0)))))</f>
        <v>5.2142857142857171E-2</v>
      </c>
      <c r="R24" s="46">
        <f ca="1">IF(tbl_F[[#This Row],[Avg_Upmove]]="", "", tbl_F[[#This Row],[Avg_Upmove]]/tbl_F[[#This Row],[Avg_Downmove]])</f>
        <v>0.89041095890410948</v>
      </c>
      <c r="S24" s="10">
        <f ca="1">IF(ROW($N24)-4&lt;BB_Periods, "", _xlfn.STDEV.S(INDIRECT(ADDRESS(ROW($F24)-RSI_Periods +1, MATCH("Adj Close", Price_Header,0))): INDIRECT(ADDRESS(ROW($F24),MATCH("Adj Close", Price_Header,0)))))</f>
        <v>8.099993216657049E-2</v>
      </c>
    </row>
    <row r="25" spans="1:19" x14ac:dyDescent="0.25">
      <c r="A25" s="8">
        <v>44082</v>
      </c>
      <c r="B25" s="10">
        <v>6.83</v>
      </c>
      <c r="C25" s="10">
        <v>7.17</v>
      </c>
      <c r="D25" s="10">
        <v>6.81</v>
      </c>
      <c r="E25" s="10">
        <v>7.03</v>
      </c>
      <c r="F25" s="10">
        <v>7.03</v>
      </c>
      <c r="G25">
        <v>84749300</v>
      </c>
      <c r="H25" s="10">
        <f>IF(tbl_F[[#This Row],[Date]]=$A$5, $F25, EMA_Beta*$H24 + (1-EMA_Beta)*$F25)</f>
        <v>6.9312492068225762</v>
      </c>
      <c r="I25" s="46">
        <f ca="1">IF(tbl_F[[#This Row],[RS]]= "", "", 100-(100/(1+tbl_F[[#This Row],[RS]])))</f>
        <v>54.92957746478875</v>
      </c>
      <c r="J25" s="10">
        <f ca="1">IF(ROW($N25)-4&lt;BB_Periods, "", AVERAGE(INDIRECT(ADDRESS(ROW($F25)-RSI_Periods +1, MATCH("Adj Close", Price_Header,0))): INDIRECT(ADDRESS(ROW($F25),MATCH("Adj Close", Price_Header,0)))))</f>
        <v>6.8792857142857144</v>
      </c>
      <c r="K25" s="10">
        <f ca="1">IF(tbl_F[[#This Row],[BB_Mean]]="", "", tbl_F[[#This Row],[BB_Mean]]+(BB_Width*tbl_F[[#This Row],[BB_Stdev]]))</f>
        <v>7.0626666604839805</v>
      </c>
      <c r="L25" s="10">
        <f ca="1">IF(tbl_F[[#This Row],[BB_Mean]]="", "", tbl_F[[#This Row],[BB_Mean]]-(BB_Width*tbl_F[[#This Row],[BB_Stdev]]))</f>
        <v>6.6959047680874484</v>
      </c>
      <c r="M25" s="46">
        <f>IF(ROW(tbl_F[[#This Row],[Adj Close]])=5, 0, $F25-$F24)</f>
        <v>0.12999999999999989</v>
      </c>
      <c r="N25" s="46">
        <f>MAX(tbl_F[[#This Row],[Move]],0)</f>
        <v>0.12999999999999989</v>
      </c>
      <c r="O25" s="46">
        <f>MAX(-tbl_F[[#This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5.571428571428573E-2</v>
      </c>
      <c r="Q25" s="46">
        <f ca="1">IF(ROW($O25)-5&lt;RSI_Periods, "", AVERAGE(INDIRECT(ADDRESS(ROW($O25)-RSI_Periods +1, MATCH("Downmove", Price_Header,0))): INDIRECT(ADDRESS(ROW($O25),MATCH("Downmove", Price_Header,0)))))</f>
        <v>4.5714285714285693E-2</v>
      </c>
      <c r="R25" s="46">
        <f ca="1">IF(tbl_F[[#This Row],[Avg_Upmove]]="", "", tbl_F[[#This Row],[Avg_Upmove]]/tbl_F[[#This Row],[Avg_Downmove]])</f>
        <v>1.2187500000000009</v>
      </c>
      <c r="S25" s="10">
        <f ca="1">IF(ROW($N25)-4&lt;BB_Periods, "", _xlfn.STDEV.S(INDIRECT(ADDRESS(ROW($F25)-RSI_Periods +1, MATCH("Adj Close", Price_Header,0))): INDIRECT(ADDRESS(ROW($F25),MATCH("Adj Close", Price_Header,0)))))</f>
        <v>9.1690473099133182E-2</v>
      </c>
    </row>
    <row r="26" spans="1:19" x14ac:dyDescent="0.25">
      <c r="A26" s="8">
        <v>44083</v>
      </c>
      <c r="B26" s="10">
        <v>7.07</v>
      </c>
      <c r="C26" s="10">
        <v>7.1</v>
      </c>
      <c r="D26" s="10">
        <v>6.93</v>
      </c>
      <c r="E26" s="10">
        <v>6.97</v>
      </c>
      <c r="F26" s="10">
        <v>6.97</v>
      </c>
      <c r="G26">
        <v>56501400</v>
      </c>
      <c r="H26" s="10">
        <f>IF(tbl_F[[#This Row],[Date]]=$A$5, $F26, EMA_Beta*$H25 + (1-EMA_Beta)*$F26)</f>
        <v>6.9351242861403186</v>
      </c>
      <c r="I26" s="46">
        <f ca="1">IF(tbl_F[[#This Row],[RS]]= "", "", 100-(100/(1+tbl_F[[#This Row],[RS]])))</f>
        <v>53.424657534246563</v>
      </c>
      <c r="J26" s="10">
        <f ca="1">IF(ROW($N26)-4&lt;BB_Periods, "", AVERAGE(INDIRECT(ADDRESS(ROW($F26)-RSI_Periods +1, MATCH("Adj Close", Price_Header,0))): INDIRECT(ADDRESS(ROW($F26),MATCH("Adj Close", Price_Header,0)))))</f>
        <v>6.8864285714285716</v>
      </c>
      <c r="K26" s="10">
        <f ca="1">IF(tbl_F[[#This Row],[BB_Mean]]="", "", tbl_F[[#This Row],[BB_Mean]]+(BB_Width*tbl_F[[#This Row],[BB_Stdev]]))</f>
        <v>7.0759392194520681</v>
      </c>
      <c r="L26" s="10">
        <f ca="1">IF(tbl_F[[#This Row],[BB_Mean]]="", "", tbl_F[[#This Row],[BB_Mean]]-(BB_Width*tbl_F[[#This Row],[BB_Stdev]]))</f>
        <v>6.6969179234050751</v>
      </c>
      <c r="M26" s="46">
        <f>IF(ROW(tbl_F[[#This Row],[Adj Close]])=5, 0, $F26-$F25)</f>
        <v>-6.0000000000000497E-2</v>
      </c>
      <c r="N26" s="46">
        <f>MAX(tbl_F[[#This Row],[Move]],0)</f>
        <v>0</v>
      </c>
      <c r="O26" s="46">
        <f>MAX(-tbl_F[[#This Row],[Move]],0)</f>
        <v>6.0000000000000497E-2</v>
      </c>
      <c r="P26" s="46">
        <f ca="1">IF(ROW($N26)-5&lt;RSI_Periods, "", AVERAGE(INDIRECT(ADDRESS(ROW($N26)-RSI_Periods +1, MATCH("Upmove", Price_Header,0))): INDIRECT(ADDRESS(ROW($N26),MATCH("Upmove", Price_Header,0)))))</f>
        <v>5.571428571428573E-2</v>
      </c>
      <c r="Q26" s="46">
        <f ca="1">IF(ROW($O26)-5&lt;RSI_Periods, "", AVERAGE(INDIRECT(ADDRESS(ROW($O26)-RSI_Periods +1, MATCH("Downmove", Price_Header,0))): INDIRECT(ADDRESS(ROW($O26),MATCH("Downmove", Price_Header,0)))))</f>
        <v>4.8571428571428613E-2</v>
      </c>
      <c r="R26" s="46">
        <f ca="1">IF(tbl_F[[#This Row],[Avg_Upmove]]="", "", tbl_F[[#This Row],[Avg_Upmove]]/tbl_F[[#This Row],[Avg_Downmove]])</f>
        <v>1.147058823529411</v>
      </c>
      <c r="S26" s="10">
        <f ca="1">IF(ROW($N26)-4&lt;BB_Periods, "", _xlfn.STDEV.S(INDIRECT(ADDRESS(ROW($F26)-RSI_Periods +1, MATCH("Adj Close", Price_Header,0))): INDIRECT(ADDRESS(ROW($F26),MATCH("Adj Close", Price_Header,0)))))</f>
        <v>9.4755324011748451E-2</v>
      </c>
    </row>
    <row r="27" spans="1:19" x14ac:dyDescent="0.25">
      <c r="A27" s="8">
        <v>44084</v>
      </c>
      <c r="B27" s="10">
        <v>6.99</v>
      </c>
      <c r="C27" s="10">
        <v>7.04</v>
      </c>
      <c r="D27" s="10">
        <v>6.87</v>
      </c>
      <c r="E27" s="10">
        <v>6.91</v>
      </c>
      <c r="F27" s="10">
        <v>6.91</v>
      </c>
      <c r="G27">
        <v>69228600</v>
      </c>
      <c r="H27" s="10">
        <f>IF(tbl_F[[#This Row],[Date]]=$A$5, $F27, EMA_Beta*$H26 + (1-EMA_Beta)*$F27)</f>
        <v>6.9326118575262869</v>
      </c>
      <c r="I27" s="46">
        <f ca="1">IF(tbl_F[[#This Row],[RS]]= "", "", 100-(100/(1+tbl_F[[#This Row],[RS]])))</f>
        <v>52.348993288590613</v>
      </c>
      <c r="J27" s="10">
        <f ca="1">IF(ROW($N27)-4&lt;BB_Periods, "", AVERAGE(INDIRECT(ADDRESS(ROW($F27)-RSI_Periods +1, MATCH("Adj Close", Price_Header,0))): INDIRECT(ADDRESS(ROW($F27),MATCH("Adj Close", Price_Header,0)))))</f>
        <v>6.8914285714285715</v>
      </c>
      <c r="K27" s="10">
        <f ca="1">IF(tbl_F[[#This Row],[BB_Mean]]="", "", tbl_F[[#This Row],[BB_Mean]]+(BB_Width*tbl_F[[#This Row],[BB_Stdev]]))</f>
        <v>7.0793495274560616</v>
      </c>
      <c r="L27" s="10">
        <f ca="1">IF(tbl_F[[#This Row],[BB_Mean]]="", "", tbl_F[[#This Row],[BB_Mean]]-(BB_Width*tbl_F[[#This Row],[BB_Stdev]]))</f>
        <v>6.7035076154010813</v>
      </c>
      <c r="M27" s="46">
        <f>IF(ROW(tbl_F[[#This Row],[Adj Close]])=5, 0, $F27-$F26)</f>
        <v>-5.9999999999999609E-2</v>
      </c>
      <c r="N27" s="46">
        <f>MAX(tbl_F[[#This Row],[Move]],0)</f>
        <v>0</v>
      </c>
      <c r="O27" s="46">
        <f>MAX(-tbl_F[[#This Row],[Move]],0)</f>
        <v>5.9999999999999609E-2</v>
      </c>
      <c r="P27" s="46">
        <f ca="1">IF(ROW($N27)-5&lt;RSI_Periods, "", AVERAGE(INDIRECT(ADDRESS(ROW($N27)-RSI_Periods +1, MATCH("Upmove", Price_Header,0))): INDIRECT(ADDRESS(ROW($N27),MATCH("Upmove", Price_Header,0)))))</f>
        <v>5.571428571428573E-2</v>
      </c>
      <c r="Q27" s="46">
        <f ca="1">IF(ROW($O27)-5&lt;RSI_Periods, "", AVERAGE(INDIRECT(ADDRESS(ROW($O27)-RSI_Periods +1, MATCH("Downmove", Price_Header,0))): INDIRECT(ADDRESS(ROW($O27),MATCH("Downmove", Price_Header,0)))))</f>
        <v>5.0714285714285712E-2</v>
      </c>
      <c r="R27" s="46">
        <f ca="1">IF(tbl_F[[#This Row],[Avg_Upmove]]="", "", tbl_F[[#This Row],[Avg_Upmove]]/tbl_F[[#This Row],[Avg_Downmove]])</f>
        <v>1.098591549295775</v>
      </c>
      <c r="S27" s="10">
        <f ca="1">IF(ROW($N27)-4&lt;BB_Periods, "", _xlfn.STDEV.S(INDIRECT(ADDRESS(ROW($F27)-RSI_Periods +1, MATCH("Adj Close", Price_Header,0))): INDIRECT(ADDRESS(ROW($F27),MATCH("Adj Close", Price_Header,0)))))</f>
        <v>9.3960478013744853E-2</v>
      </c>
    </row>
    <row r="28" spans="1:19" x14ac:dyDescent="0.25">
      <c r="A28" s="8">
        <v>44085</v>
      </c>
      <c r="B28" s="10">
        <v>6.94</v>
      </c>
      <c r="C28" s="10">
        <v>7</v>
      </c>
      <c r="D28" s="10">
        <v>6.85</v>
      </c>
      <c r="E28" s="10">
        <v>7</v>
      </c>
      <c r="F28" s="10">
        <v>7</v>
      </c>
      <c r="G28">
        <v>55080600</v>
      </c>
      <c r="H28" s="10">
        <f>IF(tbl_F[[#This Row],[Date]]=$A$5, $F28, EMA_Beta*$H27 + (1-EMA_Beta)*$F28)</f>
        <v>6.9393506717736582</v>
      </c>
      <c r="I28" s="46">
        <f ca="1">IF(tbl_F[[#This Row],[RS]]= "", "", 100-(100/(1+tbl_F[[#This Row],[RS]])))</f>
        <v>62.142857142857132</v>
      </c>
      <c r="J28" s="10">
        <f ca="1">IF(ROW($N28)-4&lt;BB_Periods, "", AVERAGE(INDIRECT(ADDRESS(ROW($F28)-RSI_Periods +1, MATCH("Adj Close", Price_Header,0))): INDIRECT(ADDRESS(ROW($F28),MATCH("Adj Close", Price_Header,0)))))</f>
        <v>6.9157142857142864</v>
      </c>
      <c r="K28" s="10">
        <f ca="1">IF(tbl_F[[#This Row],[BB_Mean]]="", "", tbl_F[[#This Row],[BB_Mean]]+(BB_Width*tbl_F[[#This Row],[BB_Stdev]]))</f>
        <v>7.056855630191655</v>
      </c>
      <c r="L28" s="10">
        <f ca="1">IF(tbl_F[[#This Row],[BB_Mean]]="", "", tbl_F[[#This Row],[BB_Mean]]-(BB_Width*tbl_F[[#This Row],[BB_Stdev]]))</f>
        <v>6.7745729412369178</v>
      </c>
      <c r="M28" s="46">
        <f>IF(ROW(tbl_F[[#This Row],[Adj Close]])=5, 0, $F28-$F27)</f>
        <v>8.9999999999999858E-2</v>
      </c>
      <c r="N28" s="46">
        <f>MAX(tbl_F[[#This Row],[Move]],0)</f>
        <v>8.9999999999999858E-2</v>
      </c>
      <c r="O28" s="46">
        <f>MAX(-tbl_F[[#This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6.2142857142857152E-2</v>
      </c>
      <c r="Q28" s="46">
        <f ca="1">IF(ROW($O28)-5&lt;RSI_Periods, "", AVERAGE(INDIRECT(ADDRESS(ROW($O28)-RSI_Periods +1, MATCH("Downmove", Price_Header,0))): INDIRECT(ADDRESS(ROW($O28),MATCH("Downmove", Price_Header,0)))))</f>
        <v>3.7857142857142874E-2</v>
      </c>
      <c r="R28" s="46">
        <f ca="1">IF(tbl_F[[#This Row],[Avg_Upmove]]="", "", tbl_F[[#This Row],[Avg_Upmove]]/tbl_F[[#This Row],[Avg_Downmove]])</f>
        <v>1.6415094339622638</v>
      </c>
      <c r="S28" s="10">
        <f ca="1">IF(ROW($N28)-4&lt;BB_Periods, "", _xlfn.STDEV.S(INDIRECT(ADDRESS(ROW($F28)-RSI_Periods +1, MATCH("Adj Close", Price_Header,0))): INDIRECT(ADDRESS(ROW($F28),MATCH("Adj Close", Price_Header,0)))))</f>
        <v>7.0570672238684087E-2</v>
      </c>
    </row>
    <row r="29" spans="1:19" x14ac:dyDescent="0.25">
      <c r="A29" s="8">
        <v>44088</v>
      </c>
      <c r="B29" s="10">
        <v>7.01</v>
      </c>
      <c r="C29" s="10">
        <v>7.18</v>
      </c>
      <c r="D29" s="10">
        <v>6.98</v>
      </c>
      <c r="E29" s="10">
        <v>7.12</v>
      </c>
      <c r="F29" s="10">
        <v>7.12</v>
      </c>
      <c r="G29">
        <v>58704300</v>
      </c>
      <c r="H29" s="10">
        <f>IF(tbl_F[[#This Row],[Date]]=$A$5, $F29, EMA_Beta*$H28 + (1-EMA_Beta)*$F29)</f>
        <v>6.9574156045962923</v>
      </c>
      <c r="I29" s="46">
        <f ca="1">IF(tbl_F[[#This Row],[RS]]= "", "", 100-(100/(1+tbl_F[[#This Row],[RS]])))</f>
        <v>55.833333333333321</v>
      </c>
      <c r="J29" s="10">
        <f ca="1">IF(ROW($N29)-4&lt;BB_Periods, "", AVERAGE(INDIRECT(ADDRESS(ROW($F29)-RSI_Periods +1, MATCH("Adj Close", Price_Header,0))): INDIRECT(ADDRESS(ROW($F29),MATCH("Adj Close", Price_Header,0)))))</f>
        <v>6.9257142857142862</v>
      </c>
      <c r="K29" s="10">
        <f ca="1">IF(tbl_F[[#This Row],[BB_Mean]]="", "", tbl_F[[#This Row],[BB_Mean]]+(BB_Width*tbl_F[[#This Row],[BB_Stdev]]))</f>
        <v>7.1019508899125645</v>
      </c>
      <c r="L29" s="10">
        <f ca="1">IF(tbl_F[[#This Row],[BB_Mean]]="", "", tbl_F[[#This Row],[BB_Mean]]-(BB_Width*tbl_F[[#This Row],[BB_Stdev]]))</f>
        <v>6.7494776815160078</v>
      </c>
      <c r="M29" s="46">
        <f>IF(ROW(tbl_F[[#This Row],[Adj Close]])=5, 0, $F29-$F28)</f>
        <v>0.12000000000000011</v>
      </c>
      <c r="N29" s="46">
        <f>MAX(tbl_F[[#This Row],[Move]],0)</f>
        <v>0.12000000000000011</v>
      </c>
      <c r="O29" s="46">
        <f>MAX(-tbl_F[[#This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3.7857142857142874E-2</v>
      </c>
      <c r="R29" s="46">
        <f ca="1">IF(tbl_F[[#This Row],[Avg_Upmove]]="", "", tbl_F[[#This Row],[Avg_Upmove]]/tbl_F[[#This Row],[Avg_Downmove]])</f>
        <v>1.2641509433962257</v>
      </c>
      <c r="S29" s="10">
        <f ca="1">IF(ROW($N29)-4&lt;BB_Periods, "", _xlfn.STDEV.S(INDIRECT(ADDRESS(ROW($F29)-RSI_Periods +1, MATCH("Adj Close", Price_Header,0))): INDIRECT(ADDRESS(ROW($F29),MATCH("Adj Close", Price_Header,0)))))</f>
        <v>8.8118302099139179E-2</v>
      </c>
    </row>
    <row r="30" spans="1:19" x14ac:dyDescent="0.25">
      <c r="A30" s="8">
        <v>44089</v>
      </c>
      <c r="B30" s="10">
        <v>7.16</v>
      </c>
      <c r="C30" s="10">
        <v>7.18</v>
      </c>
      <c r="D30" s="10">
        <v>7</v>
      </c>
      <c r="E30" s="10">
        <v>7.04</v>
      </c>
      <c r="F30" s="10">
        <v>7.04</v>
      </c>
      <c r="G30">
        <v>65198500</v>
      </c>
      <c r="H30" s="10">
        <f>IF(tbl_F[[#This Row],[Date]]=$A$5, $F30, EMA_Beta*$H29 + (1-EMA_Beta)*$F30)</f>
        <v>6.9656740441366631</v>
      </c>
      <c r="I30" s="46">
        <f ca="1">IF(tbl_F[[#This Row],[RS]]= "", "", 100-(100/(1+tbl_F[[#This Row],[RS]])))</f>
        <v>54.032258064516114</v>
      </c>
      <c r="J30" s="10">
        <f ca="1">IF(ROW($N30)-4&lt;BB_Periods, "", AVERAGE(INDIRECT(ADDRESS(ROW($F30)-RSI_Periods +1, MATCH("Adj Close", Price_Header,0))): INDIRECT(ADDRESS(ROW($F30),MATCH("Adj Close", Price_Header,0)))))</f>
        <v>6.9328571428571442</v>
      </c>
      <c r="K30" s="10">
        <f ca="1">IF(tbl_F[[#This Row],[BB_Mean]]="", "", tbl_F[[#This Row],[BB_Mean]]+(BB_Width*tbl_F[[#This Row],[BB_Stdev]]))</f>
        <v>7.1193929420904398</v>
      </c>
      <c r="L30" s="10">
        <f ca="1">IF(tbl_F[[#This Row],[BB_Mean]]="", "", tbl_F[[#This Row],[BB_Mean]]-(BB_Width*tbl_F[[#This Row],[BB_Stdev]]))</f>
        <v>6.7463213436238485</v>
      </c>
      <c r="M30" s="46">
        <f>IF(ROW(tbl_F[[#This Row],[Adj Close]])=5, 0, $F30-$F29)</f>
        <v>-8.0000000000000071E-2</v>
      </c>
      <c r="N30" s="46">
        <f>MAX(tbl_F[[#This Row],[Move]],0)</f>
        <v>0</v>
      </c>
      <c r="O30" s="46">
        <f>MAX(-tbl_F[[#This Row],[Move]],0)</f>
        <v>8.0000000000000071E-2</v>
      </c>
      <c r="P30" s="46">
        <f ca="1">IF(ROW($N30)-5&lt;RSI_Periods, "", AVERAGE(INDIRECT(ADDRESS(ROW($N30)-RSI_Periods +1, MATCH("Upmove", Price_Header,0))): INDIRECT(ADDRESS(ROW($N30),MATCH("Upmove", Price_Header,0)))))</f>
        <v>4.7857142857142855E-2</v>
      </c>
      <c r="Q30" s="46">
        <f ca="1">IF(ROW($O30)-5&lt;RSI_Periods, "", AVERAGE(INDIRECT(ADDRESS(ROW($O30)-RSI_Periods +1, MATCH("Downmove", Price_Header,0))): INDIRECT(ADDRESS(ROW($O30),MATCH("Downmove", Price_Header,0)))))</f>
        <v>4.0714285714285738E-2</v>
      </c>
      <c r="R30" s="46">
        <f ca="1">IF(tbl_F[[#This Row],[Avg_Upmove]]="", "", tbl_F[[#This Row],[Avg_Upmove]]/tbl_F[[#This Row],[Avg_Downmove]])</f>
        <v>1.1754385964912273</v>
      </c>
      <c r="S30" s="10">
        <f ca="1">IF(ROW($N30)-4&lt;BB_Periods, "", _xlfn.STDEV.S(INDIRECT(ADDRESS(ROW($F30)-RSI_Periods +1, MATCH("Adj Close", Price_Header,0))): INDIRECT(ADDRESS(ROW($F30),MATCH("Adj Close", Price_Header,0)))))</f>
        <v>9.3267899616647776E-2</v>
      </c>
    </row>
    <row r="31" spans="1:19" x14ac:dyDescent="0.25">
      <c r="A31" s="8">
        <v>44090</v>
      </c>
      <c r="B31" s="10">
        <v>7.05</v>
      </c>
      <c r="C31" s="10">
        <v>7.12</v>
      </c>
      <c r="D31" s="10">
        <v>6.99</v>
      </c>
      <c r="E31" s="10">
        <v>7.02</v>
      </c>
      <c r="F31" s="10">
        <v>7.02</v>
      </c>
      <c r="G31">
        <v>46245800</v>
      </c>
      <c r="H31" s="10">
        <f>IF(tbl_F[[#This Row],[Date]]=$A$5, $F31, EMA_Beta*$H30 + (1-EMA_Beta)*$F31)</f>
        <v>6.971106639722997</v>
      </c>
      <c r="I31" s="46">
        <f ca="1">IF(tbl_F[[#This Row],[RS]]= "", "", 100-(100/(1+tbl_F[[#This Row],[RS]])))</f>
        <v>58.771929824561369</v>
      </c>
      <c r="J31" s="10">
        <f ca="1">IF(ROW($N31)-4&lt;BB_Periods, "", AVERAGE(INDIRECT(ADDRESS(ROW($F31)-RSI_Periods +1, MATCH("Adj Close", Price_Header,0))): INDIRECT(ADDRESS(ROW($F31),MATCH("Adj Close", Price_Header,0)))))</f>
        <v>6.9471428571428575</v>
      </c>
      <c r="K31" s="10">
        <f ca="1">IF(tbl_F[[#This Row],[BB_Mean]]="", "", tbl_F[[#This Row],[BB_Mean]]+(BB_Width*tbl_F[[#This Row],[BB_Stdev]]))</f>
        <v>7.1269596136870295</v>
      </c>
      <c r="L31" s="10">
        <f ca="1">IF(tbl_F[[#This Row],[BB_Mean]]="", "", tbl_F[[#This Row],[BB_Mean]]-(BB_Width*tbl_F[[#This Row],[BB_Stdev]]))</f>
        <v>6.7673261005986856</v>
      </c>
      <c r="M31" s="46">
        <f>IF(ROW(tbl_F[[#This Row],[Adj Close]])=5, 0, $F31-$F30)</f>
        <v>-2.0000000000000462E-2</v>
      </c>
      <c r="N31" s="46">
        <f>MAX(tbl_F[[#This Row],[Move]],0)</f>
        <v>0</v>
      </c>
      <c r="O31" s="46">
        <f>MAX(-tbl_F[[#This Row],[Move]],0)</f>
        <v>2.0000000000000462E-2</v>
      </c>
      <c r="P31" s="46">
        <f ca="1">IF(ROW($N31)-5&lt;RSI_Periods, "", AVERAGE(INDIRECT(ADDRESS(ROW($N31)-RSI_Periods +1, MATCH("Upmove", Price_Header,0))): INDIRECT(ADDRESS(ROW($N31),MATCH("Upmove", Price_Header,0)))))</f>
        <v>4.7857142857142855E-2</v>
      </c>
      <c r="Q31" s="46">
        <f ca="1">IF(ROW($O31)-5&lt;RSI_Periods, "", AVERAGE(INDIRECT(ADDRESS(ROW($O31)-RSI_Periods +1, MATCH("Downmove", Price_Header,0))): INDIRECT(ADDRESS(ROW($O31),MATCH("Downmove", Price_Header,0)))))</f>
        <v>3.357142857142862E-2</v>
      </c>
      <c r="R31" s="46">
        <f ca="1">IF(tbl_F[[#This Row],[Avg_Upmove]]="", "", tbl_F[[#This Row],[Avg_Upmove]]/tbl_F[[#This Row],[Avg_Downmove]])</f>
        <v>1.425531914893615</v>
      </c>
      <c r="S31" s="10">
        <f ca="1">IF(ROW($N31)-4&lt;BB_Periods, "", _xlfn.STDEV.S(INDIRECT(ADDRESS(ROW($F31)-RSI_Periods +1, MATCH("Adj Close", Price_Header,0))): INDIRECT(ADDRESS(ROW($F31),MATCH("Adj Close", Price_Header,0)))))</f>
        <v>8.9908378272085782E-2</v>
      </c>
    </row>
    <row r="32" spans="1:19" x14ac:dyDescent="0.25">
      <c r="A32" s="8">
        <v>44091</v>
      </c>
      <c r="B32" s="10">
        <v>7.04</v>
      </c>
      <c r="C32" s="10">
        <v>7.34</v>
      </c>
      <c r="D32" s="10">
        <v>6.98</v>
      </c>
      <c r="E32" s="10">
        <v>7.28</v>
      </c>
      <c r="F32" s="10">
        <v>7.28</v>
      </c>
      <c r="G32">
        <v>84850100</v>
      </c>
      <c r="H32" s="10">
        <f>IF(tbl_F[[#This Row],[Date]]=$A$5, $F32, EMA_Beta*$H31 + (1-EMA_Beta)*$F32)</f>
        <v>7.0019959757506971</v>
      </c>
      <c r="I32" s="46">
        <f ca="1">IF(tbl_F[[#This Row],[RS]]= "", "", 100-(100/(1+tbl_F[[#This Row],[RS]])))</f>
        <v>64.122137404580144</v>
      </c>
      <c r="J32" s="10">
        <f ca="1">IF(ROW($N32)-4&lt;BB_Periods, "", AVERAGE(INDIRECT(ADDRESS(ROW($F32)-RSI_Periods +1, MATCH("Adj Close", Price_Header,0))): INDIRECT(ADDRESS(ROW($F32),MATCH("Adj Close", Price_Header,0)))))</f>
        <v>6.9735714285714296</v>
      </c>
      <c r="K32" s="10">
        <f ca="1">IF(tbl_F[[#This Row],[BB_Mean]]="", "", tbl_F[[#This Row],[BB_Mean]]+(BB_Width*tbl_F[[#This Row],[BB_Stdev]]))</f>
        <v>7.2245519234135767</v>
      </c>
      <c r="L32" s="10">
        <f ca="1">IF(tbl_F[[#This Row],[BB_Mean]]="", "", tbl_F[[#This Row],[BB_Mean]]-(BB_Width*tbl_F[[#This Row],[BB_Stdev]]))</f>
        <v>6.7225909337292826</v>
      </c>
      <c r="M32" s="46">
        <f>IF(ROW(tbl_F[[#This Row],[Adj Close]])=5, 0, $F32-$F31)</f>
        <v>0.26000000000000068</v>
      </c>
      <c r="N32" s="46">
        <f>MAX(tbl_F[[#This Row],[Move]],0)</f>
        <v>0.26000000000000068</v>
      </c>
      <c r="O32" s="46">
        <f>MAX(-tbl_F[[#This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6.0000000000000053E-2</v>
      </c>
      <c r="Q32" s="46">
        <f ca="1">IF(ROW($O32)-5&lt;RSI_Periods, "", AVERAGE(INDIRECT(ADDRESS(ROW($O32)-RSI_Periods +1, MATCH("Downmove", Price_Header,0))): INDIRECT(ADDRESS(ROW($O32),MATCH("Downmove", Price_Header,0)))))</f>
        <v>3.357142857142862E-2</v>
      </c>
      <c r="R32" s="46">
        <f ca="1">IF(tbl_F[[#This Row],[Avg_Upmove]]="", "", tbl_F[[#This Row],[Avg_Upmove]]/tbl_F[[#This Row],[Avg_Downmove]])</f>
        <v>1.7872340425531905</v>
      </c>
      <c r="S32" s="10">
        <f ca="1">IF(ROW($N32)-4&lt;BB_Periods, "", _xlfn.STDEV.S(INDIRECT(ADDRESS(ROW($F32)-RSI_Periods +1, MATCH("Adj Close", Price_Header,0))): INDIRECT(ADDRESS(ROW($F32),MATCH("Adj Close", Price_Header,0)))))</f>
        <v>0.12549024742107329</v>
      </c>
    </row>
    <row r="33" spans="1:19" x14ac:dyDescent="0.25">
      <c r="A33" s="8">
        <v>44092</v>
      </c>
      <c r="B33" s="10">
        <v>7.31</v>
      </c>
      <c r="C33" s="10">
        <v>7.4</v>
      </c>
      <c r="D33" s="10">
        <v>7.22</v>
      </c>
      <c r="E33" s="10">
        <v>7.23</v>
      </c>
      <c r="F33" s="10">
        <v>7.23</v>
      </c>
      <c r="G33">
        <v>71929400</v>
      </c>
      <c r="H33" s="10">
        <f>IF(tbl_F[[#This Row],[Date]]=$A$5, $F33, EMA_Beta*$H32 + (1-EMA_Beta)*$F33)</f>
        <v>7.0247963781756271</v>
      </c>
      <c r="I33" s="46">
        <f ca="1">IF(tbl_F[[#This Row],[RS]]= "", "", 100-(100/(1+tbl_F[[#This Row],[RS]])))</f>
        <v>60.902255639097731</v>
      </c>
      <c r="J33" s="10">
        <f ca="1">IF(ROW($N33)-4&lt;BB_Periods, "", AVERAGE(INDIRECT(ADDRESS(ROW($F33)-RSI_Periods +1, MATCH("Adj Close", Price_Header,0))): INDIRECT(ADDRESS(ROW($F33),MATCH("Adj Close", Price_Header,0)))))</f>
        <v>6.9942857142857155</v>
      </c>
      <c r="K33" s="10">
        <f ca="1">IF(tbl_F[[#This Row],[BB_Mean]]="", "", tbl_F[[#This Row],[BB_Mean]]+(BB_Width*tbl_F[[#This Row],[BB_Stdev]]))</f>
        <v>7.2789408941587883</v>
      </c>
      <c r="L33" s="10">
        <f ca="1">IF(tbl_F[[#This Row],[BB_Mean]]="", "", tbl_F[[#This Row],[BB_Mean]]-(BB_Width*tbl_F[[#This Row],[BB_Stdev]]))</f>
        <v>6.7096305344126428</v>
      </c>
      <c r="M33" s="46">
        <f>IF(ROW(tbl_F[[#This Row],[Adj Close]])=5, 0, $F33-$F32)</f>
        <v>-4.9999999999999822E-2</v>
      </c>
      <c r="N33" s="46">
        <f>MAX(tbl_F[[#This Row],[Move]],0)</f>
        <v>0</v>
      </c>
      <c r="O33" s="46">
        <f>MAX(-tbl_F[[#This Row],[Move]],0)</f>
        <v>4.9999999999999822E-2</v>
      </c>
      <c r="P33" s="46">
        <f ca="1">IF(ROW($N33)-5&lt;RSI_Periods, "", AVERAGE(INDIRECT(ADDRESS(ROW($N33)-RSI_Periods +1, MATCH("Upmove", Price_Header,0))): INDIRECT(ADDRESS(ROW($N33),MATCH("Upmove", Price_Header,0)))))</f>
        <v>5.7857142857142892E-2</v>
      </c>
      <c r="Q33" s="46">
        <f ca="1">IF(ROW($O33)-5&lt;RSI_Periods, "", AVERAGE(INDIRECT(ADDRESS(ROW($O33)-RSI_Periods +1, MATCH("Downmove", Price_Header,0))): INDIRECT(ADDRESS(ROW($O33),MATCH("Downmove", Price_Header,0)))))</f>
        <v>3.7142857142857179E-2</v>
      </c>
      <c r="R33" s="46">
        <f ca="1">IF(tbl_F[[#This Row],[Avg_Upmove]]="", "", tbl_F[[#This Row],[Avg_Upmove]]/tbl_F[[#This Row],[Avg_Downmove]])</f>
        <v>1.557692307692307</v>
      </c>
      <c r="S33" s="10">
        <f ca="1">IF(ROW($N33)-4&lt;BB_Periods, "", _xlfn.STDEV.S(INDIRECT(ADDRESS(ROW($F33)-RSI_Periods +1, MATCH("Adj Close", Price_Header,0))): INDIRECT(ADDRESS(ROW($F33),MATCH("Adj Close", Price_Header,0)))))</f>
        <v>0.14232758993653641</v>
      </c>
    </row>
    <row r="34" spans="1:19" x14ac:dyDescent="0.25">
      <c r="A34" s="8">
        <v>44095</v>
      </c>
      <c r="B34" s="10">
        <v>7.09</v>
      </c>
      <c r="C34" s="10">
        <v>7.09</v>
      </c>
      <c r="D34" s="10">
        <v>6.81</v>
      </c>
      <c r="E34" s="10">
        <v>6.87</v>
      </c>
      <c r="F34" s="10">
        <v>6.87</v>
      </c>
      <c r="G34">
        <v>72850300</v>
      </c>
      <c r="H34" s="10">
        <f>IF(tbl_F[[#This Row],[Date]]=$A$5, $F34, EMA_Beta*$H33 + (1-EMA_Beta)*$F34)</f>
        <v>7.0093167403580647</v>
      </c>
      <c r="I34" s="46">
        <f ca="1">IF(tbl_F[[#This Row],[RS]]= "", "", 100-(100/(1+tbl_F[[#This Row],[RS]])))</f>
        <v>51.592356687898082</v>
      </c>
      <c r="J34" s="10">
        <f ca="1">IF(ROW($N34)-4&lt;BB_Periods, "", AVERAGE(INDIRECT(ADDRESS(ROW($F34)-RSI_Periods +1, MATCH("Adj Close", Price_Header,0))): INDIRECT(ADDRESS(ROW($F34),MATCH("Adj Close", Price_Header,0)))))</f>
        <v>6.9978571428571428</v>
      </c>
      <c r="K34" s="10">
        <f ca="1">IF(tbl_F[[#This Row],[BB_Mean]]="", "", tbl_F[[#This Row],[BB_Mean]]+(BB_Width*tbl_F[[#This Row],[BB_Stdev]]))</f>
        <v>7.2742268586007821</v>
      </c>
      <c r="L34" s="10">
        <f ca="1">IF(tbl_F[[#This Row],[BB_Mean]]="", "", tbl_F[[#This Row],[BB_Mean]]-(BB_Width*tbl_F[[#This Row],[BB_Stdev]]))</f>
        <v>6.7214874271135034</v>
      </c>
      <c r="M34" s="46">
        <f>IF(ROW(tbl_F[[#This Row],[Adj Close]])=5, 0, $F34-$F33)</f>
        <v>-0.36000000000000032</v>
      </c>
      <c r="N34" s="46">
        <f>MAX(tbl_F[[#This Row],[Move]],0)</f>
        <v>0</v>
      </c>
      <c r="O34" s="46">
        <f>MAX(-tbl_F[[#This Row],[Move]],0)</f>
        <v>0.36000000000000032</v>
      </c>
      <c r="P34" s="46">
        <f ca="1">IF(ROW($N34)-5&lt;RSI_Periods, "", AVERAGE(INDIRECT(ADDRESS(ROW($N34)-RSI_Periods +1, MATCH("Upmove", Price_Header,0))): INDIRECT(ADDRESS(ROW($N34),MATCH("Upmove", Price_Header,0)))))</f>
        <v>5.7857142857142892E-2</v>
      </c>
      <c r="Q34" s="46">
        <f ca="1">IF(ROW($O34)-5&lt;RSI_Periods, "", AVERAGE(INDIRECT(ADDRESS(ROW($O34)-RSI_Periods +1, MATCH("Downmove", Price_Header,0))): INDIRECT(ADDRESS(ROW($O34),MATCH("Downmove", Price_Header,0)))))</f>
        <v>5.4285714285714333E-2</v>
      </c>
      <c r="R34" s="46">
        <f ca="1">IF(tbl_F[[#This Row],[Avg_Upmove]]="", "", tbl_F[[#This Row],[Avg_Upmove]]/tbl_F[[#This Row],[Avg_Downmove]])</f>
        <v>1.0657894736842102</v>
      </c>
      <c r="S34" s="10">
        <f ca="1">IF(ROW($N34)-4&lt;BB_Periods, "", _xlfn.STDEV.S(INDIRECT(ADDRESS(ROW($F34)-RSI_Periods +1, MATCH("Adj Close", Price_Header,0))): INDIRECT(ADDRESS(ROW($F34),MATCH("Adj Close", Price_Header,0)))))</f>
        <v>0.13818485787181947</v>
      </c>
    </row>
    <row r="35" spans="1:19" x14ac:dyDescent="0.25">
      <c r="A35" s="8">
        <v>44096</v>
      </c>
      <c r="B35" s="10">
        <v>6.89</v>
      </c>
      <c r="C35" s="10">
        <v>6.99</v>
      </c>
      <c r="D35" s="10">
        <v>6.77</v>
      </c>
      <c r="E35" s="10">
        <v>6.78</v>
      </c>
      <c r="F35" s="10">
        <v>6.78</v>
      </c>
      <c r="G35">
        <v>55865500</v>
      </c>
      <c r="H35" s="10">
        <f>IF(tbl_F[[#This Row],[Date]]=$A$5, $F35, EMA_Beta*$H34 + (1-EMA_Beta)*$F35)</f>
        <v>6.9863850663222582</v>
      </c>
      <c r="I35" s="46">
        <f ca="1">IF(tbl_F[[#This Row],[RS]]= "", "", 100-(100/(1+tbl_F[[#This Row],[RS]])))</f>
        <v>48.484848484848492</v>
      </c>
      <c r="J35" s="10">
        <f ca="1">IF(ROW($N35)-4&lt;BB_Periods, "", AVERAGE(INDIRECT(ADDRESS(ROW($F35)-RSI_Periods +1, MATCH("Adj Close", Price_Header,0))): INDIRECT(ADDRESS(ROW($F35),MATCH("Adj Close", Price_Header,0)))))</f>
        <v>6.9942857142857147</v>
      </c>
      <c r="K35" s="10">
        <f ca="1">IF(tbl_F[[#This Row],[BB_Mean]]="", "", tbl_F[[#This Row],[BB_Mean]]+(BB_Width*tbl_F[[#This Row],[BB_Stdev]]))</f>
        <v>7.28109460651073</v>
      </c>
      <c r="L35" s="10">
        <f ca="1">IF(tbl_F[[#This Row],[BB_Mean]]="", "", tbl_F[[#This Row],[BB_Mean]]-(BB_Width*tbl_F[[#This Row],[BB_Stdev]]))</f>
        <v>6.7074768220606993</v>
      </c>
      <c r="M35" s="46">
        <f>IF(ROW(tbl_F[[#This Row],[Adj Close]])=5, 0, $F35-$F34)</f>
        <v>-8.9999999999999858E-2</v>
      </c>
      <c r="N35" s="46">
        <f>MAX(tbl_F[[#This Row],[Move]],0)</f>
        <v>0</v>
      </c>
      <c r="O35" s="46">
        <f>MAX(-tbl_F[[#This Row],[Move]],0)</f>
        <v>8.9999999999999858E-2</v>
      </c>
      <c r="P35" s="46">
        <f ca="1">IF(ROW($N35)-5&lt;RSI_Periods, "", AVERAGE(INDIRECT(ADDRESS(ROW($N35)-RSI_Periods +1, MATCH("Upmove", Price_Header,0))): INDIRECT(ADDRESS(ROW($N35),MATCH("Upmove", Price_Header,0)))))</f>
        <v>5.7142857142857197E-2</v>
      </c>
      <c r="Q35" s="46">
        <f ca="1">IF(ROW($O35)-5&lt;RSI_Periods, "", AVERAGE(INDIRECT(ADDRESS(ROW($O35)-RSI_Periods +1, MATCH("Downmove", Price_Header,0))): INDIRECT(ADDRESS(ROW($O35),MATCH("Downmove", Price_Header,0)))))</f>
        <v>6.0714285714285755E-2</v>
      </c>
      <c r="R35" s="46">
        <f ca="1">IF(tbl_F[[#This Row],[Avg_Upmove]]="", "", tbl_F[[#This Row],[Avg_Upmove]]/tbl_F[[#This Row],[Avg_Downmove]])</f>
        <v>0.9411764705882355</v>
      </c>
      <c r="S35" s="10">
        <f ca="1">IF(ROW($N35)-4&lt;BB_Periods, "", _xlfn.STDEV.S(INDIRECT(ADDRESS(ROW($F35)-RSI_Periods +1, MATCH("Adj Close", Price_Header,0))): INDIRECT(ADDRESS(ROW($F35),MATCH("Adj Close", Price_Header,0)))))</f>
        <v>0.14340444611250786</v>
      </c>
    </row>
    <row r="36" spans="1:19" x14ac:dyDescent="0.25">
      <c r="A36" s="8">
        <v>44097</v>
      </c>
      <c r="B36" s="10">
        <v>6.81</v>
      </c>
      <c r="C36" s="10">
        <v>6.93</v>
      </c>
      <c r="D36" s="10">
        <v>6.63</v>
      </c>
      <c r="E36" s="10">
        <v>6.64</v>
      </c>
      <c r="F36" s="10">
        <v>6.64</v>
      </c>
      <c r="G36">
        <v>52588600</v>
      </c>
      <c r="H36" s="10">
        <f>IF(tbl_F[[#This Row],[Date]]=$A$5, $F36, EMA_Beta*$H35 + (1-EMA_Beta)*$F36)</f>
        <v>6.9517465596900321</v>
      </c>
      <c r="I36" s="46">
        <f ca="1">IF(tbl_F[[#This Row],[RS]]= "", "", 100-(100/(1+tbl_F[[#This Row],[RS]])))</f>
        <v>40.718562874251489</v>
      </c>
      <c r="J36" s="10">
        <f ca="1">IF(ROW($N36)-4&lt;BB_Periods, "", AVERAGE(INDIRECT(ADDRESS(ROW($F36)-RSI_Periods +1, MATCH("Adj Close", Price_Header,0))): INDIRECT(ADDRESS(ROW($F36),MATCH("Adj Close", Price_Header,0)))))</f>
        <v>6.972142857142857</v>
      </c>
      <c r="K36" s="10">
        <f ca="1">IF(tbl_F[[#This Row],[BB_Mean]]="", "", tbl_F[[#This Row],[BB_Mean]]+(BB_Width*tbl_F[[#This Row],[BB_Stdev]]))</f>
        <v>7.3158939810171439</v>
      </c>
      <c r="L36" s="10">
        <f ca="1">IF(tbl_F[[#This Row],[BB_Mean]]="", "", tbl_F[[#This Row],[BB_Mean]]-(BB_Width*tbl_F[[#This Row],[BB_Stdev]]))</f>
        <v>6.62839173326857</v>
      </c>
      <c r="M36" s="46">
        <f>IF(ROW(tbl_F[[#This Row],[Adj Close]])=5, 0, $F36-$F35)</f>
        <v>-0.14000000000000057</v>
      </c>
      <c r="N36" s="46">
        <f>MAX(tbl_F[[#This Row],[Move]],0)</f>
        <v>0</v>
      </c>
      <c r="O36" s="46">
        <f>MAX(-tbl_F[[#This Row],[Move]],0)</f>
        <v>0.14000000000000057</v>
      </c>
      <c r="P36" s="46">
        <f ca="1">IF(ROW($N36)-5&lt;RSI_Periods, "", AVERAGE(INDIRECT(ADDRESS(ROW($N36)-RSI_Periods +1, MATCH("Upmove", Price_Header,0))): INDIRECT(ADDRESS(ROW($N36),MATCH("Upmove", Price_Header,0)))))</f>
        <v>4.8571428571428613E-2</v>
      </c>
      <c r="Q36" s="46">
        <f ca="1">IF(ROW($O36)-5&lt;RSI_Periods, "", AVERAGE(INDIRECT(ADDRESS(ROW($O36)-RSI_Periods +1, MATCH("Downmove", Price_Header,0))): INDIRECT(ADDRESS(ROW($O36),MATCH("Downmove", Price_Header,0)))))</f>
        <v>7.0714285714285799E-2</v>
      </c>
      <c r="R36" s="46">
        <f ca="1">IF(tbl_F[[#This Row],[Avg_Upmove]]="", "", tbl_F[[#This Row],[Avg_Upmove]]/tbl_F[[#This Row],[Avg_Downmove]])</f>
        <v>0.68686868686868663</v>
      </c>
      <c r="S36" s="10">
        <f ca="1">IF(ROW($N36)-4&lt;BB_Periods, "", _xlfn.STDEV.S(INDIRECT(ADDRESS(ROW($F36)-RSI_Periods +1, MATCH("Adj Close", Price_Header,0))): INDIRECT(ADDRESS(ROW($F36),MATCH("Adj Close", Price_Header,0)))))</f>
        <v>0.1718755619371434</v>
      </c>
    </row>
    <row r="37" spans="1:19" x14ac:dyDescent="0.25">
      <c r="A37" s="8">
        <v>44098</v>
      </c>
      <c r="B37" s="10">
        <v>6.6</v>
      </c>
      <c r="C37" s="10">
        <v>6.76</v>
      </c>
      <c r="D37" s="10">
        <v>6.41</v>
      </c>
      <c r="E37" s="10">
        <v>6.66</v>
      </c>
      <c r="F37" s="10">
        <v>6.66</v>
      </c>
      <c r="G37">
        <v>59822900</v>
      </c>
      <c r="H37" s="10">
        <f>IF(tbl_F[[#This Row],[Date]]=$A$5, $F37, EMA_Beta*$H36 + (1-EMA_Beta)*$F37)</f>
        <v>6.9225719037210283</v>
      </c>
      <c r="I37" s="46">
        <f ca="1">IF(tbl_F[[#This Row],[RS]]= "", "", 100-(100/(1+tbl_F[[#This Row],[RS]])))</f>
        <v>44.871794871794876</v>
      </c>
      <c r="J37" s="10">
        <f ca="1">IF(ROW($N37)-4&lt;BB_Periods, "", AVERAGE(INDIRECT(ADDRESS(ROW($F37)-RSI_Periods +1, MATCH("Adj Close", Price_Header,0))): INDIRECT(ADDRESS(ROW($F37),MATCH("Adj Close", Price_Header,0)))))</f>
        <v>6.9607142857142863</v>
      </c>
      <c r="K37" s="10">
        <f ca="1">IF(tbl_F[[#This Row],[BB_Mean]]="", "", tbl_F[[#This Row],[BB_Mean]]+(BB_Width*tbl_F[[#This Row],[BB_Stdev]]))</f>
        <v>7.3354933415049492</v>
      </c>
      <c r="L37" s="10">
        <f ca="1">IF(tbl_F[[#This Row],[BB_Mean]]="", "", tbl_F[[#This Row],[BB_Mean]]-(BB_Width*tbl_F[[#This Row],[BB_Stdev]]))</f>
        <v>6.5859352299236233</v>
      </c>
      <c r="M37" s="46">
        <f>IF(ROW(tbl_F[[#This Row],[Adj Close]])=5, 0, $F37-$F36)</f>
        <v>2.0000000000000462E-2</v>
      </c>
      <c r="N37" s="46">
        <f>MAX(tbl_F[[#This Row],[Move]],0)</f>
        <v>2.0000000000000462E-2</v>
      </c>
      <c r="O37" s="46">
        <f>MAX(-tbl_F[[#This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5.0000000000000079E-2</v>
      </c>
      <c r="Q37" s="46">
        <f ca="1">IF(ROW($O37)-5&lt;RSI_Periods, "", AVERAGE(INDIRECT(ADDRESS(ROW($O37)-RSI_Periods +1, MATCH("Downmove", Price_Header,0))): INDIRECT(ADDRESS(ROW($O37),MATCH("Downmove", Price_Header,0)))))</f>
        <v>6.1428571428571513E-2</v>
      </c>
      <c r="R37" s="46">
        <f ca="1">IF(tbl_F[[#This Row],[Avg_Upmove]]="", "", tbl_F[[#This Row],[Avg_Upmove]]/tbl_F[[#This Row],[Avg_Downmove]])</f>
        <v>0.81395348837209325</v>
      </c>
      <c r="S37" s="10">
        <f ca="1">IF(ROW($N37)-4&lt;BB_Periods, "", _xlfn.STDEV.S(INDIRECT(ADDRESS(ROW($F37)-RSI_Periods +1, MATCH("Adj Close", Price_Header,0))): INDIRECT(ADDRESS(ROW($F37),MATCH("Adj Close", Price_Header,0)))))</f>
        <v>0.18738952789533145</v>
      </c>
    </row>
    <row r="38" spans="1:19" x14ac:dyDescent="0.25">
      <c r="A38" s="8">
        <v>44099</v>
      </c>
      <c r="B38" s="10">
        <v>6.61</v>
      </c>
      <c r="C38" s="10">
        <v>6.71</v>
      </c>
      <c r="D38" s="10">
        <v>6.5</v>
      </c>
      <c r="E38" s="10">
        <v>6.51</v>
      </c>
      <c r="F38" s="10">
        <v>6.51</v>
      </c>
      <c r="G38">
        <v>53761800</v>
      </c>
      <c r="H38" s="10">
        <f>IF(tbl_F[[#This Row],[Date]]=$A$5, $F38, EMA_Beta*$H37 + (1-EMA_Beta)*$F38)</f>
        <v>6.8813147133489254</v>
      </c>
      <c r="I38" s="46">
        <f ca="1">IF(tbl_F[[#This Row],[RS]]= "", "", 100-(100/(1+tbl_F[[#This Row],[RS]])))</f>
        <v>38.036809815950924</v>
      </c>
      <c r="J38" s="10">
        <f ca="1">IF(ROW($N38)-4&lt;BB_Periods, "", AVERAGE(INDIRECT(ADDRESS(ROW($F38)-RSI_Periods +1, MATCH("Adj Close", Price_Header,0))): INDIRECT(ADDRESS(ROW($F38),MATCH("Adj Close", Price_Header,0)))))</f>
        <v>6.9328571428571442</v>
      </c>
      <c r="K38" s="10">
        <f ca="1">IF(tbl_F[[#This Row],[BB_Mean]]="", "", tbl_F[[#This Row],[BB_Mean]]+(BB_Width*tbl_F[[#This Row],[BB_Stdev]]))</f>
        <v>7.3783769651859741</v>
      </c>
      <c r="L38" s="10">
        <f ca="1">IF(tbl_F[[#This Row],[BB_Mean]]="", "", tbl_F[[#This Row],[BB_Mean]]-(BB_Width*tbl_F[[#This Row],[BB_Stdev]]))</f>
        <v>6.4873373205283142</v>
      </c>
      <c r="M38" s="46">
        <f>IF(ROW(tbl_F[[#This Row],[Adj Close]])=5, 0, $F38-$F37)</f>
        <v>-0.15000000000000036</v>
      </c>
      <c r="N38" s="46">
        <f>MAX(tbl_F[[#This Row],[Move]],0)</f>
        <v>0</v>
      </c>
      <c r="O38" s="46">
        <f>MAX(-tbl_F[[#This Row],[Move]],0)</f>
        <v>0.15000000000000036</v>
      </c>
      <c r="P38" s="46">
        <f ca="1">IF(ROW($N38)-5&lt;RSI_Periods, "", AVERAGE(INDIRECT(ADDRESS(ROW($N38)-RSI_Periods +1, MATCH("Upmove", Price_Header,0))): INDIRECT(ADDRESS(ROW($N38),MATCH("Upmove", Price_Header,0)))))</f>
        <v>4.4285714285714359E-2</v>
      </c>
      <c r="Q38" s="46">
        <f ca="1">IF(ROW($O38)-5&lt;RSI_Periods, "", AVERAGE(INDIRECT(ADDRESS(ROW($O38)-RSI_Periods +1, MATCH("Downmove", Price_Header,0))): INDIRECT(ADDRESS(ROW($O38),MATCH("Downmove", Price_Header,0)))))</f>
        <v>7.2142857142857258E-2</v>
      </c>
      <c r="R38" s="46">
        <f ca="1">IF(tbl_F[[#This Row],[Avg_Upmove]]="", "", tbl_F[[#This Row],[Avg_Upmove]]/tbl_F[[#This Row],[Avg_Downmove]])</f>
        <v>0.61386138613861385</v>
      </c>
      <c r="S38" s="10">
        <f ca="1">IF(ROW($N38)-4&lt;BB_Periods, "", _xlfn.STDEV.S(INDIRECT(ADDRESS(ROW($F38)-RSI_Periods +1, MATCH("Adj Close", Price_Header,0))): INDIRECT(ADDRESS(ROW($F38),MATCH("Adj Close", Price_Header,0)))))</f>
        <v>0.22275991116441501</v>
      </c>
    </row>
    <row r="39" spans="1:19" x14ac:dyDescent="0.25">
      <c r="A39" s="8">
        <v>44102</v>
      </c>
      <c r="B39" s="10">
        <v>6.59</v>
      </c>
      <c r="C39" s="10">
        <v>6.77</v>
      </c>
      <c r="D39" s="10">
        <v>6.58</v>
      </c>
      <c r="E39" s="10">
        <v>6.69</v>
      </c>
      <c r="F39" s="10">
        <v>6.69</v>
      </c>
      <c r="G39">
        <v>47582600</v>
      </c>
      <c r="H39" s="10">
        <f>IF(tbl_F[[#This Row],[Date]]=$A$5, $F39, EMA_Beta*$H38 + (1-EMA_Beta)*$F39)</f>
        <v>6.8621832420140327</v>
      </c>
      <c r="I39" s="46">
        <f ca="1">IF(tbl_F[[#This Row],[RS]]= "", "", 100-(100/(1+tbl_F[[#This Row],[RS]])))</f>
        <v>39.880952380952401</v>
      </c>
      <c r="J39" s="10">
        <f ca="1">IF(ROW($N39)-4&lt;BB_Periods, "", AVERAGE(INDIRECT(ADDRESS(ROW($F39)-RSI_Periods +1, MATCH("Adj Close", Price_Header,0))): INDIRECT(ADDRESS(ROW($F39),MATCH("Adj Close", Price_Header,0)))))</f>
        <v>6.9085714285714284</v>
      </c>
      <c r="K39" s="10">
        <f ca="1">IF(tbl_F[[#This Row],[BB_Mean]]="", "", tbl_F[[#This Row],[BB_Mean]]+(BB_Width*tbl_F[[#This Row],[BB_Stdev]]))</f>
        <v>7.3681268754885645</v>
      </c>
      <c r="L39" s="10">
        <f ca="1">IF(tbl_F[[#This Row],[BB_Mean]]="", "", tbl_F[[#This Row],[BB_Mean]]-(BB_Width*tbl_F[[#This Row],[BB_Stdev]]))</f>
        <v>6.4490159816542922</v>
      </c>
      <c r="M39" s="46">
        <f>IF(ROW(tbl_F[[#This Row],[Adj Close]])=5, 0, $F39-$F38)</f>
        <v>0.1800000000000006</v>
      </c>
      <c r="N39" s="46">
        <f>MAX(tbl_F[[#This Row],[Move]],0)</f>
        <v>0.1800000000000006</v>
      </c>
      <c r="O39" s="46">
        <f>MAX(-tbl_F[[#This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4.785714285714298E-2</v>
      </c>
      <c r="Q39" s="46">
        <f ca="1">IF(ROW($O39)-5&lt;RSI_Periods, "", AVERAGE(INDIRECT(ADDRESS(ROW($O39)-RSI_Periods +1, MATCH("Downmove", Price_Header,0))): INDIRECT(ADDRESS(ROW($O39),MATCH("Downmove", Price_Header,0)))))</f>
        <v>7.2142857142857258E-2</v>
      </c>
      <c r="R39" s="46">
        <f ca="1">IF(tbl_F[[#This Row],[Avg_Upmove]]="", "", tbl_F[[#This Row],[Avg_Upmove]]/tbl_F[[#This Row],[Avg_Downmove]])</f>
        <v>0.66336633663366396</v>
      </c>
      <c r="S39" s="10">
        <f ca="1">IF(ROW($N39)-4&lt;BB_Periods, "", _xlfn.STDEV.S(INDIRECT(ADDRESS(ROW($F39)-RSI_Periods +1, MATCH("Adj Close", Price_Header,0))): INDIRECT(ADDRESS(ROW($F39),MATCH("Adj Close", Price_Header,0)))))</f>
        <v>0.22977772345856817</v>
      </c>
    </row>
    <row r="40" spans="1:19" x14ac:dyDescent="0.25">
      <c r="A40" s="8">
        <v>44103</v>
      </c>
      <c r="B40" s="10">
        <v>6.69</v>
      </c>
      <c r="C40" s="10">
        <v>6.7</v>
      </c>
      <c r="D40" s="10">
        <v>6.54</v>
      </c>
      <c r="E40" s="10">
        <v>6.6</v>
      </c>
      <c r="F40" s="10">
        <v>6.6</v>
      </c>
      <c r="G40">
        <v>38987300</v>
      </c>
      <c r="H40" s="10">
        <f>IF(tbl_F[[#This Row],[Date]]=$A$5, $F40, EMA_Beta*$H39 + (1-EMA_Beta)*$F40)</f>
        <v>6.83596491781263</v>
      </c>
      <c r="I40" s="46">
        <f ca="1">IF(tbl_F[[#This Row],[RS]]= "", "", 100-(100/(1+tbl_F[[#This Row],[RS]])))</f>
        <v>39.181286549707622</v>
      </c>
      <c r="J40" s="10">
        <f ca="1">IF(ROW($N40)-4&lt;BB_Periods, "", AVERAGE(INDIRECT(ADDRESS(ROW($F40)-RSI_Periods +1, MATCH("Adj Close", Price_Header,0))): INDIRECT(ADDRESS(ROW($F40),MATCH("Adj Close", Price_Header,0)))))</f>
        <v>6.8821428571428571</v>
      </c>
      <c r="K40" s="10">
        <f ca="1">IF(tbl_F[[#This Row],[BB_Mean]]="", "", tbl_F[[#This Row],[BB_Mean]]+(BB_Width*tbl_F[[#This Row],[BB_Stdev]]))</f>
        <v>7.368269056106338</v>
      </c>
      <c r="L40" s="10">
        <f ca="1">IF(tbl_F[[#This Row],[BB_Mean]]="", "", tbl_F[[#This Row],[BB_Mean]]-(BB_Width*tbl_F[[#This Row],[BB_Stdev]]))</f>
        <v>6.3960166581793763</v>
      </c>
      <c r="M40" s="46">
        <f>IF(ROW(tbl_F[[#This Row],[Adj Close]])=5, 0, $F40-$F39)</f>
        <v>-9.0000000000000746E-2</v>
      </c>
      <c r="N40" s="46">
        <f>MAX(tbl_F[[#This Row],[Move]],0)</f>
        <v>0</v>
      </c>
      <c r="O40" s="46">
        <f>MAX(-tbl_F[[#This Row],[Move]],0)</f>
        <v>9.0000000000000746E-2</v>
      </c>
      <c r="P40" s="46">
        <f ca="1">IF(ROW($N40)-5&lt;RSI_Periods, "", AVERAGE(INDIRECT(ADDRESS(ROW($N40)-RSI_Periods +1, MATCH("Upmove", Price_Header,0))): INDIRECT(ADDRESS(ROW($N40),MATCH("Upmove", Price_Header,0)))))</f>
        <v>4.785714285714298E-2</v>
      </c>
      <c r="Q40" s="46">
        <f ca="1">IF(ROW($O40)-5&lt;RSI_Periods, "", AVERAGE(INDIRECT(ADDRESS(ROW($O40)-RSI_Periods +1, MATCH("Downmove", Price_Header,0))): INDIRECT(ADDRESS(ROW($O40),MATCH("Downmove", Price_Header,0)))))</f>
        <v>7.4285714285714413E-2</v>
      </c>
      <c r="R40" s="46">
        <f ca="1">IF(tbl_F[[#This Row],[Avg_Upmove]]="", "", tbl_F[[#This Row],[Avg_Upmove]]/tbl_F[[#This Row],[Avg_Downmove]])</f>
        <v>0.64423076923076983</v>
      </c>
      <c r="S40" s="10">
        <f ca="1">IF(ROW($N40)-4&lt;BB_Periods, "", _xlfn.STDEV.S(INDIRECT(ADDRESS(ROW($F40)-RSI_Periods +1, MATCH("Adj Close", Price_Header,0))): INDIRECT(ADDRESS(ROW($F40),MATCH("Adj Close", Price_Header,0)))))</f>
        <v>0.24306309948174032</v>
      </c>
    </row>
    <row r="41" spans="1:19" x14ac:dyDescent="0.25">
      <c r="A41" s="8">
        <v>44104</v>
      </c>
      <c r="B41" s="10">
        <v>6.61</v>
      </c>
      <c r="C41" s="10">
        <v>6.75</v>
      </c>
      <c r="D41" s="10">
        <v>6.59</v>
      </c>
      <c r="E41" s="10">
        <v>6.66</v>
      </c>
      <c r="F41" s="10">
        <v>6.66</v>
      </c>
      <c r="G41">
        <v>55809500</v>
      </c>
      <c r="H41" s="10">
        <f>IF(tbl_F[[#This Row],[Date]]=$A$5, $F41, EMA_Beta*$H40 + (1-EMA_Beta)*$F41)</f>
        <v>6.8183684260313671</v>
      </c>
      <c r="I41" s="46">
        <f ca="1">IF(tbl_F[[#This Row],[RS]]= "", "", 100-(100/(1+tbl_F[[#This Row],[RS]])))</f>
        <v>42.69005847953219</v>
      </c>
      <c r="J41" s="10">
        <f ca="1">IF(ROW($N41)-4&lt;BB_Periods, "", AVERAGE(INDIRECT(ADDRESS(ROW($F41)-RSI_Periods +1, MATCH("Adj Close", Price_Header,0))): INDIRECT(ADDRESS(ROW($F41),MATCH("Adj Close", Price_Header,0)))))</f>
        <v>6.8642857142857139</v>
      </c>
      <c r="K41" s="10">
        <f ca="1">IF(tbl_F[[#This Row],[BB_Mean]]="", "", tbl_F[[#This Row],[BB_Mean]]+(BB_Width*tbl_F[[#This Row],[BB_Stdev]]))</f>
        <v>7.3641758120973329</v>
      </c>
      <c r="L41" s="10">
        <f ca="1">IF(tbl_F[[#This Row],[BB_Mean]]="", "", tbl_F[[#This Row],[BB_Mean]]-(BB_Width*tbl_F[[#This Row],[BB_Stdev]]))</f>
        <v>6.3643956164740949</v>
      </c>
      <c r="M41" s="46">
        <f>IF(ROW(tbl_F[[#This Row],[Adj Close]])=5, 0, $F41-$F40)</f>
        <v>6.0000000000000497E-2</v>
      </c>
      <c r="N41" s="46">
        <f>MAX(tbl_F[[#This Row],[Move]],0)</f>
        <v>6.0000000000000497E-2</v>
      </c>
      <c r="O41" s="46">
        <f>MAX(-tbl_F[[#This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5.2142857142857303E-2</v>
      </c>
      <c r="Q41" s="46">
        <f ca="1">IF(ROW($O41)-5&lt;RSI_Periods, "", AVERAGE(INDIRECT(ADDRESS(ROW($O41)-RSI_Periods +1, MATCH("Downmove", Price_Header,0))): INDIRECT(ADDRESS(ROW($O41),MATCH("Downmove", Price_Header,0)))))</f>
        <v>7.0000000000000159E-2</v>
      </c>
      <c r="R41" s="46">
        <f ca="1">IF(tbl_F[[#This Row],[Avg_Upmove]]="", "", tbl_F[[#This Row],[Avg_Upmove]]/tbl_F[[#This Row],[Avg_Downmove]])</f>
        <v>0.74489795918367407</v>
      </c>
      <c r="S41" s="10">
        <f ca="1">IF(ROW($N41)-4&lt;BB_Periods, "", _xlfn.STDEV.S(INDIRECT(ADDRESS(ROW($F41)-RSI_Periods +1, MATCH("Adj Close", Price_Header,0))): INDIRECT(ADDRESS(ROW($F41),MATCH("Adj Close", Price_Header,0)))))</f>
        <v>0.24994504890580957</v>
      </c>
    </row>
    <row r="42" spans="1:19" x14ac:dyDescent="0.25">
      <c r="A42" s="8">
        <v>44105</v>
      </c>
      <c r="B42" s="10">
        <v>6.71</v>
      </c>
      <c r="C42" s="10">
        <v>6.77</v>
      </c>
      <c r="D42" s="10">
        <v>6.63</v>
      </c>
      <c r="E42" s="10">
        <v>6.75</v>
      </c>
      <c r="F42" s="10">
        <v>6.75</v>
      </c>
      <c r="G42">
        <v>58340600</v>
      </c>
      <c r="H42" s="10">
        <f>IF(tbl_F[[#This Row],[Date]]=$A$5, $F42, EMA_Beta*$H41 + (1-EMA_Beta)*$F42)</f>
        <v>6.8115315834282306</v>
      </c>
      <c r="I42" s="46">
        <f ca="1">IF(tbl_F[[#This Row],[RS]]= "", "", 100-(100/(1+tbl_F[[#This Row],[RS]])))</f>
        <v>42.69005847953219</v>
      </c>
      <c r="J42" s="10">
        <f ca="1">IF(ROW($N42)-4&lt;BB_Periods, "", AVERAGE(INDIRECT(ADDRESS(ROW($F42)-RSI_Periods +1, MATCH("Adj Close", Price_Header,0))): INDIRECT(ADDRESS(ROW($F42),MATCH("Adj Close", Price_Header,0)))))</f>
        <v>6.8464285714285706</v>
      </c>
      <c r="K42" s="10">
        <f ca="1">IF(tbl_F[[#This Row],[BB_Mean]]="", "", tbl_F[[#This Row],[BB_Mean]]+(BB_Width*tbl_F[[#This Row],[BB_Stdev]]))</f>
        <v>7.3432868327749352</v>
      </c>
      <c r="L42" s="10">
        <f ca="1">IF(tbl_F[[#This Row],[BB_Mean]]="", "", tbl_F[[#This Row],[BB_Mean]]-(BB_Width*tbl_F[[#This Row],[BB_Stdev]]))</f>
        <v>6.3495703100822061</v>
      </c>
      <c r="M42" s="46">
        <f>IF(ROW(tbl_F[[#This Row],[Adj Close]])=5, 0, $F42-$F41)</f>
        <v>8.9999999999999858E-2</v>
      </c>
      <c r="N42" s="46">
        <f>MAX(tbl_F[[#This Row],[Move]],0)</f>
        <v>8.9999999999999858E-2</v>
      </c>
      <c r="O42" s="46">
        <f>MAX(-tbl_F[[#This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5.2142857142857303E-2</v>
      </c>
      <c r="Q42" s="46">
        <f ca="1">IF(ROW($O42)-5&lt;RSI_Periods, "", AVERAGE(INDIRECT(ADDRESS(ROW($O42)-RSI_Periods +1, MATCH("Downmove", Price_Header,0))): INDIRECT(ADDRESS(ROW($O42),MATCH("Downmove", Price_Header,0)))))</f>
        <v>7.0000000000000159E-2</v>
      </c>
      <c r="R42" s="46">
        <f ca="1">IF(tbl_F[[#This Row],[Avg_Upmove]]="", "", tbl_F[[#This Row],[Avg_Upmove]]/tbl_F[[#This Row],[Avg_Downmove]])</f>
        <v>0.74489795918367407</v>
      </c>
      <c r="S42" s="10">
        <f ca="1">IF(ROW($N42)-4&lt;BB_Periods, "", _xlfn.STDEV.S(INDIRECT(ADDRESS(ROW($F42)-RSI_Periods +1, MATCH("Adj Close", Price_Header,0))): INDIRECT(ADDRESS(ROW($F42),MATCH("Adj Close", Price_Header,0)))))</f>
        <v>0.24842913067318215</v>
      </c>
    </row>
    <row r="43" spans="1:19" x14ac:dyDescent="0.25">
      <c r="A43" s="8">
        <v>44106</v>
      </c>
      <c r="B43" s="10">
        <v>6.62</v>
      </c>
      <c r="C43" s="10">
        <v>6.93</v>
      </c>
      <c r="D43" s="10">
        <v>6.6</v>
      </c>
      <c r="E43" s="10">
        <v>6.89</v>
      </c>
      <c r="F43" s="10">
        <v>6.89</v>
      </c>
      <c r="G43">
        <v>60798400</v>
      </c>
      <c r="H43" s="10">
        <f>IF(tbl_F[[#This Row],[Date]]=$A$5, $F43, EMA_Beta*$H42 + (1-EMA_Beta)*$F43)</f>
        <v>6.8193784250854081</v>
      </c>
      <c r="I43" s="46">
        <f ca="1">IF(tbl_F[[#This Row],[RS]]= "", "", 100-(100/(1+tbl_F[[#This Row],[RS]])))</f>
        <v>43.352601156069369</v>
      </c>
      <c r="J43" s="10">
        <f ca="1">IF(ROW($N43)-4&lt;BB_Periods, "", AVERAGE(INDIRECT(ADDRESS(ROW($F43)-RSI_Periods +1, MATCH("Adj Close", Price_Header,0))): INDIRECT(ADDRESS(ROW($F43),MATCH("Adj Close", Price_Header,0)))))</f>
        <v>6.8299999999999992</v>
      </c>
      <c r="K43" s="10">
        <f ca="1">IF(tbl_F[[#This Row],[BB_Mean]]="", "", tbl_F[[#This Row],[BB_Mean]]+(BB_Width*tbl_F[[#This Row],[BB_Stdev]]))</f>
        <v>7.3025055962224554</v>
      </c>
      <c r="L43" s="10">
        <f ca="1">IF(tbl_F[[#This Row],[BB_Mean]]="", "", tbl_F[[#This Row],[BB_Mean]]-(BB_Width*tbl_F[[#This Row],[BB_Stdev]]))</f>
        <v>6.3574944037775429</v>
      </c>
      <c r="M43" s="46">
        <f>IF(ROW(tbl_F[[#This Row],[Adj Close]])=5, 0, $F43-$F42)</f>
        <v>0.13999999999999968</v>
      </c>
      <c r="N43" s="46">
        <f>MAX(tbl_F[[#This Row],[Move]],0)</f>
        <v>0.13999999999999968</v>
      </c>
      <c r="O43" s="46">
        <f>MAX(-tbl_F[[#This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5.35714285714287E-2</v>
      </c>
      <c r="Q43" s="46">
        <f ca="1">IF(ROW($O43)-5&lt;RSI_Periods, "", AVERAGE(INDIRECT(ADDRESS(ROW($O43)-RSI_Periods +1, MATCH("Downmove", Price_Header,0))): INDIRECT(ADDRESS(ROW($O43),MATCH("Downmove", Price_Header,0)))))</f>
        <v>7.0000000000000159E-2</v>
      </c>
      <c r="R43" s="46">
        <f ca="1">IF(tbl_F[[#This Row],[Avg_Upmove]]="", "", tbl_F[[#This Row],[Avg_Upmove]]/tbl_F[[#This Row],[Avg_Downmove]])</f>
        <v>0.76530612244897966</v>
      </c>
      <c r="S43" s="10">
        <f ca="1">IF(ROW($N43)-4&lt;BB_Periods, "", _xlfn.STDEV.S(INDIRECT(ADDRESS(ROW($F43)-RSI_Periods +1, MATCH("Adj Close", Price_Header,0))): INDIRECT(ADDRESS(ROW($F43),MATCH("Adj Close", Price_Header,0)))))</f>
        <v>0.23625279811122801</v>
      </c>
    </row>
    <row r="44" spans="1:19" x14ac:dyDescent="0.25">
      <c r="A44" s="8">
        <v>44109</v>
      </c>
      <c r="B44" s="10">
        <v>6.95</v>
      </c>
      <c r="C44" s="10">
        <v>7.05</v>
      </c>
      <c r="D44" s="10">
        <v>6.95</v>
      </c>
      <c r="E44" s="10">
        <v>7.02</v>
      </c>
      <c r="F44" s="10">
        <v>7.02</v>
      </c>
      <c r="G44">
        <v>42359400</v>
      </c>
      <c r="H44" s="10">
        <f>IF(tbl_F[[#This Row],[Date]]=$A$5, $F44, EMA_Beta*$H43 + (1-EMA_Beta)*$F44)</f>
        <v>6.8394405825768674</v>
      </c>
      <c r="I44" s="46">
        <f ca="1">IF(tbl_F[[#This Row],[RS]]= "", "", 100-(100/(1+tbl_F[[#This Row],[RS]])))</f>
        <v>49.438202247191001</v>
      </c>
      <c r="J44" s="10">
        <f ca="1">IF(ROW($N44)-4&lt;BB_Periods, "", AVERAGE(INDIRECT(ADDRESS(ROW($F44)-RSI_Periods +1, MATCH("Adj Close", Price_Header,0))): INDIRECT(ADDRESS(ROW($F44),MATCH("Adj Close", Price_Header,0)))))</f>
        <v>6.8285714285714283</v>
      </c>
      <c r="K44" s="10">
        <f ca="1">IF(tbl_F[[#This Row],[BB_Mean]]="", "", tbl_F[[#This Row],[BB_Mean]]+(BB_Width*tbl_F[[#This Row],[BB_Stdev]]))</f>
        <v>7.2984556789897725</v>
      </c>
      <c r="L44" s="10">
        <f ca="1">IF(tbl_F[[#This Row],[BB_Mean]]="", "", tbl_F[[#This Row],[BB_Mean]]-(BB_Width*tbl_F[[#This Row],[BB_Stdev]]))</f>
        <v>6.358687178153084</v>
      </c>
      <c r="M44" s="46">
        <f>IF(ROW(tbl_F[[#This Row],[Adj Close]])=5, 0, $F44-$F43)</f>
        <v>0.12999999999999989</v>
      </c>
      <c r="N44" s="46">
        <f>MAX(tbl_F[[#This Row],[Move]],0)</f>
        <v>0.12999999999999989</v>
      </c>
      <c r="O44" s="46">
        <f>MAX(-tbl_F[[#This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6.2857142857142972E-2</v>
      </c>
      <c r="Q44" s="46">
        <f ca="1">IF(ROW($O44)-5&lt;RSI_Periods, "", AVERAGE(INDIRECT(ADDRESS(ROW($O44)-RSI_Periods +1, MATCH("Downmove", Price_Header,0))): INDIRECT(ADDRESS(ROW($O44),MATCH("Downmove", Price_Header,0)))))</f>
        <v>6.4285714285714432E-2</v>
      </c>
      <c r="R44" s="46">
        <f ca="1">IF(tbl_F[[#This Row],[Avg_Upmove]]="", "", tbl_F[[#This Row],[Avg_Upmove]]/tbl_F[[#This Row],[Avg_Downmove]])</f>
        <v>0.9777777777777773</v>
      </c>
      <c r="S44" s="10">
        <f ca="1">IF(ROW($N44)-4&lt;BB_Periods, "", _xlfn.STDEV.S(INDIRECT(ADDRESS(ROW($F44)-RSI_Periods +1, MATCH("Adj Close", Price_Header,0))): INDIRECT(ADDRESS(ROW($F44),MATCH("Adj Close", Price_Header,0)))))</f>
        <v>0.23494212520917196</v>
      </c>
    </row>
    <row r="45" spans="1:19" x14ac:dyDescent="0.25">
      <c r="A45" s="8">
        <v>44110</v>
      </c>
      <c r="B45" s="10">
        <v>7.06</v>
      </c>
      <c r="C45" s="10">
        <v>7.25</v>
      </c>
      <c r="D45" s="10">
        <v>6.96</v>
      </c>
      <c r="E45" s="10">
        <v>6.98</v>
      </c>
      <c r="F45" s="10">
        <v>6.98</v>
      </c>
      <c r="G45">
        <v>78203800</v>
      </c>
      <c r="H45" s="10">
        <f>IF(tbl_F[[#This Row],[Date]]=$A$5, $F45, EMA_Beta*$H44 + (1-EMA_Beta)*$F45)</f>
        <v>6.8534965243191799</v>
      </c>
      <c r="I45" s="46">
        <f ca="1">IF(tbl_F[[#This Row],[RS]]= "", "", 100-(100/(1+tbl_F[[#This Row],[RS]])))</f>
        <v>48.888888888888921</v>
      </c>
      <c r="J45" s="10">
        <f ca="1">IF(ROW($N45)-4&lt;BB_Periods, "", AVERAGE(INDIRECT(ADDRESS(ROW($F45)-RSI_Periods +1, MATCH("Adj Close", Price_Header,0))): INDIRECT(ADDRESS(ROW($F45),MATCH("Adj Close", Price_Header,0)))))</f>
        <v>6.8257142857142856</v>
      </c>
      <c r="K45" s="10">
        <f ca="1">IF(tbl_F[[#This Row],[BB_Mean]]="", "", tbl_F[[#This Row],[BB_Mean]]+(BB_Width*tbl_F[[#This Row],[BB_Stdev]]))</f>
        <v>7.2910488575400461</v>
      </c>
      <c r="L45" s="10">
        <f ca="1">IF(tbl_F[[#This Row],[BB_Mean]]="", "", tbl_F[[#This Row],[BB_Mean]]-(BB_Width*tbl_F[[#This Row],[BB_Stdev]]))</f>
        <v>6.3603797138885252</v>
      </c>
      <c r="M45" s="46">
        <f>IF(ROW(tbl_F[[#This Row],[Adj Close]])=5, 0, $F45-$F44)</f>
        <v>-3.9999999999999147E-2</v>
      </c>
      <c r="N45" s="46">
        <f>MAX(tbl_F[[#This Row],[Move]],0)</f>
        <v>0</v>
      </c>
      <c r="O45" s="46">
        <f>MAX(-tbl_F[[#This Row],[Move]],0)</f>
        <v>3.9999999999999147E-2</v>
      </c>
      <c r="P45" s="46">
        <f ca="1">IF(ROW($N45)-5&lt;RSI_Periods, "", AVERAGE(INDIRECT(ADDRESS(ROW($N45)-RSI_Periods +1, MATCH("Upmove", Price_Header,0))): INDIRECT(ADDRESS(ROW($N45),MATCH("Upmove", Price_Header,0)))))</f>
        <v>6.2857142857142972E-2</v>
      </c>
      <c r="Q45" s="46">
        <f ca="1">IF(ROW($O45)-5&lt;RSI_Periods, "", AVERAGE(INDIRECT(ADDRESS(ROW($O45)-RSI_Periods +1, MATCH("Downmove", Price_Header,0))): INDIRECT(ADDRESS(ROW($O45),MATCH("Downmove", Price_Header,0)))))</f>
        <v>6.5714285714285767E-2</v>
      </c>
      <c r="R45" s="46">
        <f ca="1">IF(tbl_F[[#This Row],[Avg_Upmove]]="", "", tbl_F[[#This Row],[Avg_Upmove]]/tbl_F[[#This Row],[Avg_Downmove]])</f>
        <v>0.95652173913043581</v>
      </c>
      <c r="S45" s="10">
        <f ca="1">IF(ROW($N45)-4&lt;BB_Periods, "", _xlfn.STDEV.S(INDIRECT(ADDRESS(ROW($F45)-RSI_Periods +1, MATCH("Adj Close", Price_Header,0))): INDIRECT(ADDRESS(ROW($F45),MATCH("Adj Close", Price_Header,0)))))</f>
        <v>0.2326672859128803</v>
      </c>
    </row>
    <row r="46" spans="1:19" x14ac:dyDescent="0.25">
      <c r="A46" s="8">
        <v>44111</v>
      </c>
      <c r="B46" s="10">
        <v>7.11</v>
      </c>
      <c r="C46" s="10">
        <v>7.25</v>
      </c>
      <c r="D46" s="10">
        <v>7.06</v>
      </c>
      <c r="E46" s="10">
        <v>7.23</v>
      </c>
      <c r="F46" s="10">
        <v>7.23</v>
      </c>
      <c r="G46">
        <v>50664100</v>
      </c>
      <c r="H46" s="10">
        <f>IF(tbl_F[[#This Row],[Date]]=$A$5, $F46, EMA_Beta*$H45 + (1-EMA_Beta)*$F46)</f>
        <v>6.8911468718872619</v>
      </c>
      <c r="I46" s="46">
        <f ca="1">IF(tbl_F[[#This Row],[RS]]= "", "", 100-(100/(1+tbl_F[[#This Row],[RS]])))</f>
        <v>48.603351955307275</v>
      </c>
      <c r="J46" s="10">
        <f ca="1">IF(ROW($N46)-4&lt;BB_Periods, "", AVERAGE(INDIRECT(ADDRESS(ROW($F46)-RSI_Periods +1, MATCH("Adj Close", Price_Header,0))): INDIRECT(ADDRESS(ROW($F46),MATCH("Adj Close", Price_Header,0)))))</f>
        <v>6.8221428571428575</v>
      </c>
      <c r="K46" s="10">
        <f ca="1">IF(tbl_F[[#This Row],[BB_Mean]]="", "", tbl_F[[#This Row],[BB_Mean]]+(BB_Width*tbl_F[[#This Row],[BB_Stdev]]))</f>
        <v>7.2730004039051668</v>
      </c>
      <c r="L46" s="10">
        <f ca="1">IF(tbl_F[[#This Row],[BB_Mean]]="", "", tbl_F[[#This Row],[BB_Mean]]-(BB_Width*tbl_F[[#This Row],[BB_Stdev]]))</f>
        <v>6.3712853103805482</v>
      </c>
      <c r="M46" s="46">
        <f>IF(ROW(tbl_F[[#This Row],[Adj Close]])=5, 0, $F46-$F45)</f>
        <v>0.25</v>
      </c>
      <c r="N46" s="46">
        <f>MAX(tbl_F[[#This Row],[Move]],0)</f>
        <v>0.25</v>
      </c>
      <c r="O46" s="46">
        <f>MAX(-tbl_F[[#This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6.2142857142857215E-2</v>
      </c>
      <c r="Q46" s="46">
        <f ca="1">IF(ROW($O46)-5&lt;RSI_Periods, "", AVERAGE(INDIRECT(ADDRESS(ROW($O46)-RSI_Periods +1, MATCH("Downmove", Price_Header,0))): INDIRECT(ADDRESS(ROW($O46),MATCH("Downmove", Price_Header,0)))))</f>
        <v>6.5714285714285767E-2</v>
      </c>
      <c r="R46" s="46">
        <f ca="1">IF(tbl_F[[#This Row],[Avg_Upmove]]="", "", tbl_F[[#This Row],[Avg_Upmove]]/tbl_F[[#This Row],[Avg_Downmove]])</f>
        <v>0.94565217391304379</v>
      </c>
      <c r="S46" s="10">
        <f ca="1">IF(ROW($N46)-4&lt;BB_Periods, "", _xlfn.STDEV.S(INDIRECT(ADDRESS(ROW($F46)-RSI_Periods +1, MATCH("Adj Close", Price_Header,0))): INDIRECT(ADDRESS(ROW($F46),MATCH("Adj Close", Price_Header,0)))))</f>
        <v>0.22542877338115455</v>
      </c>
    </row>
    <row r="47" spans="1:19" x14ac:dyDescent="0.25">
      <c r="A47" s="8">
        <v>44112</v>
      </c>
      <c r="B47" s="10">
        <v>7.29</v>
      </c>
      <c r="C47" s="10">
        <v>7.35</v>
      </c>
      <c r="D47" s="10">
        <v>7.2</v>
      </c>
      <c r="E47" s="10">
        <v>7.35</v>
      </c>
      <c r="F47" s="10">
        <v>7.35</v>
      </c>
      <c r="G47">
        <v>54513300</v>
      </c>
      <c r="H47" s="10">
        <f>IF(tbl_F[[#This Row],[Date]]=$A$5, $F47, EMA_Beta*$H46 + (1-EMA_Beta)*$F47)</f>
        <v>6.937032184698535</v>
      </c>
      <c r="I47" s="46">
        <f ca="1">IF(tbl_F[[#This Row],[RS]]= "", "", 100-(100/(1+tbl_F[[#This Row],[RS]])))</f>
        <v>53.225806451612883</v>
      </c>
      <c r="J47" s="10">
        <f ca="1">IF(ROW($N47)-4&lt;BB_Periods, "", AVERAGE(INDIRECT(ADDRESS(ROW($F47)-RSI_Periods +1, MATCH("Adj Close", Price_Header,0))): INDIRECT(ADDRESS(ROW($F47),MATCH("Adj Close", Price_Header,0)))))</f>
        <v>6.8307142857142855</v>
      </c>
      <c r="K47" s="10">
        <f ca="1">IF(tbl_F[[#This Row],[BB_Mean]]="", "", tbl_F[[#This Row],[BB_Mean]]+(BB_Width*tbl_F[[#This Row],[BB_Stdev]]))</f>
        <v>7.3180596401658224</v>
      </c>
      <c r="L47" s="10">
        <f ca="1">IF(tbl_F[[#This Row],[BB_Mean]]="", "", tbl_F[[#This Row],[BB_Mean]]-(BB_Width*tbl_F[[#This Row],[BB_Stdev]]))</f>
        <v>6.3433689312627486</v>
      </c>
      <c r="M47" s="46">
        <f>IF(ROW(tbl_F[[#This Row],[Adj Close]])=5, 0, $F47-$F46)</f>
        <v>0.11999999999999922</v>
      </c>
      <c r="N47" s="46">
        <f>MAX(tbl_F[[#This Row],[Move]],0)</f>
        <v>0.11999999999999922</v>
      </c>
      <c r="O47" s="46">
        <f>MAX(-tbl_F[[#This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7.071428571428573E-2</v>
      </c>
      <c r="Q47" s="46">
        <f ca="1">IF(ROW($O47)-5&lt;RSI_Periods, "", AVERAGE(INDIRECT(ADDRESS(ROW($O47)-RSI_Periods +1, MATCH("Downmove", Price_Header,0))): INDIRECT(ADDRESS(ROW($O47),MATCH("Downmove", Price_Header,0)))))</f>
        <v>6.2142857142857215E-2</v>
      </c>
      <c r="R47" s="46">
        <f ca="1">IF(tbl_F[[#This Row],[Avg_Upmove]]="", "", tbl_F[[#This Row],[Avg_Upmove]]/tbl_F[[#This Row],[Avg_Downmove]])</f>
        <v>1.1379310344827576</v>
      </c>
      <c r="S47" s="10">
        <f ca="1">IF(ROW($N47)-4&lt;BB_Periods, "", _xlfn.STDEV.S(INDIRECT(ADDRESS(ROW($F47)-RSI_Periods +1, MATCH("Adj Close", Price_Header,0))): INDIRECT(ADDRESS(ROW($F47),MATCH("Adj Close", Price_Header,0)))))</f>
        <v>0.24367267722576866</v>
      </c>
    </row>
    <row r="48" spans="1:19" x14ac:dyDescent="0.25">
      <c r="A48" s="8">
        <v>44113</v>
      </c>
      <c r="B48" s="10">
        <v>7.36</v>
      </c>
      <c r="C48" s="10">
        <v>7.44</v>
      </c>
      <c r="D48" s="10">
        <v>7.23</v>
      </c>
      <c r="E48" s="10">
        <v>7.25</v>
      </c>
      <c r="F48" s="10">
        <v>7.25</v>
      </c>
      <c r="G48">
        <v>50977900</v>
      </c>
      <c r="H48" s="10">
        <f>IF(tbl_F[[#This Row],[Date]]=$A$5, $F48, EMA_Beta*$H47 + (1-EMA_Beta)*$F48)</f>
        <v>6.9683289662286816</v>
      </c>
      <c r="I48" s="46">
        <f ca="1">IF(tbl_F[[#This Row],[RS]]= "", "", 100-(100/(1+tbl_F[[#This Row],[RS]])))</f>
        <v>61.874999999999993</v>
      </c>
      <c r="J48" s="10">
        <f ca="1">IF(ROW($N48)-4&lt;BB_Periods, "", AVERAGE(INDIRECT(ADDRESS(ROW($F48)-RSI_Periods +1, MATCH("Adj Close", Price_Header,0))): INDIRECT(ADDRESS(ROW($F48),MATCH("Adj Close", Price_Header,0)))))</f>
        <v>6.8578571428571422</v>
      </c>
      <c r="K48" s="10">
        <f ca="1">IF(tbl_F[[#This Row],[BB_Mean]]="", "", tbl_F[[#This Row],[BB_Mean]]+(BB_Width*tbl_F[[#This Row],[BB_Stdev]]))</f>
        <v>7.3944663587204653</v>
      </c>
      <c r="L48" s="10">
        <f ca="1">IF(tbl_F[[#This Row],[BB_Mean]]="", "", tbl_F[[#This Row],[BB_Mean]]-(BB_Width*tbl_F[[#This Row],[BB_Stdev]]))</f>
        <v>6.3212479269938191</v>
      </c>
      <c r="M48" s="46">
        <f>IF(ROW(tbl_F[[#This Row],[Adj Close]])=5, 0, $F48-$F47)</f>
        <v>-9.9999999999999645E-2</v>
      </c>
      <c r="N48" s="46">
        <f>MAX(tbl_F[[#This Row],[Move]],0)</f>
        <v>0</v>
      </c>
      <c r="O48" s="46">
        <f>MAX(-tbl_F[[#This Row],[Move]],0)</f>
        <v>9.9999999999999645E-2</v>
      </c>
      <c r="P48" s="46">
        <f ca="1">IF(ROW($N48)-5&lt;RSI_Periods, "", AVERAGE(INDIRECT(ADDRESS(ROW($N48)-RSI_Periods +1, MATCH("Upmove", Price_Header,0))): INDIRECT(ADDRESS(ROW($N48),MATCH("Upmove", Price_Header,0)))))</f>
        <v>7.071428571428573E-2</v>
      </c>
      <c r="Q48" s="46">
        <f ca="1">IF(ROW($O48)-5&lt;RSI_Periods, "", AVERAGE(INDIRECT(ADDRESS(ROW($O48)-RSI_Periods +1, MATCH("Downmove", Price_Header,0))): INDIRECT(ADDRESS(ROW($O48),MATCH("Downmove", Price_Header,0)))))</f>
        <v>4.3571428571428594E-2</v>
      </c>
      <c r="R48" s="46">
        <f ca="1">IF(tbl_F[[#This Row],[Avg_Upmove]]="", "", tbl_F[[#This Row],[Avg_Upmove]]/tbl_F[[#This Row],[Avg_Downmove]])</f>
        <v>1.6229508196721307</v>
      </c>
      <c r="S48" s="10">
        <f ca="1">IF(ROW($N48)-4&lt;BB_Periods, "", _xlfn.STDEV.S(INDIRECT(ADDRESS(ROW($F48)-RSI_Periods +1, MATCH("Adj Close", Price_Header,0))): INDIRECT(ADDRESS(ROW($F48),MATCH("Adj Close", Price_Header,0)))))</f>
        <v>0.26830460793166155</v>
      </c>
    </row>
    <row r="49" spans="1:19" x14ac:dyDescent="0.25">
      <c r="A49" s="8">
        <v>44116</v>
      </c>
      <c r="B49" s="10">
        <v>7.36</v>
      </c>
      <c r="C49" s="10">
        <v>7.87</v>
      </c>
      <c r="D49" s="10">
        <v>7.33</v>
      </c>
      <c r="E49" s="10">
        <v>7.67</v>
      </c>
      <c r="F49" s="10">
        <v>7.67</v>
      </c>
      <c r="G49">
        <v>97692900</v>
      </c>
      <c r="H49" s="10">
        <f>IF(tbl_F[[#This Row],[Date]]=$A$5, $F49, EMA_Beta*$H48 + (1-EMA_Beta)*$F49)</f>
        <v>7.038496069605813</v>
      </c>
      <c r="I49" s="46">
        <f ca="1">IF(tbl_F[[#This Row],[RS]]= "", "", 100-(100/(1+tbl_F[[#This Row],[RS]])))</f>
        <v>73.056994818652839</v>
      </c>
      <c r="J49" s="10">
        <f ca="1">IF(ROW($N49)-4&lt;BB_Periods, "", AVERAGE(INDIRECT(ADDRESS(ROW($F49)-RSI_Periods +1, MATCH("Adj Close", Price_Header,0))): INDIRECT(ADDRESS(ROW($F49),MATCH("Adj Close", Price_Header,0)))))</f>
        <v>6.9214285714285717</v>
      </c>
      <c r="K49" s="10">
        <f ca="1">IF(tbl_F[[#This Row],[BB_Mean]]="", "", tbl_F[[#This Row],[BB_Mean]]+(BB_Width*tbl_F[[#This Row],[BB_Stdev]]))</f>
        <v>7.608175961683517</v>
      </c>
      <c r="L49" s="10">
        <f ca="1">IF(tbl_F[[#This Row],[BB_Mean]]="", "", tbl_F[[#This Row],[BB_Mean]]-(BB_Width*tbl_F[[#This Row],[BB_Stdev]]))</f>
        <v>6.2346811811736265</v>
      </c>
      <c r="M49" s="46">
        <f>IF(ROW(tbl_F[[#This Row],[Adj Close]])=5, 0, $F49-$F48)</f>
        <v>0.41999999999999993</v>
      </c>
      <c r="N49" s="46">
        <f>MAX(tbl_F[[#This Row],[Move]],0)</f>
        <v>0.41999999999999993</v>
      </c>
      <c r="O49" s="46">
        <f>MAX(-tbl_F[[#This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0.10071428571428573</v>
      </c>
      <c r="Q49" s="46">
        <f ca="1">IF(ROW($O49)-5&lt;RSI_Periods, "", AVERAGE(INDIRECT(ADDRESS(ROW($O49)-RSI_Periods +1, MATCH("Downmove", Price_Header,0))): INDIRECT(ADDRESS(ROW($O49),MATCH("Downmove", Price_Header,0)))))</f>
        <v>3.7142857142857179E-2</v>
      </c>
      <c r="R49" s="46">
        <f ca="1">IF(tbl_F[[#This Row],[Avg_Upmove]]="", "", tbl_F[[#This Row],[Avg_Upmove]]/tbl_F[[#This Row],[Avg_Downmove]])</f>
        <v>2.7115384615384595</v>
      </c>
      <c r="S49" s="10">
        <f ca="1">IF(ROW($N49)-4&lt;BB_Periods, "", _xlfn.STDEV.S(INDIRECT(ADDRESS(ROW($F49)-RSI_Periods +1, MATCH("Adj Close", Price_Header,0))): INDIRECT(ADDRESS(ROW($F49),MATCH("Adj Close", Price_Header,0)))))</f>
        <v>0.34337369512747257</v>
      </c>
    </row>
    <row r="50" spans="1:19" x14ac:dyDescent="0.25">
      <c r="A50" s="8">
        <v>44117</v>
      </c>
      <c r="B50" s="10">
        <v>7.82</v>
      </c>
      <c r="C50" s="10">
        <v>7.88</v>
      </c>
      <c r="D50" s="10">
        <v>7.63</v>
      </c>
      <c r="E50" s="10">
        <v>7.76</v>
      </c>
      <c r="F50" s="10">
        <v>7.76</v>
      </c>
      <c r="G50">
        <v>74562600</v>
      </c>
      <c r="H50" s="10">
        <f>IF(tbl_F[[#This Row],[Date]]=$A$5, $F50, EMA_Beta*$H49 + (1-EMA_Beta)*$F50)</f>
        <v>7.1106464626452315</v>
      </c>
      <c r="I50" s="46">
        <f ca="1">IF(tbl_F[[#This Row],[RS]]= "", "", 100-(100/(1+tbl_F[[#This Row],[RS]])))</f>
        <v>79.787234042553195</v>
      </c>
      <c r="J50" s="10">
        <f ca="1">IF(ROW($N50)-4&lt;BB_Periods, "", AVERAGE(INDIRECT(ADDRESS(ROW($F50)-RSI_Periods +1, MATCH("Adj Close", Price_Header,0))): INDIRECT(ADDRESS(ROW($F50),MATCH("Adj Close", Price_Header,0)))))</f>
        <v>7.0014285714285718</v>
      </c>
      <c r="K50" s="10">
        <f ca="1">IF(tbl_F[[#This Row],[BB_Mean]]="", "", tbl_F[[#This Row],[BB_Mean]]+(BB_Width*tbl_F[[#This Row],[BB_Stdev]]))</f>
        <v>7.7989577227783808</v>
      </c>
      <c r="L50" s="10">
        <f ca="1">IF(tbl_F[[#This Row],[BB_Mean]]="", "", tbl_F[[#This Row],[BB_Mean]]-(BB_Width*tbl_F[[#This Row],[BB_Stdev]]))</f>
        <v>6.2038994200787627</v>
      </c>
      <c r="M50" s="46">
        <f>IF(ROW(tbl_F[[#This Row],[Adj Close]])=5, 0, $F50-$F49)</f>
        <v>8.9999999999999858E-2</v>
      </c>
      <c r="N50" s="46">
        <f>MAX(tbl_F[[#This Row],[Move]],0)</f>
        <v>8.9999999999999858E-2</v>
      </c>
      <c r="O50" s="46">
        <f>MAX(-tbl_F[[#This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0.10714285714285714</v>
      </c>
      <c r="Q50" s="46">
        <f ca="1">IF(ROW($O50)-5&lt;RSI_Periods, "", AVERAGE(INDIRECT(ADDRESS(ROW($O50)-RSI_Periods +1, MATCH("Downmove", Price_Header,0))): INDIRECT(ADDRESS(ROW($O50),MATCH("Downmove", Price_Header,0)))))</f>
        <v>2.7142857142857135E-2</v>
      </c>
      <c r="R50" s="46">
        <f ca="1">IF(tbl_F[[#This Row],[Avg_Upmove]]="", "", tbl_F[[#This Row],[Avg_Upmove]]/tbl_F[[#This Row],[Avg_Downmove]])</f>
        <v>3.9473684210526323</v>
      </c>
      <c r="S50" s="10">
        <f ca="1">IF(ROW($N50)-4&lt;BB_Periods, "", _xlfn.STDEV.S(INDIRECT(ADDRESS(ROW($F50)-RSI_Periods +1, MATCH("Adj Close", Price_Header,0))): INDIRECT(ADDRESS(ROW($F50),MATCH("Adj Close", Price_Header,0)))))</f>
        <v>0.3987645756749047</v>
      </c>
    </row>
    <row r="51" spans="1:19" x14ac:dyDescent="0.25">
      <c r="A51" s="8">
        <v>44118</v>
      </c>
      <c r="B51" s="10">
        <v>7.73</v>
      </c>
      <c r="C51" s="10">
        <v>7.75</v>
      </c>
      <c r="D51" s="10">
        <v>7.55</v>
      </c>
      <c r="E51" s="10">
        <v>7.57</v>
      </c>
      <c r="F51" s="10">
        <v>7.57</v>
      </c>
      <c r="G51">
        <v>57808900</v>
      </c>
      <c r="H51" s="10">
        <f>IF(tbl_F[[#This Row],[Date]]=$A$5, $F51, EMA_Beta*$H50 + (1-EMA_Beta)*$F51)</f>
        <v>7.156581816380708</v>
      </c>
      <c r="I51" s="46">
        <f ca="1">IF(tbl_F[[#This Row],[RS]]= "", "", 100-(100/(1+tbl_F[[#This Row],[RS]])))</f>
        <v>72.195121951219534</v>
      </c>
      <c r="J51" s="10">
        <f ca="1">IF(ROW($N51)-4&lt;BB_Periods, "", AVERAGE(INDIRECT(ADDRESS(ROW($F51)-RSI_Periods +1, MATCH("Adj Close", Price_Header,0))): INDIRECT(ADDRESS(ROW($F51),MATCH("Adj Close", Price_Header,0)))))</f>
        <v>7.0664285714285722</v>
      </c>
      <c r="K51" s="10">
        <f ca="1">IF(tbl_F[[#This Row],[BB_Mean]]="", "", tbl_F[[#This Row],[BB_Mean]]+(BB_Width*tbl_F[[#This Row],[BB_Stdev]]))</f>
        <v>7.891930083996991</v>
      </c>
      <c r="L51" s="10">
        <f ca="1">IF(tbl_F[[#This Row],[BB_Mean]]="", "", tbl_F[[#This Row],[BB_Mean]]-(BB_Width*tbl_F[[#This Row],[BB_Stdev]]))</f>
        <v>6.2409270588601533</v>
      </c>
      <c r="M51" s="46">
        <f>IF(ROW(tbl_F[[#This Row],[Adj Close]])=5, 0, $F51-$F50)</f>
        <v>-0.1899999999999995</v>
      </c>
      <c r="N51" s="46">
        <f>MAX(tbl_F[[#This Row],[Move]],0)</f>
        <v>0</v>
      </c>
      <c r="O51" s="46">
        <f>MAX(-tbl_F[[#This Row],[Move]],0)</f>
        <v>0.1899999999999995</v>
      </c>
      <c r="P51" s="46">
        <f ca="1">IF(ROW($N51)-5&lt;RSI_Periods, "", AVERAGE(INDIRECT(ADDRESS(ROW($N51)-RSI_Periods +1, MATCH("Upmove", Price_Header,0))): INDIRECT(ADDRESS(ROW($N51),MATCH("Upmove", Price_Header,0)))))</f>
        <v>0.10571428571428568</v>
      </c>
      <c r="Q51" s="46">
        <f ca="1">IF(ROW($O51)-5&lt;RSI_Periods, "", AVERAGE(INDIRECT(ADDRESS(ROW($O51)-RSI_Periods +1, MATCH("Downmove", Price_Header,0))): INDIRECT(ADDRESS(ROW($O51),MATCH("Downmove", Price_Header,0)))))</f>
        <v>4.0714285714285668E-2</v>
      </c>
      <c r="R51" s="46">
        <f ca="1">IF(tbl_F[[#This Row],[Avg_Upmove]]="", "", tbl_F[[#This Row],[Avg_Upmove]]/tbl_F[[#This Row],[Avg_Downmove]])</f>
        <v>2.5964912280701773</v>
      </c>
      <c r="S51" s="10">
        <f ca="1">IF(ROW($N51)-4&lt;BB_Periods, "", _xlfn.STDEV.S(INDIRECT(ADDRESS(ROW($F51)-RSI_Periods +1, MATCH("Adj Close", Price_Header,0))): INDIRECT(ADDRESS(ROW($F51),MATCH("Adj Close", Price_Header,0)))))</f>
        <v>0.41275075628420937</v>
      </c>
    </row>
    <row r="52" spans="1:19" x14ac:dyDescent="0.25">
      <c r="A52" s="8">
        <v>44119</v>
      </c>
      <c r="B52" s="10">
        <v>7.42</v>
      </c>
      <c r="C52" s="10">
        <v>7.62</v>
      </c>
      <c r="D52" s="10">
        <v>7.37</v>
      </c>
      <c r="E52" s="10">
        <v>7.62</v>
      </c>
      <c r="F52" s="10">
        <v>7.62</v>
      </c>
      <c r="G52">
        <v>49336200</v>
      </c>
      <c r="H52" s="10">
        <f>IF(tbl_F[[#This Row],[Date]]=$A$5, $F52, EMA_Beta*$H51 + (1-EMA_Beta)*$F52)</f>
        <v>7.2029236347426373</v>
      </c>
      <c r="I52" s="46">
        <f ca="1">IF(tbl_F[[#This Row],[RS]]= "", "", 100-(100/(1+tbl_F[[#This Row],[RS]])))</f>
        <v>78.461538461538495</v>
      </c>
      <c r="J52" s="10">
        <f ca="1">IF(ROW($N52)-4&lt;BB_Periods, "", AVERAGE(INDIRECT(ADDRESS(ROW($F52)-RSI_Periods +1, MATCH("Adj Close", Price_Header,0))): INDIRECT(ADDRESS(ROW($F52),MATCH("Adj Close", Price_Header,0)))))</f>
        <v>7.1457142857142868</v>
      </c>
      <c r="K52" s="10">
        <f ca="1">IF(tbl_F[[#This Row],[BB_Mean]]="", "", tbl_F[[#This Row],[BB_Mean]]+(BB_Width*tbl_F[[#This Row],[BB_Stdev]]))</f>
        <v>7.9540445413634258</v>
      </c>
      <c r="L52" s="10">
        <f ca="1">IF(tbl_F[[#This Row],[BB_Mean]]="", "", tbl_F[[#This Row],[BB_Mean]]-(BB_Width*tbl_F[[#This Row],[BB_Stdev]]))</f>
        <v>6.3373840300651478</v>
      </c>
      <c r="M52" s="46">
        <f>IF(ROW(tbl_F[[#This Row],[Adj Close]])=5, 0, $F52-$F51)</f>
        <v>4.9999999999999822E-2</v>
      </c>
      <c r="N52" s="46">
        <f>MAX(tbl_F[[#This Row],[Move]],0)</f>
        <v>4.9999999999999822E-2</v>
      </c>
      <c r="O52" s="46">
        <f>MAX(-tbl_F[[#This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0.10928571428571424</v>
      </c>
      <c r="Q52" s="46">
        <f ca="1">IF(ROW($O52)-5&lt;RSI_Periods, "", AVERAGE(INDIRECT(ADDRESS(ROW($O52)-RSI_Periods +1, MATCH("Downmove", Price_Header,0))): INDIRECT(ADDRESS(ROW($O52),MATCH("Downmove", Price_Header,0)))))</f>
        <v>2.9999999999999933E-2</v>
      </c>
      <c r="R52" s="46">
        <f ca="1">IF(tbl_F[[#This Row],[Avg_Upmove]]="", "", tbl_F[[#This Row],[Avg_Upmove]]/tbl_F[[#This Row],[Avg_Downmove]])</f>
        <v>3.6428571428571495</v>
      </c>
      <c r="S52" s="10">
        <f ca="1">IF(ROW($N52)-4&lt;BB_Periods, "", _xlfn.STDEV.S(INDIRECT(ADDRESS(ROW($F52)-RSI_Periods +1, MATCH("Adj Close", Price_Header,0))): INDIRECT(ADDRESS(ROW($F52),MATCH("Adj Close", Price_Header,0)))))</f>
        <v>0.40416512782456943</v>
      </c>
    </row>
    <row r="53" spans="1:19" x14ac:dyDescent="0.25">
      <c r="A53" s="8">
        <v>44120</v>
      </c>
      <c r="B53" s="10">
        <v>7.71</v>
      </c>
      <c r="C53" s="10">
        <v>7.75</v>
      </c>
      <c r="D53" s="10">
        <v>7.61</v>
      </c>
      <c r="E53" s="10">
        <v>7.67</v>
      </c>
      <c r="F53" s="10">
        <v>7.67</v>
      </c>
      <c r="G53">
        <v>47509400</v>
      </c>
      <c r="H53" s="10">
        <f>IF(tbl_F[[#This Row],[Date]]=$A$5, $F53, EMA_Beta*$H52 + (1-EMA_Beta)*$F53)</f>
        <v>7.249631271268373</v>
      </c>
      <c r="I53" s="46">
        <f ca="1">IF(tbl_F[[#This Row],[RS]]= "", "", 100-(100/(1+tbl_F[[#This Row],[RS]])))</f>
        <v>76.923076923076948</v>
      </c>
      <c r="J53" s="10">
        <f ca="1">IF(ROW($N53)-4&lt;BB_Periods, "", AVERAGE(INDIRECT(ADDRESS(ROW($F53)-RSI_Periods +1, MATCH("Adj Close", Price_Header,0))): INDIRECT(ADDRESS(ROW($F53),MATCH("Adj Close", Price_Header,0)))))</f>
        <v>7.2157142857142871</v>
      </c>
      <c r="K53" s="10">
        <f ca="1">IF(tbl_F[[#This Row],[BB_Mean]]="", "", tbl_F[[#This Row],[BB_Mean]]+(BB_Width*tbl_F[[#This Row],[BB_Stdev]]))</f>
        <v>8.0237780412231157</v>
      </c>
      <c r="L53" s="10">
        <f ca="1">IF(tbl_F[[#This Row],[BB_Mean]]="", "", tbl_F[[#This Row],[BB_Mean]]-(BB_Width*tbl_F[[#This Row],[BB_Stdev]]))</f>
        <v>6.4076505302054576</v>
      </c>
      <c r="M53" s="46">
        <f>IF(ROW(tbl_F[[#This Row],[Adj Close]])=5, 0, $F53-$F52)</f>
        <v>4.9999999999999822E-2</v>
      </c>
      <c r="N53" s="46">
        <f>MAX(tbl_F[[#This Row],[Move]],0)</f>
        <v>4.9999999999999822E-2</v>
      </c>
      <c r="O53" s="46">
        <f>MAX(-tbl_F[[#This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9.9999999999999895E-2</v>
      </c>
      <c r="Q53" s="46">
        <f ca="1">IF(ROW($O53)-5&lt;RSI_Periods, "", AVERAGE(INDIRECT(ADDRESS(ROW($O53)-RSI_Periods +1, MATCH("Downmove", Price_Header,0))): INDIRECT(ADDRESS(ROW($O53),MATCH("Downmove", Price_Header,0)))))</f>
        <v>2.9999999999999933E-2</v>
      </c>
      <c r="R53" s="46">
        <f ca="1">IF(tbl_F[[#This Row],[Avg_Upmove]]="", "", tbl_F[[#This Row],[Avg_Upmove]]/tbl_F[[#This Row],[Avg_Downmove]])</f>
        <v>3.3333333333333375</v>
      </c>
      <c r="S53" s="10">
        <f ca="1">IF(ROW($N53)-4&lt;BB_Periods, "", _xlfn.STDEV.S(INDIRECT(ADDRESS(ROW($F53)-RSI_Periods +1, MATCH("Adj Close", Price_Header,0))): INDIRECT(ADDRESS(ROW($F53),MATCH("Adj Close", Price_Header,0)))))</f>
        <v>0.40403187775441468</v>
      </c>
    </row>
    <row r="54" spans="1:19" x14ac:dyDescent="0.25">
      <c r="A54" s="8">
        <v>44123</v>
      </c>
      <c r="B54" s="10">
        <v>7.68</v>
      </c>
      <c r="C54" s="10">
        <v>7.72</v>
      </c>
      <c r="D54" s="10">
        <v>7.57</v>
      </c>
      <c r="E54" s="10">
        <v>7.59</v>
      </c>
      <c r="F54" s="10">
        <v>7.59</v>
      </c>
      <c r="G54">
        <v>38960700</v>
      </c>
      <c r="H54" s="10">
        <f>IF(tbl_F[[#This Row],[Date]]=$A$5, $F54, EMA_Beta*$H53 + (1-EMA_Beta)*$F54)</f>
        <v>7.2836681441415356</v>
      </c>
      <c r="I54" s="46">
        <f ca="1">IF(tbl_F[[#This Row],[RS]]= "", "", 100-(100/(1+tbl_F[[#This Row],[RS]])))</f>
        <v>77.348066298342587</v>
      </c>
      <c r="J54" s="10">
        <f ca="1">IF(ROW($N54)-4&lt;BB_Periods, "", AVERAGE(INDIRECT(ADDRESS(ROW($F54)-RSI_Periods +1, MATCH("Adj Close", Price_Header,0))): INDIRECT(ADDRESS(ROW($F54),MATCH("Adj Close", Price_Header,0)))))</f>
        <v>7.2864285714285719</v>
      </c>
      <c r="K54" s="10">
        <f ca="1">IF(tbl_F[[#This Row],[BB_Mean]]="", "", tbl_F[[#This Row],[BB_Mean]]+(BB_Width*tbl_F[[#This Row],[BB_Stdev]]))</f>
        <v>8.0333445750618555</v>
      </c>
      <c r="L54" s="10">
        <f ca="1">IF(tbl_F[[#This Row],[BB_Mean]]="", "", tbl_F[[#This Row],[BB_Mean]]-(BB_Width*tbl_F[[#This Row],[BB_Stdev]]))</f>
        <v>6.5395125677952874</v>
      </c>
      <c r="M54" s="46">
        <f>IF(ROW(tbl_F[[#This Row],[Adj Close]])=5, 0, $F54-$F53)</f>
        <v>-8.0000000000000071E-2</v>
      </c>
      <c r="N54" s="46">
        <f>MAX(tbl_F[[#This Row],[Move]],0)</f>
        <v>0</v>
      </c>
      <c r="O54" s="46">
        <f>MAX(-tbl_F[[#This Row],[Move]],0)</f>
        <v>8.0000000000000071E-2</v>
      </c>
      <c r="P54" s="46">
        <f ca="1">IF(ROW($N54)-5&lt;RSI_Periods, "", AVERAGE(INDIRECT(ADDRESS(ROW($N54)-RSI_Periods +1, MATCH("Upmove", Price_Header,0))): INDIRECT(ADDRESS(ROW($N54),MATCH("Upmove", Price_Header,0)))))</f>
        <v>9.9999999999999895E-2</v>
      </c>
      <c r="Q54" s="46">
        <f ca="1">IF(ROW($O54)-5&lt;RSI_Periods, "", AVERAGE(INDIRECT(ADDRESS(ROW($O54)-RSI_Periods +1, MATCH("Downmove", Price_Header,0))): INDIRECT(ADDRESS(ROW($O54),MATCH("Downmove", Price_Header,0)))))</f>
        <v>2.9285714285714168E-2</v>
      </c>
      <c r="R54" s="46">
        <f ca="1">IF(tbl_F[[#This Row],[Avg_Upmove]]="", "", tbl_F[[#This Row],[Avg_Upmove]]/tbl_F[[#This Row],[Avg_Downmove]])</f>
        <v>3.4146341463414736</v>
      </c>
      <c r="S54" s="10">
        <f ca="1">IF(ROW($N54)-4&lt;BB_Periods, "", _xlfn.STDEV.S(INDIRECT(ADDRESS(ROW($F54)-RSI_Periods +1, MATCH("Adj Close", Price_Header,0))): INDIRECT(ADDRESS(ROW($F54),MATCH("Adj Close", Price_Header,0)))))</f>
        <v>0.37345800181664218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J55" s="61"/>
      <c r="K55" s="61"/>
      <c r="L55" s="61"/>
      <c r="S55" s="61">
        <f ca="1">SUBTOTAL(103,tbl_F[BB_Stdev])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topLeftCell="A31"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257</v>
      </c>
    </row>
    <row r="4" spans="1:10" x14ac:dyDescent="0.25">
      <c r="A4" t="s">
        <v>258</v>
      </c>
    </row>
    <row r="6" spans="1:10" ht="15.75" x14ac:dyDescent="0.25">
      <c r="A6" s="7" t="s">
        <v>259</v>
      </c>
    </row>
    <row r="7" spans="1:10" x14ac:dyDescent="0.25">
      <c r="A7" t="s">
        <v>260</v>
      </c>
    </row>
    <row r="9" spans="1:10" x14ac:dyDescent="0.25">
      <c r="A9" s="66" t="s">
        <v>261</v>
      </c>
    </row>
    <row r="10" spans="1:10" x14ac:dyDescent="0.25">
      <c r="A10" t="s">
        <v>262</v>
      </c>
    </row>
    <row r="11" spans="1:10" x14ac:dyDescent="0.25">
      <c r="B11" t="s">
        <v>263</v>
      </c>
    </row>
    <row r="12" spans="1:10" x14ac:dyDescent="0.25">
      <c r="A12" t="s">
        <v>264</v>
      </c>
    </row>
    <row r="13" spans="1:10" x14ac:dyDescent="0.25">
      <c r="B13" t="s">
        <v>267</v>
      </c>
    </row>
    <row r="14" spans="1:10" x14ac:dyDescent="0.25">
      <c r="A14" t="s">
        <v>265</v>
      </c>
    </row>
    <row r="15" spans="1:10" x14ac:dyDescent="0.25">
      <c r="B15" t="s">
        <v>266</v>
      </c>
    </row>
    <row r="17" spans="1:2" ht="15.75" x14ac:dyDescent="0.25">
      <c r="A17" s="7" t="s">
        <v>268</v>
      </c>
    </row>
    <row r="18" spans="1:2" x14ac:dyDescent="0.25">
      <c r="A18" t="s">
        <v>284</v>
      </c>
    </row>
    <row r="20" spans="1:2" x14ac:dyDescent="0.25">
      <c r="A20" s="66" t="s">
        <v>261</v>
      </c>
    </row>
    <row r="21" spans="1:2" x14ac:dyDescent="0.25">
      <c r="A21" t="s">
        <v>269</v>
      </c>
    </row>
    <row r="22" spans="1:2" x14ac:dyDescent="0.25">
      <c r="B22" t="s">
        <v>270</v>
      </c>
    </row>
    <row r="23" spans="1:2" x14ac:dyDescent="0.25">
      <c r="A23" t="s">
        <v>272</v>
      </c>
    </row>
    <row r="26" spans="1:2" ht="15.75" x14ac:dyDescent="0.25">
      <c r="A26" s="7" t="s">
        <v>271</v>
      </c>
    </row>
    <row r="27" spans="1:2" x14ac:dyDescent="0.25">
      <c r="A27" t="s">
        <v>285</v>
      </c>
    </row>
    <row r="28" spans="1:2" x14ac:dyDescent="0.25">
      <c r="A28" s="66" t="s">
        <v>261</v>
      </c>
    </row>
    <row r="29" spans="1:2" x14ac:dyDescent="0.25">
      <c r="A29" t="s">
        <v>273</v>
      </c>
    </row>
    <row r="30" spans="1:2" x14ac:dyDescent="0.25">
      <c r="A30" t="s">
        <v>274</v>
      </c>
    </row>
    <row r="31" spans="1:2" x14ac:dyDescent="0.25">
      <c r="A31" t="s">
        <v>276</v>
      </c>
    </row>
    <row r="33" spans="1:1" ht="15.75" x14ac:dyDescent="0.25">
      <c r="A33" s="7" t="s">
        <v>277</v>
      </c>
    </row>
    <row r="34" spans="1:1" x14ac:dyDescent="0.25">
      <c r="A34" t="s">
        <v>286</v>
      </c>
    </row>
    <row r="35" spans="1:1" x14ac:dyDescent="0.25">
      <c r="A35" s="66" t="s">
        <v>261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3" spans="1:1" x14ac:dyDescent="0.25">
      <c r="A43" t="s">
        <v>287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zoomScale="139" zoomScaleNormal="55" workbookViewId="0">
      <selection activeCell="H6" sqref="H6"/>
    </sheetView>
  </sheetViews>
  <sheetFormatPr defaultColWidth="9.140625"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5.28515625" style="67" customWidth="1"/>
    <col min="7" max="7" width="17.42578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288</v>
      </c>
      <c r="C3" s="69"/>
      <c r="D3" s="68"/>
      <c r="E3" s="68"/>
      <c r="F3" s="72" t="s">
        <v>195</v>
      </c>
      <c r="G3" s="89">
        <f>DATE(2020, 10, 19)</f>
        <v>44123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22</v>
      </c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102875.58979899999</v>
      </c>
      <c r="G5" s="70">
        <f ca="1">INDEX(tbl_position[], COUNT(tbl_position[Date]), MATCH("Total_Net_Asset", pos_header,0))-INDEX(tbl_position[], COUNT(tbl_position[Date])-1, MATCH("Total_Net_Asset", pos_header,0))</f>
        <v>-844.60975000000326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26991.709999999992</v>
      </c>
      <c r="G6" s="70">
        <f>INDEX(tbl_position[], COUNT(tbl_position[Date]), MATCH("Cash_holding", pos_header,0))-INDEX(tbl_position[], COUNT(tbl_position[Date])-1, MATCH("Cash_holding", pos_header,0))</f>
        <v>2709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0.19971466986305428</v>
      </c>
      <c r="E10" s="75"/>
      <c r="F10" s="108" t="s">
        <v>190</v>
      </c>
      <c r="G10" s="109">
        <f>INDEX(tbl_transsummary[], _xlfn.FLOOR.MATH(($G$3-DATE(2020, 9, 9))/7)+1, 4)</f>
        <v>27.09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FDX</v>
      </c>
      <c r="D11" s="94">
        <f ca="1">LARGE(tbl_holdings[Total], 2)/tbl_holdings[[#Totals],[Total]]</f>
        <v>0.19761912360080511</v>
      </c>
      <c r="E11" s="75"/>
      <c r="F11" s="112" t="s">
        <v>191</v>
      </c>
      <c r="G11" s="113">
        <f>INDEX(tbl_transsummary[], _xlfn.FLOOR.MATH(($G$3-DATE(2020, 9, 9))/7)+1, 5)</f>
        <v>2736.09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IBM</v>
      </c>
      <c r="D12" s="95">
        <f ca="1">LARGE(tbl_holdings[Total], 3)/tbl_holdings[[#Totals],[Total]]</f>
        <v>0.17550725585031604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275</v>
      </c>
      <c r="C18" s="68"/>
      <c r="D18" s="68"/>
      <c r="E18" s="68"/>
      <c r="F18" s="68"/>
      <c r="G18" s="124" t="s">
        <v>240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44096</v>
      </c>
      <c r="C21" s="119">
        <f t="shared" ref="C21:C30" ca="1" si="1">INDEX(INDIRECT("tbl_"&amp;$G$18), COUNT(Date_List)-20+$I$18+A21, MATCH("Open", Price_Header,0))</f>
        <v>6.15</v>
      </c>
      <c r="D21" s="119">
        <f t="shared" ref="D21:D30" ca="1" si="2">INDEX(INDIRECT("tbl_"&amp;$G$18), COUNT(Date_List)-20+$I$18+A21, MATCH("High", Price_Header,0))</f>
        <v>6.31</v>
      </c>
      <c r="E21" s="119">
        <f t="shared" ref="E21:E30" ca="1" si="3">INDEX(INDIRECT("tbl_"&amp;$G$18), COUNT(Date_List)-20+$I$18+A21, MATCH("low", Price_Header,0))</f>
        <v>6.02</v>
      </c>
      <c r="F21" s="119">
        <f t="shared" ref="F21:F30" ca="1" si="4">INDEX(INDIRECT("tbl_"&amp;$G$18), COUNT(Date_List)-20+$I$18+A21, MATCH("Close", Price_Header,0))</f>
        <v>6.06</v>
      </c>
      <c r="G21" s="119">
        <f t="shared" ref="G21:G30" ca="1" si="5">INDEX(INDIRECT("tbl_"&amp;$G$18), COUNT(Date_List)-20+$I$18+A21, MATCH("adj close", Price_Header,0))</f>
        <v>6.06</v>
      </c>
      <c r="H21" s="121">
        <f t="shared" ref="H21:H30" ca="1" si="6">INDEX(INDIRECT("tbl_"&amp;$G$18), COUNT(Date_List)-20+$I$18+A21, MATCH("volume", Price_Header,0))/1000</f>
        <v>35781.300000000003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44097</v>
      </c>
      <c r="C22" s="119">
        <f t="shared" ca="1" si="1"/>
        <v>6.01</v>
      </c>
      <c r="D22" s="119">
        <f t="shared" ca="1" si="2"/>
        <v>6.5</v>
      </c>
      <c r="E22" s="119">
        <f t="shared" ca="1" si="3"/>
        <v>6</v>
      </c>
      <c r="F22" s="119">
        <f t="shared" ca="1" si="4"/>
        <v>6.48</v>
      </c>
      <c r="G22" s="119">
        <f t="shared" ca="1" si="5"/>
        <v>6.48</v>
      </c>
      <c r="H22" s="121">
        <f t="shared" ca="1" si="6"/>
        <v>40980.199999999997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44098</v>
      </c>
      <c r="C23" s="119">
        <f t="shared" ca="1" si="1"/>
        <v>6.57</v>
      </c>
      <c r="D23" s="119">
        <f t="shared" ca="1" si="2"/>
        <v>6.65</v>
      </c>
      <c r="E23" s="119">
        <f t="shared" ca="1" si="3"/>
        <v>6.22</v>
      </c>
      <c r="F23" s="119">
        <f t="shared" ca="1" si="4"/>
        <v>6.41</v>
      </c>
      <c r="G23" s="119">
        <f t="shared" ca="1" si="5"/>
        <v>6.41</v>
      </c>
      <c r="H23" s="121">
        <f t="shared" ca="1" si="6"/>
        <v>61530.7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44099</v>
      </c>
      <c r="C24" s="119">
        <f t="shared" ca="1" si="1"/>
        <v>6.48</v>
      </c>
      <c r="D24" s="119">
        <f t="shared" ca="1" si="2"/>
        <v>6.53</v>
      </c>
      <c r="E24" s="119">
        <f t="shared" ca="1" si="3"/>
        <v>6.06</v>
      </c>
      <c r="F24" s="119">
        <f t="shared" ca="1" si="4"/>
        <v>6.1</v>
      </c>
      <c r="G24" s="119">
        <f t="shared" ca="1" si="5"/>
        <v>6.1</v>
      </c>
      <c r="H24" s="121">
        <f t="shared" ca="1" si="6"/>
        <v>41909.9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44102</v>
      </c>
      <c r="C25" s="119">
        <f t="shared" ca="1" si="1"/>
        <v>5.85</v>
      </c>
      <c r="D25" s="119">
        <f t="shared" ca="1" si="2"/>
        <v>5.92</v>
      </c>
      <c r="E25" s="119">
        <f t="shared" ca="1" si="3"/>
        <v>5.76</v>
      </c>
      <c r="F25" s="119">
        <f t="shared" ca="1" si="4"/>
        <v>5.81</v>
      </c>
      <c r="G25" s="119">
        <f t="shared" ca="1" si="5"/>
        <v>5.81</v>
      </c>
      <c r="H25" s="121">
        <f t="shared" ca="1" si="6"/>
        <v>28157.7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44103</v>
      </c>
      <c r="C26" s="119">
        <f t="shared" ca="1" si="1"/>
        <v>5.81</v>
      </c>
      <c r="D26" s="119">
        <f t="shared" ca="1" si="2"/>
        <v>5.94</v>
      </c>
      <c r="E26" s="119">
        <f t="shared" ca="1" si="3"/>
        <v>5.78</v>
      </c>
      <c r="F26" s="119">
        <f t="shared" ca="1" si="4"/>
        <v>5.91</v>
      </c>
      <c r="G26" s="119">
        <f t="shared" ca="1" si="5"/>
        <v>5.91</v>
      </c>
      <c r="H26" s="121">
        <f t="shared" ca="1" si="6"/>
        <v>31636.1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44104</v>
      </c>
      <c r="C27" s="119">
        <f t="shared" ca="1" si="1"/>
        <v>5.87</v>
      </c>
      <c r="D27" s="119">
        <f t="shared" ca="1" si="2"/>
        <v>5.88</v>
      </c>
      <c r="E27" s="119">
        <f t="shared" ca="1" si="3"/>
        <v>5.59</v>
      </c>
      <c r="F27" s="119">
        <f t="shared" ca="1" si="4"/>
        <v>5.76</v>
      </c>
      <c r="G27" s="119">
        <f t="shared" ca="1" si="5"/>
        <v>5.76</v>
      </c>
      <c r="H27" s="121">
        <f t="shared" ca="1" si="6"/>
        <v>44462.2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44105</v>
      </c>
      <c r="C28" s="119">
        <f t="shared" ca="1" si="1"/>
        <v>5.62</v>
      </c>
      <c r="D28" s="119">
        <f t="shared" ca="1" si="2"/>
        <v>5.76</v>
      </c>
      <c r="E28" s="119">
        <f t="shared" ca="1" si="3"/>
        <v>5.57</v>
      </c>
      <c r="F28" s="119">
        <f t="shared" ca="1" si="4"/>
        <v>5.66</v>
      </c>
      <c r="G28" s="119">
        <f t="shared" ca="1" si="5"/>
        <v>5.66</v>
      </c>
      <c r="H28" s="121">
        <f t="shared" ca="1" si="6"/>
        <v>40085.1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44106</v>
      </c>
      <c r="C29" s="119">
        <f t="shared" ca="1" si="1"/>
        <v>5.92</v>
      </c>
      <c r="D29" s="119">
        <f t="shared" ca="1" si="2"/>
        <v>5.95</v>
      </c>
      <c r="E29" s="119">
        <f t="shared" ca="1" si="3"/>
        <v>5.71</v>
      </c>
      <c r="F29" s="119">
        <f t="shared" ca="1" si="4"/>
        <v>5.81</v>
      </c>
      <c r="G29" s="119">
        <f t="shared" ca="1" si="5"/>
        <v>5.81</v>
      </c>
      <c r="H29" s="121">
        <f t="shared" ca="1" si="6"/>
        <v>49876.800000000003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44109</v>
      </c>
      <c r="C30" s="120">
        <f t="shared" ca="1" si="1"/>
        <v>5.7</v>
      </c>
      <c r="D30" s="120">
        <f t="shared" ca="1" si="2"/>
        <v>5.7</v>
      </c>
      <c r="E30" s="120">
        <f t="shared" ca="1" si="3"/>
        <v>5.5</v>
      </c>
      <c r="F30" s="120">
        <f t="shared" ca="1" si="4"/>
        <v>5.51</v>
      </c>
      <c r="G30" s="120">
        <f t="shared" ca="1" si="5"/>
        <v>5.51</v>
      </c>
      <c r="H30" s="122">
        <f t="shared" ca="1" si="6"/>
        <v>22828.7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180975</xdr:colOff>
                    <xdr:row>13</xdr:row>
                    <xdr:rowOff>57150</xdr:rowOff>
                  </from>
                  <to>
                    <xdr:col>20</xdr:col>
                    <xdr:colOff>200025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8"/>
  <sheetViews>
    <sheetView tabSelected="1" workbookViewId="0">
      <selection activeCell="L18" sqref="L18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10.7109375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5.710937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212</v>
      </c>
      <c r="J2" s="51" t="s">
        <v>213</v>
      </c>
      <c r="T2" t="s">
        <v>183</v>
      </c>
      <c r="U2" s="51" t="str">
        <f>Dashboard!G18</f>
        <v>SPXS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116.81</v>
      </c>
      <c r="E5">
        <f>INDEX(tbl_position[], COUNT(tbl_position[Date]), MATCH("Shares_"&amp;C5, pos_header,0))</f>
        <v>0</v>
      </c>
      <c r="F5">
        <f ca="1">tbl_holdings[[#This Row],[Current Price]]*tbl_holdings[[#This Row],['# Holdings]]</f>
        <v>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44104</v>
      </c>
      <c r="U5" s="63">
        <f ca="1">INDEX(INDIRECT("tbl_"&amp;$U$2), COUNT(Date_List)-$W$2+$S5, MATCH("Adj Close", Price_Header,0))</f>
        <v>5.76</v>
      </c>
      <c r="V5" s="19">
        <f t="shared" ref="V5:V18" ca="1" si="1">INDEX(INDIRECT("tbl_"&amp;$U$2), COUNT(Date_List)-$W$2+$S5, MATCH("volume", Price_Header,0))/1000</f>
        <v>44462.2</v>
      </c>
      <c r="W5" s="63">
        <f t="shared" ref="W5:W18" ca="1" si="2">INDEX(INDIRECT("tbl_"&amp;$U$2), COUNT(Date_List)-$W$2+$S5, MATCH("EMA", Price_Header,0))</f>
        <v>5.9113356571631597</v>
      </c>
      <c r="X5" s="64">
        <f t="shared" ref="X5:X18" ca="1" si="3">INDEX(INDIRECT("tbl_"&amp;$U$2), COUNT(Date_List)-$W$2+$S5, MATCH("RSI", Price_Header,0))</f>
        <v>46.031746031746032</v>
      </c>
      <c r="Y5" s="63">
        <f t="shared" ref="Y5:Y18" ca="1" si="4">INDEX(INDIRECT("tbl_"&amp;$U$2), COUNT(Date_List)-$W$2+$S5, MATCH("BB_Mean", Price_Header,0))</f>
        <v>5.9771428571428569</v>
      </c>
      <c r="Z5" s="63">
        <f t="shared" ref="Z5:Z18" ca="1" si="5">INDEX(INDIRECT("tbl_"&amp;$U$2), COUNT(Date_List)-$W$2+$S5, MATCH("BB_upper", Price_Header,0))</f>
        <v>6.5075957012112244</v>
      </c>
      <c r="AA5" s="63">
        <f t="shared" ref="AA5:AA18" ca="1" si="6">INDEX(INDIRECT("tbl_"&amp;$U$2), COUNT(Date_List)-$W$2+$S5, MATCH("BB_lower", Price_Header,0))</f>
        <v>5.4466900130744893</v>
      </c>
      <c r="AB5" s="19" t="str">
        <f ca="1">TEXT(T5, "mm/dd")</f>
        <v>09/30</v>
      </c>
      <c r="AC5" s="19">
        <v>70</v>
      </c>
      <c r="AD5" s="20">
        <v>30</v>
      </c>
      <c r="AG5">
        <f>0+Dashboard!V3</f>
        <v>22</v>
      </c>
      <c r="AH5" s="8">
        <f>IF(AG5=0, DATE(2020, 9, 9),INDEX(tbl_position[], AG5, MATCH("DATE", pos_header, 0)))</f>
        <v>44113</v>
      </c>
      <c r="AI5" s="126">
        <f ca="1">IF(AG5=0, 100000, INDEX(tbl_position[Total_Net_Asset], AG5))</f>
        <v>103024.67970000001</v>
      </c>
      <c r="AJ5" s="126">
        <f>IF(AG5=0, 100000, INDEX(tbl_position[Cash_Holding], AG5))</f>
        <v>36635.579999999994</v>
      </c>
      <c r="AK5" t="str">
        <f>TEXT(AH5, "mm/dd")</f>
        <v>10/09</v>
      </c>
    </row>
    <row r="6" spans="2:37" x14ac:dyDescent="0.2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27.4</v>
      </c>
      <c r="E6">
        <f>INDEX(tbl_position[], COUNT(tbl_position[Date]), MATCH("Shares_"&amp;C6, pos_header,0))</f>
        <v>0</v>
      </c>
      <c r="F6">
        <f ca="1">tbl_holdings[[#This Row],[Current Price]]*tbl_holdings[[#This Row],['# Holdings]]</f>
        <v>0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44105</v>
      </c>
      <c r="U6" s="53">
        <f t="shared" ref="U6:U18" ca="1" si="8">INDEX(INDIRECT("tbl_"&amp;$U$2), COUNT(Date_List)-$W$2+$S6, MATCH("Adj Close", Price_Header,0))</f>
        <v>5.66</v>
      </c>
      <c r="V6" s="21">
        <f t="shared" ca="1" si="1"/>
        <v>40085.1</v>
      </c>
      <c r="W6" s="53">
        <f t="shared" ca="1" si="2"/>
        <v>5.8862020914468438</v>
      </c>
      <c r="X6" s="54">
        <f t="shared" ca="1" si="3"/>
        <v>44.44444444444445</v>
      </c>
      <c r="Y6" s="53">
        <f t="shared" ca="1" si="4"/>
        <v>5.9564285714285718</v>
      </c>
      <c r="Z6" s="53">
        <f t="shared" ca="1" si="5"/>
        <v>6.5134319352000549</v>
      </c>
      <c r="AA6" s="53">
        <f t="shared" ca="1" si="6"/>
        <v>5.3994252076570888</v>
      </c>
      <c r="AB6" s="21" t="str">
        <f t="shared" ref="AB6:AB18" ca="1" si="9">TEXT(T6, "mm/dd")</f>
        <v>10/01</v>
      </c>
      <c r="AC6" s="21">
        <v>70</v>
      </c>
      <c r="AD6" s="15">
        <v>30</v>
      </c>
      <c r="AG6" s="47">
        <f>1+Dashboard!V3</f>
        <v>23</v>
      </c>
      <c r="AH6" s="8">
        <f>IF(AG6=0, DATE(2020, 9, 9),INDEX(tbl_position[], AG6, MATCH("DATE", pos_header, 0)))</f>
        <v>44116</v>
      </c>
      <c r="AI6" s="126">
        <f ca="1">IF(AG6=0, 100000, INDEX(tbl_position[Total_Net_Asset], AG6))</f>
        <v>103625.320352</v>
      </c>
      <c r="AJ6" s="126">
        <f>IF(AG6=0, 100000, INDEX(tbl_position[Cash_Holding], AG6))</f>
        <v>35279.709999999992</v>
      </c>
      <c r="AK6" t="str">
        <f>TEXT(AH6, "mm/dd")</f>
        <v>10/12</v>
      </c>
    </row>
    <row r="7" spans="2:37" x14ac:dyDescent="0.25">
      <c r="B7">
        <v>3</v>
      </c>
      <c r="C7" t="str">
        <f t="shared" si="0"/>
        <v>FDX</v>
      </c>
      <c r="D7">
        <f t="shared" ca="1" si="7"/>
        <v>281.97000000000003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14098.500000000002</v>
      </c>
      <c r="J7">
        <v>3</v>
      </c>
      <c r="K7" s="8">
        <f t="shared" ref="K7:K10" si="10">K6+7</f>
        <v>44097</v>
      </c>
      <c r="L7" s="8">
        <f t="shared" ref="L7:L10" si="11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2">INDEX(INDIRECT("tbl_"&amp;$U$2), COUNT(Date_List)-$W$2+$S7, 1)</f>
        <v>44106</v>
      </c>
      <c r="U7" s="53">
        <f t="shared" ca="1" si="8"/>
        <v>5.81</v>
      </c>
      <c r="V7" s="21">
        <f t="shared" ca="1" si="1"/>
        <v>49876.800000000003</v>
      </c>
      <c r="W7" s="53">
        <f t="shared" ca="1" si="2"/>
        <v>5.8785818823021589</v>
      </c>
      <c r="X7" s="54">
        <f t="shared" ca="1" si="3"/>
        <v>51.778656126482211</v>
      </c>
      <c r="Y7" s="53">
        <f t="shared" ca="1" si="4"/>
        <v>5.9628571428571444</v>
      </c>
      <c r="Z7" s="53">
        <f t="shared" ca="1" si="5"/>
        <v>6.5100979741851148</v>
      </c>
      <c r="AA7" s="53">
        <f t="shared" ca="1" si="6"/>
        <v>5.415616311529174</v>
      </c>
      <c r="AB7" s="21" t="str">
        <f t="shared" ca="1" si="9"/>
        <v>10/02</v>
      </c>
      <c r="AC7" s="21">
        <v>70</v>
      </c>
      <c r="AD7" s="15">
        <v>30</v>
      </c>
      <c r="AG7" s="47">
        <f>2+Dashboard!V3</f>
        <v>24</v>
      </c>
      <c r="AH7" s="8">
        <f>IF(AG7=0, DATE(2020, 9, 9),INDEX(tbl_position[], AG7, MATCH("DATE", pos_header, 0)))</f>
        <v>44117</v>
      </c>
      <c r="AI7" s="126">
        <f ca="1">IF(AG7=0, 100000, INDEX(tbl_position[Total_Net_Asset], AG7))</f>
        <v>103643.21000199999</v>
      </c>
      <c r="AJ7" s="126">
        <f>IF(AG7=0, 100000, INDEX(tbl_position[Cash_Holding], AG7))</f>
        <v>24282.709999999992</v>
      </c>
      <c r="AK7" t="str">
        <f>TEXT(AH7, "mm/dd")</f>
        <v>10/13</v>
      </c>
    </row>
    <row r="8" spans="2:37" x14ac:dyDescent="0.25">
      <c r="B8">
        <v>4</v>
      </c>
      <c r="C8" t="str">
        <f t="shared" si="0"/>
        <v>HD</v>
      </c>
      <c r="D8">
        <f t="shared" ca="1" si="7"/>
        <v>284.95999999999998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14247.999999999998</v>
      </c>
      <c r="J8">
        <v>4</v>
      </c>
      <c r="K8" s="8">
        <f t="shared" si="10"/>
        <v>44104</v>
      </c>
      <c r="L8" s="8">
        <f t="shared" si="11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2"/>
        <v>44109</v>
      </c>
      <c r="U8" s="53">
        <f t="shared" ca="1" si="8"/>
        <v>5.51</v>
      </c>
      <c r="V8" s="21">
        <f t="shared" ca="1" si="1"/>
        <v>22828.7</v>
      </c>
      <c r="W8" s="53">
        <f t="shared" ca="1" si="2"/>
        <v>5.841723694071943</v>
      </c>
      <c r="X8" s="54">
        <f t="shared" ca="1" si="3"/>
        <v>47.985347985347985</v>
      </c>
      <c r="Y8" s="53">
        <f t="shared" ca="1" si="4"/>
        <v>5.955000000000001</v>
      </c>
      <c r="Z8" s="53">
        <f t="shared" ca="1" si="5"/>
        <v>6.5260853364764877</v>
      </c>
      <c r="AA8" s="53">
        <f t="shared" ca="1" si="6"/>
        <v>5.3839146635235142</v>
      </c>
      <c r="AB8" s="21" t="str">
        <f t="shared" ca="1" si="9"/>
        <v>10/05</v>
      </c>
      <c r="AC8" s="21">
        <v>70</v>
      </c>
      <c r="AD8" s="15">
        <v>30</v>
      </c>
      <c r="AG8" s="47">
        <f>3+Dashboard!V3</f>
        <v>25</v>
      </c>
      <c r="AH8" s="8">
        <f>IF(AG8=0, DATE(2020, 9, 9),INDEX(tbl_position[], AG8, MATCH("DATE", pos_header, 0)))</f>
        <v>44118</v>
      </c>
      <c r="AI8" s="126">
        <f ca="1">IF(AG8=0, 100000, INDEX(tbl_position[Total_Net_Asset], AG8))</f>
        <v>103476.75979699999</v>
      </c>
      <c r="AJ8" s="126">
        <f>IF(AG8=0, 100000, INDEX(tbl_position[Cash_Holding], AG8))</f>
        <v>24282.709999999992</v>
      </c>
      <c r="AK8" t="str">
        <f t="shared" ref="AK8:AK22" si="13">TEXT(AH8, "mm/dd")</f>
        <v>10/14</v>
      </c>
    </row>
    <row r="9" spans="2:37" x14ac:dyDescent="0.25">
      <c r="B9">
        <v>5</v>
      </c>
      <c r="C9" t="str">
        <f t="shared" si="0"/>
        <v>IBM</v>
      </c>
      <c r="D9">
        <f t="shared" ca="1" si="7"/>
        <v>125.21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12521</v>
      </c>
      <c r="J9">
        <v>5</v>
      </c>
      <c r="K9" s="8">
        <f t="shared" si="10"/>
        <v>44111</v>
      </c>
      <c r="L9" s="8">
        <f t="shared" si="11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31651.430000000004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6343.04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2"/>
        <v>44110</v>
      </c>
      <c r="U9" s="53">
        <f t="shared" ca="1" si="8"/>
        <v>5.75</v>
      </c>
      <c r="V9" s="21">
        <f t="shared" ca="1" si="1"/>
        <v>36321</v>
      </c>
      <c r="W9" s="53">
        <f t="shared" ca="1" si="2"/>
        <v>5.8325513246647489</v>
      </c>
      <c r="X9" s="54">
        <f t="shared" ca="1" si="3"/>
        <v>50.865051903114193</v>
      </c>
      <c r="Y9" s="53">
        <f t="shared" ca="1" si="4"/>
        <v>5.95857142857143</v>
      </c>
      <c r="Z9" s="53">
        <f t="shared" ca="1" si="5"/>
        <v>6.5233781153294688</v>
      </c>
      <c r="AA9" s="53">
        <f t="shared" ca="1" si="6"/>
        <v>5.3937647418133912</v>
      </c>
      <c r="AB9" s="21" t="str">
        <f t="shared" ca="1" si="9"/>
        <v>10/06</v>
      </c>
      <c r="AC9" s="21">
        <v>70</v>
      </c>
      <c r="AD9" s="15">
        <v>30</v>
      </c>
      <c r="AG9" s="47">
        <f>4+Dashboard!V3</f>
        <v>26</v>
      </c>
      <c r="AH9" s="8">
        <f>IF(AG9=0, DATE(2020, 9, 9),INDEX(tbl_position[], AG9, MATCH("DATE", pos_header, 0)))</f>
        <v>44119</v>
      </c>
      <c r="AI9" s="126">
        <f ca="1">IF(AG9=0, 100000, INDEX(tbl_position[Total_Net_Asset], AG9))</f>
        <v>103476.319852</v>
      </c>
      <c r="AJ9" s="126">
        <f>IF(AG9=0, 100000, INDEX(tbl_position[Cash_Holding], AG9))</f>
        <v>24282.709999999992</v>
      </c>
      <c r="AK9" t="str">
        <f t="shared" si="13"/>
        <v>10/15</v>
      </c>
    </row>
    <row r="10" spans="2:37" x14ac:dyDescent="0.25">
      <c r="B10">
        <v>6</v>
      </c>
      <c r="C10" t="str">
        <f t="shared" si="0"/>
        <v>NKLA</v>
      </c>
      <c r="D10">
        <f t="shared" ca="1" si="7"/>
        <v>20.46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0"/>
        <v>44118</v>
      </c>
      <c r="L10" s="8">
        <f t="shared" si="11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27.09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2736.09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2"/>
        <v>44111</v>
      </c>
      <c r="U10" s="53">
        <f t="shared" ca="1" si="8"/>
        <v>5.44</v>
      </c>
      <c r="V10" s="21">
        <f t="shared" ca="1" si="1"/>
        <v>27016.400000000001</v>
      </c>
      <c r="W10" s="53">
        <f t="shared" ca="1" si="2"/>
        <v>5.793296192198274</v>
      </c>
      <c r="X10" s="54">
        <f t="shared" ca="1" si="3"/>
        <v>43.278688524590187</v>
      </c>
      <c r="Y10" s="53">
        <f t="shared" ca="1" si="4"/>
        <v>5.9292857142857143</v>
      </c>
      <c r="Z10" s="53">
        <f t="shared" ca="1" si="5"/>
        <v>6.5573212000893202</v>
      </c>
      <c r="AA10" s="53">
        <f t="shared" ca="1" si="6"/>
        <v>5.3012502284821084</v>
      </c>
      <c r="AB10" s="21" t="str">
        <f t="shared" ca="1" si="9"/>
        <v>10/07</v>
      </c>
      <c r="AC10" s="21">
        <v>70</v>
      </c>
      <c r="AD10" s="15">
        <v>30</v>
      </c>
      <c r="AG10" s="47">
        <f>5+Dashboard!V3</f>
        <v>27</v>
      </c>
      <c r="AH10" s="8">
        <f>IF(AG10=0, DATE(2020, 9, 9),INDEX(tbl_position[], AG10, MATCH("DATE", pos_header, 0)))</f>
        <v>44120</v>
      </c>
      <c r="AI10" s="126">
        <f ca="1">IF(AG10=0, 100000, INDEX(tbl_position[Total_Net_Asset], AG10))</f>
        <v>103720.199549</v>
      </c>
      <c r="AJ10" s="126">
        <f>IF(AG10=0, 100000, INDEX(tbl_position[Cash_Holding], AG10))</f>
        <v>24282.709999999992</v>
      </c>
      <c r="AK10" t="str">
        <f t="shared" si="13"/>
        <v>10/16</v>
      </c>
    </row>
    <row r="11" spans="2:37" x14ac:dyDescent="0.25">
      <c r="B11">
        <v>7</v>
      </c>
      <c r="C11" t="str">
        <f t="shared" ref="C11:C16" si="14">INDEX(Symbol,B11)</f>
        <v>ORCL</v>
      </c>
      <c r="D11">
        <f t="shared" ref="D11:D16" ca="1" si="15">INDEX(INDIRECT("tbl_"&amp;C11),COUNT(INDIRECT("tbl_"&amp;C11&amp;"[Date]")), MATCH("Adj close", Price_Header,0))</f>
        <v>59.62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J11">
        <v>7</v>
      </c>
      <c r="K11" s="8">
        <f>K10+7</f>
        <v>44125</v>
      </c>
      <c r="L11" s="8">
        <f>L10+7</f>
        <v>44131</v>
      </c>
      <c r="M11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1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1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1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1" s="14">
        <v>7</v>
      </c>
      <c r="T11" s="52">
        <f t="shared" ca="1" si="12"/>
        <v>44112</v>
      </c>
      <c r="U11" s="53">
        <f t="shared" ca="1" si="8"/>
        <v>5.29</v>
      </c>
      <c r="V11" s="21">
        <f t="shared" ca="1" si="1"/>
        <v>18157.7</v>
      </c>
      <c r="W11" s="53">
        <f t="shared" ca="1" si="2"/>
        <v>5.7429665729784469</v>
      </c>
      <c r="X11" s="54">
        <f t="shared" ca="1" si="3"/>
        <v>37.33333333333335</v>
      </c>
      <c r="Y11" s="53">
        <f t="shared" ca="1" si="4"/>
        <v>5.8750000000000009</v>
      </c>
      <c r="Z11" s="53">
        <f t="shared" ca="1" si="5"/>
        <v>6.5842249290598867</v>
      </c>
      <c r="AA11" s="53">
        <f t="shared" ca="1" si="6"/>
        <v>5.1657750709401151</v>
      </c>
      <c r="AB11" s="21" t="str">
        <f t="shared" ca="1" si="9"/>
        <v>10/08</v>
      </c>
      <c r="AC11" s="21">
        <v>70</v>
      </c>
      <c r="AD11" s="15">
        <v>30</v>
      </c>
      <c r="AG11" s="47">
        <f>6+Dashboard!V3</f>
        <v>28</v>
      </c>
      <c r="AH11" s="8">
        <f>IF(AG11=0, DATE(2020, 9, 9),INDEX(tbl_position[], AG11, MATCH("DATE", pos_header, 0)))</f>
        <v>44123</v>
      </c>
      <c r="AI11" s="126">
        <f ca="1">IF(AG11=0, 100000, INDEX(tbl_position[Total_Net_Asset], AG11))</f>
        <v>102875.58979899999</v>
      </c>
      <c r="AJ11" s="126">
        <f>IF(AG11=0, 100000, INDEX(tbl_position[Cash_Holding], AG11))</f>
        <v>26991.709999999992</v>
      </c>
      <c r="AK11" t="str">
        <f t="shared" si="13"/>
        <v>10/19</v>
      </c>
    </row>
    <row r="12" spans="2:37" x14ac:dyDescent="0.25">
      <c r="B12">
        <v>8</v>
      </c>
      <c r="C12" t="str">
        <f t="shared" si="14"/>
        <v>RIOT</v>
      </c>
      <c r="D12">
        <f t="shared" ca="1" si="15"/>
        <v>3.3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12"/>
        <v>44113</v>
      </c>
      <c r="U12" s="53">
        <f t="shared" ca="1" si="8"/>
        <v>5.15</v>
      </c>
      <c r="V12" s="21">
        <f t="shared" ca="1" si="1"/>
        <v>18778.2</v>
      </c>
      <c r="W12" s="53">
        <f t="shared" ca="1" si="2"/>
        <v>5.6836699156806016</v>
      </c>
      <c r="X12" s="54">
        <f t="shared" ca="1" si="3"/>
        <v>31.058020477815717</v>
      </c>
      <c r="Y12" s="53">
        <f t="shared" ca="1" si="4"/>
        <v>5.7957142857142854</v>
      </c>
      <c r="Z12" s="53">
        <f t="shared" ca="1" si="5"/>
        <v>6.5651582122248247</v>
      </c>
      <c r="AA12" s="53">
        <f t="shared" ca="1" si="6"/>
        <v>5.0262703592037461</v>
      </c>
      <c r="AB12" s="21" t="str">
        <f t="shared" ca="1" si="9"/>
        <v>10/09</v>
      </c>
      <c r="AC12" s="21">
        <v>70</v>
      </c>
      <c r="AD12" s="15">
        <v>30</v>
      </c>
      <c r="AG12" s="135">
        <v>12</v>
      </c>
      <c r="AH12" s="136">
        <f>IF(AG12=0, DATE(2020, 9, 9),INDEX(tbl_position[], AG12, MATCH("DATE", pos_header, 0)))</f>
        <v>44099</v>
      </c>
      <c r="AI12" s="137">
        <f>IF(AG12=0, 100000, INDEX(tbl_position[Total_Net_Asset], AG12))</f>
        <v>34319.399999999994</v>
      </c>
      <c r="AJ12" s="137">
        <f>IF(AG12=0, 100000, INDEX(tbl_position[Cash_Holding], AG12))</f>
        <v>43897.299999999996</v>
      </c>
      <c r="AK12" s="138" t="str">
        <f t="shared" si="13"/>
        <v>09/25</v>
      </c>
    </row>
    <row r="13" spans="2:37" x14ac:dyDescent="0.25">
      <c r="B13">
        <v>9</v>
      </c>
      <c r="C13" t="str">
        <f t="shared" si="14"/>
        <v>SPXS</v>
      </c>
      <c r="D13">
        <f t="shared" ca="1" si="15"/>
        <v>5.36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12"/>
        <v>44116</v>
      </c>
      <c r="U13" s="53">
        <f t="shared" ca="1" si="8"/>
        <v>4.9000000000000004</v>
      </c>
      <c r="V13" s="21">
        <f t="shared" ca="1" si="1"/>
        <v>31779.4</v>
      </c>
      <c r="W13" s="53">
        <f t="shared" ca="1" si="2"/>
        <v>5.6053029241125421</v>
      </c>
      <c r="X13" s="54">
        <f t="shared" ca="1" si="3"/>
        <v>30.536912751677875</v>
      </c>
      <c r="Y13" s="53">
        <f t="shared" ca="1" si="4"/>
        <v>5.7128571428571444</v>
      </c>
      <c r="Z13" s="53">
        <f t="shared" ca="1" si="5"/>
        <v>6.6004616483897367</v>
      </c>
      <c r="AA13" s="53">
        <f t="shared" ca="1" si="6"/>
        <v>4.8252526373245521</v>
      </c>
      <c r="AB13" s="21" t="str">
        <f t="shared" ca="1" si="9"/>
        <v>10/12</v>
      </c>
      <c r="AC13" s="21">
        <v>70</v>
      </c>
      <c r="AD13" s="15">
        <v>30</v>
      </c>
      <c r="AG13" s="135">
        <v>13</v>
      </c>
      <c r="AH13" s="136">
        <f>IF(AG13=0, DATE(2020, 9, 9),INDEX(tbl_position[], AG13, MATCH("DATE", pos_header, 0)))</f>
        <v>44102</v>
      </c>
      <c r="AI13" s="137">
        <f>IF(AG13=0, 100000, INDEX(tbl_position[Total_Net_Asset], AG13))</f>
        <v>34382.19999999999</v>
      </c>
      <c r="AJ13" s="137">
        <f>IF(AG13=0, 100000, INDEX(tbl_position[Cash_Holding], AG13))</f>
        <v>49591.099999999991</v>
      </c>
      <c r="AK13" s="138" t="str">
        <f t="shared" si="13"/>
        <v>09/28</v>
      </c>
    </row>
    <row r="14" spans="2:37" x14ac:dyDescent="0.25">
      <c r="B14">
        <v>10</v>
      </c>
      <c r="C14" t="str">
        <f t="shared" si="14"/>
        <v>WMT</v>
      </c>
      <c r="D14">
        <f t="shared" ca="1" si="15"/>
        <v>143.29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12"/>
        <v>44117</v>
      </c>
      <c r="U14" s="53">
        <f t="shared" ca="1" si="8"/>
        <v>5.01</v>
      </c>
      <c r="V14" s="21">
        <f t="shared" ca="1" si="1"/>
        <v>29948.400000000001</v>
      </c>
      <c r="W14" s="53">
        <f t="shared" ca="1" si="2"/>
        <v>5.5457726317012881</v>
      </c>
      <c r="X14" s="54">
        <f t="shared" ca="1" si="3"/>
        <v>22.471910112359538</v>
      </c>
      <c r="Y14" s="53">
        <f t="shared" ca="1" si="4"/>
        <v>5.607857142857144</v>
      </c>
      <c r="Z14" s="53">
        <f t="shared" ca="1" si="5"/>
        <v>6.4512268882669064</v>
      </c>
      <c r="AA14" s="53">
        <f t="shared" ca="1" si="6"/>
        <v>4.7644873974473816</v>
      </c>
      <c r="AB14" s="21" t="str">
        <f t="shared" ca="1" si="9"/>
        <v>10/13</v>
      </c>
      <c r="AC14" s="21">
        <v>70</v>
      </c>
      <c r="AD14" s="15">
        <v>30</v>
      </c>
      <c r="AG14" s="135">
        <v>14</v>
      </c>
      <c r="AH14" s="136">
        <f>IF(AG14=0, DATE(2020, 9, 9),INDEX(tbl_position[], AG14, MATCH("DATE", pos_header, 0)))</f>
        <v>44103</v>
      </c>
      <c r="AI14" s="137">
        <f>IF(AG14=0, 100000, INDEX(tbl_position[Total_Net_Asset], AG14))</f>
        <v>34382.19999999999</v>
      </c>
      <c r="AJ14" s="137">
        <f>IF(AG14=0, 100000, INDEX(tbl_position[Cash_Holding], AG14))</f>
        <v>49591.099999999991</v>
      </c>
      <c r="AK14" s="138" t="str">
        <f t="shared" si="13"/>
        <v>09/29</v>
      </c>
    </row>
    <row r="15" spans="2:37" x14ac:dyDescent="0.25">
      <c r="B15">
        <v>11</v>
      </c>
      <c r="C15" t="str">
        <f t="shared" si="14"/>
        <v>AMD</v>
      </c>
      <c r="D15">
        <f t="shared" ca="1" si="15"/>
        <v>82</v>
      </c>
      <c r="E15">
        <f>INDEX(tbl_position[], COUNT(tbl_position[Date]), MATCH("Shares_"&amp;C15, pos_header,0))</f>
        <v>150</v>
      </c>
      <c r="F15" s="61">
        <f ca="1">tbl_holdings[[#This Row],[Current Price]]*tbl_holdings[[#This Row],['# Holdings]]</f>
        <v>12300</v>
      </c>
      <c r="S15" s="14">
        <v>11</v>
      </c>
      <c r="T15" s="52">
        <f t="shared" ca="1" si="12"/>
        <v>44118</v>
      </c>
      <c r="U15" s="53">
        <f t="shared" ca="1" si="8"/>
        <v>5.09</v>
      </c>
      <c r="V15" s="21">
        <f t="shared" ca="1" si="1"/>
        <v>32484.2</v>
      </c>
      <c r="W15" s="53">
        <f t="shared" ca="1" si="2"/>
        <v>5.5001953685311591</v>
      </c>
      <c r="X15" s="54">
        <f t="shared" ca="1" si="3"/>
        <v>25.373134328358205</v>
      </c>
      <c r="Y15" s="53">
        <f t="shared" ca="1" si="4"/>
        <v>5.5135714285714288</v>
      </c>
      <c r="Z15" s="53">
        <f t="shared" ca="1" si="5"/>
        <v>6.2602402210854091</v>
      </c>
      <c r="AA15" s="53">
        <f t="shared" ca="1" si="6"/>
        <v>4.7669026360574485</v>
      </c>
      <c r="AB15" s="21" t="str">
        <f t="shared" ca="1" si="9"/>
        <v>10/14</v>
      </c>
      <c r="AC15" s="21">
        <v>70</v>
      </c>
      <c r="AD15" s="15">
        <v>30</v>
      </c>
      <c r="AG15" s="135">
        <v>15</v>
      </c>
      <c r="AH15" s="136">
        <f>IF(AG15=0, DATE(2020, 9, 9),INDEX(tbl_position[], AG15, MATCH("DATE", pos_header, 0)))</f>
        <v>44104</v>
      </c>
      <c r="AI15" s="137">
        <f>IF(AG15=0, 100000, INDEX(tbl_position[Total_Net_Asset], AG15))</f>
        <v>34382.19999999999</v>
      </c>
      <c r="AJ15" s="137">
        <f>IF(AG15=0, 100000, INDEX(tbl_position[Cash_Holding], AG15))</f>
        <v>49591.099999999991</v>
      </c>
      <c r="AK15" s="138" t="str">
        <f t="shared" si="13"/>
        <v>09/30</v>
      </c>
    </row>
    <row r="16" spans="2:37" x14ac:dyDescent="0.25">
      <c r="B16">
        <v>12</v>
      </c>
      <c r="C16" t="str">
        <f t="shared" si="14"/>
        <v>CVX</v>
      </c>
      <c r="D16">
        <f t="shared" ca="1" si="15"/>
        <v>71.279999000000004</v>
      </c>
      <c r="E16">
        <f>INDEX(tbl_position[], COUNT(tbl_position[Date]), MATCH("Shares_"&amp;C16, pos_header,0))</f>
        <v>101</v>
      </c>
      <c r="F16" s="61">
        <f ca="1">tbl_holdings[[#This Row],[Current Price]]*tbl_holdings[[#This Row],['# Holdings]]</f>
        <v>7199.2798990000001</v>
      </c>
      <c r="S16" s="14">
        <v>12</v>
      </c>
      <c r="T16" s="52">
        <f t="shared" ca="1" si="12"/>
        <v>44119</v>
      </c>
      <c r="U16" s="53">
        <f t="shared" ca="1" si="8"/>
        <v>5.12</v>
      </c>
      <c r="V16" s="21">
        <f t="shared" ca="1" si="1"/>
        <v>32052.1</v>
      </c>
      <c r="W16" s="53">
        <f t="shared" ca="1" si="2"/>
        <v>5.4621758316780431</v>
      </c>
      <c r="X16" s="54">
        <f t="shared" ca="1" si="3"/>
        <v>29.583333333333343</v>
      </c>
      <c r="Y16" s="53">
        <f t="shared" ca="1" si="4"/>
        <v>5.4435714285714285</v>
      </c>
      <c r="Z16" s="53">
        <f t="shared" ca="1" si="5"/>
        <v>6.1351296309324059</v>
      </c>
      <c r="AA16" s="53">
        <f t="shared" ca="1" si="6"/>
        <v>4.7520132262104511</v>
      </c>
      <c r="AB16" s="21" t="str">
        <f t="shared" ca="1" si="9"/>
        <v>10/15</v>
      </c>
      <c r="AC16" s="21">
        <v>70</v>
      </c>
      <c r="AD16" s="15">
        <v>30</v>
      </c>
      <c r="AG16" s="135">
        <v>16</v>
      </c>
      <c r="AH16" s="136">
        <f>IF(AG16=0, DATE(2020, 9, 9),INDEX(tbl_position[], AG16, MATCH("DATE", pos_header, 0)))</f>
        <v>44105</v>
      </c>
      <c r="AI16" s="137">
        <f>IF(AG16=0, 100000, INDEX(tbl_position[Total_Net_Asset], AG16))</f>
        <v>34382.19999999999</v>
      </c>
      <c r="AJ16" s="137">
        <f>IF(AG16=0, 100000, INDEX(tbl_position[Cash_Holding], AG16))</f>
        <v>49591.099999999991</v>
      </c>
      <c r="AK16" s="138" t="str">
        <f t="shared" si="13"/>
        <v>10/01</v>
      </c>
    </row>
    <row r="17" spans="2:37" x14ac:dyDescent="0.25">
      <c r="B17">
        <v>13</v>
      </c>
      <c r="C17" t="str">
        <f>INDEX(Symbol,B17)</f>
        <v>QCOM</v>
      </c>
      <c r="D17">
        <f ca="1">INDEX(INDIRECT("tbl_"&amp;C17),COUNT(INDIRECT("tbl_"&amp;C17&amp;"[Date]")), MATCH("Adj close", Price_Header,0))</f>
        <v>128.41999799999999</v>
      </c>
      <c r="E17">
        <f>INDEX(tbl_position[], COUNT(tbl_position[Date]), MATCH("Shares_"&amp;C17, pos_header,0))</f>
        <v>50</v>
      </c>
      <c r="F17" s="61">
        <f ca="1">tbl_holdings[[#This Row],[Current Price]]*tbl_holdings[[#This Row],['# Holdings]]</f>
        <v>6420.9998999999998</v>
      </c>
      <c r="S17" s="14">
        <v>13</v>
      </c>
      <c r="T17" s="52">
        <f t="shared" ca="1" si="12"/>
        <v>44120</v>
      </c>
      <c r="U17" s="53">
        <f t="shared" ca="1" si="8"/>
        <v>5.13</v>
      </c>
      <c r="V17" s="21">
        <f t="shared" ca="1" si="1"/>
        <v>23461.3</v>
      </c>
      <c r="W17" s="53">
        <f t="shared" ca="1" si="2"/>
        <v>5.4289582485102388</v>
      </c>
      <c r="X17" s="54">
        <f t="shared" ca="1" si="3"/>
        <v>33.962264150943398</v>
      </c>
      <c r="Y17" s="53">
        <f t="shared" ca="1" si="4"/>
        <v>5.3949999999999987</v>
      </c>
      <c r="Z17" s="53">
        <f t="shared" ca="1" si="5"/>
        <v>6.071040508572354</v>
      </c>
      <c r="AA17" s="53">
        <f t="shared" ca="1" si="6"/>
        <v>4.7189594914276434</v>
      </c>
      <c r="AB17" s="21" t="str">
        <f t="shared" ca="1" si="9"/>
        <v>10/16</v>
      </c>
      <c r="AC17" s="21">
        <v>70</v>
      </c>
      <c r="AD17" s="15">
        <v>30</v>
      </c>
      <c r="AG17" s="135">
        <v>17</v>
      </c>
      <c r="AH17" s="136">
        <f>IF(AG17=0, DATE(2020, 9, 9),INDEX(tbl_position[], AG17, MATCH("DATE", pos_header, 0)))</f>
        <v>44106</v>
      </c>
      <c r="AI17" s="137">
        <f>IF(AG17=0, 100000, INDEX(tbl_position[Total_Net_Asset], AG17))</f>
        <v>34382.19999999999</v>
      </c>
      <c r="AJ17" s="137">
        <f>IF(AG17=0, 100000, INDEX(tbl_position[Cash_Holding], AG17))</f>
        <v>49591.099999999991</v>
      </c>
      <c r="AK17" s="138" t="str">
        <f t="shared" si="13"/>
        <v>10/02</v>
      </c>
    </row>
    <row r="18" spans="2:37" ht="15.75" thickBot="1" x14ac:dyDescent="0.3">
      <c r="B18">
        <v>14</v>
      </c>
      <c r="C18" t="str">
        <f>INDEX(Symbol,B18)</f>
        <v>F</v>
      </c>
      <c r="D18">
        <f ca="1">INDEX(INDIRECT("tbl_"&amp;C18),COUNT(INDIRECT("tbl_"&amp;C18&amp;"[Date]")), MATCH("Adj close", Price_Header,0))</f>
        <v>7.59</v>
      </c>
      <c r="E18">
        <f>INDEX(tbl_position[], COUNT(tbl_position[Date]), MATCH("Shares_"&amp;C18, pos_header,0))</f>
        <v>600</v>
      </c>
      <c r="F18" s="61">
        <f ca="1">tbl_holdings[[#This Row],[Current Price]]*tbl_holdings[[#This Row],['# Holdings]]</f>
        <v>4554</v>
      </c>
      <c r="S18" s="16">
        <v>14</v>
      </c>
      <c r="T18" s="55">
        <f t="shared" ca="1" si="12"/>
        <v>44123</v>
      </c>
      <c r="U18" s="56">
        <f t="shared" ca="1" si="8"/>
        <v>5.36</v>
      </c>
      <c r="V18" s="22">
        <f t="shared" ca="1" si="1"/>
        <v>28330.9</v>
      </c>
      <c r="W18" s="56">
        <f t="shared" ca="1" si="2"/>
        <v>5.4220624236592148</v>
      </c>
      <c r="X18" s="57">
        <f t="shared" ca="1" si="3"/>
        <v>37.777777777777779</v>
      </c>
      <c r="Y18" s="56">
        <f t="shared" ca="1" si="4"/>
        <v>5.355714285714285</v>
      </c>
      <c r="Z18" s="56">
        <f t="shared" ca="1" si="5"/>
        <v>5.9632927978027626</v>
      </c>
      <c r="AA18" s="56">
        <f t="shared" ca="1" si="6"/>
        <v>4.7481357736258074</v>
      </c>
      <c r="AB18" s="22" t="str">
        <f t="shared" ca="1" si="9"/>
        <v>10/19</v>
      </c>
      <c r="AC18" s="22">
        <v>70</v>
      </c>
      <c r="AD18" s="17">
        <v>30</v>
      </c>
      <c r="AG18" s="135">
        <v>18</v>
      </c>
      <c r="AH18" s="136">
        <f>IF(AG18=0, DATE(2020, 9, 9),INDEX(tbl_position[], AG18, MATCH("DATE", pos_header, 0)))</f>
        <v>44109</v>
      </c>
      <c r="AI18" s="137">
        <f>IF(AG18=0, 100000, INDEX(tbl_position[Total_Net_Asset], AG18))</f>
        <v>34382.19999999999</v>
      </c>
      <c r="AJ18" s="137">
        <f>IF(AG18=0, 100000, INDEX(tbl_position[Cash_Holding], AG18))</f>
        <v>49591.099999999991</v>
      </c>
      <c r="AK18" s="138" t="str">
        <f t="shared" si="13"/>
        <v>10/05</v>
      </c>
    </row>
    <row r="19" spans="2:37" x14ac:dyDescent="0.25">
      <c r="B19" t="s">
        <v>162</v>
      </c>
      <c r="F19">
        <f ca="1">SUBTOTAL(109,tbl_holdings[Total])</f>
        <v>71341.779798999996</v>
      </c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135">
        <v>19</v>
      </c>
      <c r="AH19" s="136">
        <f>IF(AG19=0, DATE(2020, 9, 9),INDEX(tbl_position[], AG19, MATCH("DATE", pos_header, 0)))</f>
        <v>44110</v>
      </c>
      <c r="AI19" s="137">
        <f>IF(AG19=0, 100000, INDEX(tbl_position[Total_Net_Asset], AG19))</f>
        <v>34382.19999999999</v>
      </c>
      <c r="AJ19" s="137">
        <f>IF(AG19=0, 100000, INDEX(tbl_position[Cash_Holding], AG19))</f>
        <v>49591.099999999991</v>
      </c>
      <c r="AK19" s="138" t="str">
        <f t="shared" si="13"/>
        <v>10/06</v>
      </c>
    </row>
    <row r="20" spans="2:37" x14ac:dyDescent="0.2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135">
        <v>20</v>
      </c>
      <c r="AH20" s="136">
        <f>IF(AG20=0, DATE(2020, 9, 9),INDEX(tbl_position[], AG20, MATCH("DATE", pos_header, 0)))</f>
        <v>44111</v>
      </c>
      <c r="AI20" s="137">
        <f ca="1">IF(AG20=0, 100000, INDEX(tbl_position[Total_Net_Asset], AG20))</f>
        <v>103089.7003</v>
      </c>
      <c r="AJ20" s="137">
        <f>IF(AG20=0, 100000, INDEX(tbl_position[Cash_Holding], AG20))</f>
        <v>36635.599999999991</v>
      </c>
      <c r="AK20" s="138" t="str">
        <f t="shared" si="13"/>
        <v>10/07</v>
      </c>
    </row>
    <row r="21" spans="2:37" x14ac:dyDescent="0.25">
      <c r="AG21" s="135">
        <v>21</v>
      </c>
      <c r="AH21" s="136">
        <f>IF(AG21=0, DATE(2020, 9, 9),INDEX(tbl_position[], AG21, MATCH("DATE", pos_header, 0)))</f>
        <v>44112</v>
      </c>
      <c r="AI21" s="137">
        <f ca="1">IF(AG21=0, 100000, INDEX(tbl_position[Total_Net_Asset], AG21))</f>
        <v>103852.7003</v>
      </c>
      <c r="AJ21" s="137">
        <f>IF(AG21=0, 100000, INDEX(tbl_position[Cash_Holding], AG21))</f>
        <v>36635.599999999991</v>
      </c>
      <c r="AK21" s="138" t="str">
        <f t="shared" si="13"/>
        <v>10/08</v>
      </c>
    </row>
    <row r="22" spans="2:37" x14ac:dyDescent="0.25">
      <c r="AG22" s="135">
        <v>22</v>
      </c>
      <c r="AH22" s="136">
        <f>IF(AG22=0, DATE(2020, 9, 9),INDEX(tbl_position[], AG22, MATCH("DATE", pos_header, 0)))</f>
        <v>44113</v>
      </c>
      <c r="AI22" s="137">
        <f ca="1">IF(AG22=0, 100000, INDEX(tbl_position[Total_Net_Asset], AG22))</f>
        <v>103024.67970000001</v>
      </c>
      <c r="AJ22" s="137">
        <f>IF(AG22=0, 100000, INDEX(tbl_position[Cash_Holding], AG22))</f>
        <v>36635.579999999994</v>
      </c>
      <c r="AK22" s="138" t="str">
        <f t="shared" si="13"/>
        <v>10/09</v>
      </c>
    </row>
    <row r="23" spans="2:37" x14ac:dyDescent="0.25">
      <c r="AG23" s="135">
        <v>23</v>
      </c>
      <c r="AH23" s="136">
        <f>IF(AG23=0, DATE(2020, 9, 9),INDEX(tbl_position[], AG23, MATCH("DATE", pos_header, 0)))</f>
        <v>44116</v>
      </c>
      <c r="AI23" s="137">
        <f ca="1">IF(AG23=0, 100000, INDEX(tbl_position[Total_Net_Asset], AG23))</f>
        <v>103625.320352</v>
      </c>
      <c r="AJ23" s="137">
        <f>IF(AG23=0, 100000, INDEX(tbl_position[Cash_Holding], AG23))</f>
        <v>35279.709999999992</v>
      </c>
      <c r="AK23" s="138" t="str">
        <f t="shared" ref="AK23:AK28" si="16">TEXT(AH23, "mm/dd")</f>
        <v>10/12</v>
      </c>
    </row>
    <row r="24" spans="2:37" x14ac:dyDescent="0.25">
      <c r="AG24" s="135">
        <v>24</v>
      </c>
      <c r="AH24" s="136">
        <f>IF(AG24=0, DATE(2020, 9, 9),INDEX(tbl_position[], AG24, MATCH("DATE", pos_header, 0)))</f>
        <v>44117</v>
      </c>
      <c r="AI24" s="137">
        <f ca="1">IF(AG24=0, 100000, INDEX(tbl_position[Total_Net_Asset], AG24))</f>
        <v>103643.21000199999</v>
      </c>
      <c r="AJ24" s="137">
        <f>IF(AG24=0, 100000, INDEX(tbl_position[Cash_Holding], AG24))</f>
        <v>24282.709999999992</v>
      </c>
      <c r="AK24" s="138" t="str">
        <f t="shared" si="16"/>
        <v>10/13</v>
      </c>
    </row>
    <row r="25" spans="2:37" x14ac:dyDescent="0.25">
      <c r="AG25" s="135">
        <v>25</v>
      </c>
      <c r="AH25" s="136">
        <f>IF(AG25=0, DATE(2020, 9, 9),INDEX(tbl_position[], AG25, MATCH("DATE", pos_header, 0)))</f>
        <v>44118</v>
      </c>
      <c r="AI25" s="137">
        <f ca="1">IF(AG25=0, 100000, INDEX(tbl_position[Total_Net_Asset], AG25))</f>
        <v>103476.75979699999</v>
      </c>
      <c r="AJ25" s="137">
        <f>IF(AG25=0, 100000, INDEX(tbl_position[Cash_Holding], AG25))</f>
        <v>24282.709999999992</v>
      </c>
      <c r="AK25" s="138" t="str">
        <f t="shared" si="16"/>
        <v>10/14</v>
      </c>
    </row>
    <row r="26" spans="2:37" x14ac:dyDescent="0.25">
      <c r="AG26" s="135">
        <v>26</v>
      </c>
      <c r="AH26" s="136">
        <f>IF(AG26=0, DATE(2020, 9, 9),INDEX(tbl_position[], AG26, MATCH("DATE", pos_header, 0)))</f>
        <v>44119</v>
      </c>
      <c r="AI26" s="137">
        <f ca="1">IF(AG26=0, 100000, INDEX(tbl_position[Total_Net_Asset], AG26))</f>
        <v>103476.319852</v>
      </c>
      <c r="AJ26" s="137">
        <f>IF(AG26=0, 100000, INDEX(tbl_position[Cash_Holding], AG26))</f>
        <v>24282.709999999992</v>
      </c>
      <c r="AK26" s="138" t="str">
        <f t="shared" si="16"/>
        <v>10/15</v>
      </c>
    </row>
    <row r="27" spans="2:37" x14ac:dyDescent="0.25">
      <c r="AG27" s="135">
        <v>27</v>
      </c>
      <c r="AH27" s="136">
        <f>IF(AG27=0, DATE(2020, 9, 9),INDEX(tbl_position[], AG27, MATCH("DATE", pos_header, 0)))</f>
        <v>44120</v>
      </c>
      <c r="AI27" s="137">
        <f ca="1">IF(AG27=0, 100000, INDEX(tbl_position[Total_Net_Asset], AG27))</f>
        <v>103720.199549</v>
      </c>
      <c r="AJ27" s="137">
        <f>IF(AG27=0, 100000, INDEX(tbl_position[Cash_Holding], AG27))</f>
        <v>24282.709999999992</v>
      </c>
      <c r="AK27" s="138" t="str">
        <f t="shared" si="16"/>
        <v>10/16</v>
      </c>
    </row>
    <row r="28" spans="2:37" x14ac:dyDescent="0.25">
      <c r="AG28" s="135">
        <v>28</v>
      </c>
      <c r="AH28" s="136">
        <f>IF(AG28=0, DATE(2020, 9, 9),INDEX(tbl_position[], AG28, MATCH("DATE", pos_header, 0)))</f>
        <v>44123</v>
      </c>
      <c r="AI28" s="137">
        <f ca="1">IF(AG28=0, 100000, INDEX(tbl_position[Total_Net_Asset], AG28))</f>
        <v>102875.58979899999</v>
      </c>
      <c r="AJ28" s="137">
        <f>IF(AG28=0, 100000, INDEX(tbl_position[Cash_Holding], AG28))</f>
        <v>26991.709999999992</v>
      </c>
      <c r="AK28" s="138" t="str">
        <f t="shared" si="16"/>
        <v>10/19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"/>
  <sheetViews>
    <sheetView workbookViewId="0">
      <selection activeCell="M28" sqref="M28"/>
    </sheetView>
  </sheetViews>
  <sheetFormatPr defaultRowHeight="15" x14ac:dyDescent="0.25"/>
  <sheetData>
    <row r="3" spans="2:17" ht="15.75" x14ac:dyDescent="0.2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75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workbookViewId="0">
      <selection activeCell="K8" sqref="K8"/>
    </sheetView>
  </sheetViews>
  <sheetFormatPr defaultRowHeight="15" x14ac:dyDescent="0.25"/>
  <sheetData>
    <row r="2" spans="1:13" x14ac:dyDescent="0.25">
      <c r="A2" s="1" t="s">
        <v>305</v>
      </c>
    </row>
    <row r="4" spans="1:13" x14ac:dyDescent="0.25">
      <c r="A4" t="s">
        <v>306</v>
      </c>
      <c r="J4" s="130"/>
      <c r="K4" s="132"/>
      <c r="L4" s="133"/>
      <c r="M4" s="134"/>
    </row>
    <row r="5" spans="1:13" x14ac:dyDescent="0.25">
      <c r="A5" t="s">
        <v>307</v>
      </c>
      <c r="F5" s="130"/>
      <c r="G5" s="132"/>
      <c r="H5" s="133"/>
      <c r="I5" s="134"/>
    </row>
    <row r="6" spans="1:13" x14ac:dyDescent="0.25">
      <c r="A6" t="s">
        <v>308</v>
      </c>
      <c r="I6" s="130"/>
      <c r="J6" s="132"/>
      <c r="K6" s="133"/>
      <c r="L6" s="134"/>
    </row>
    <row r="7" spans="1:13" x14ac:dyDescent="0.25">
      <c r="A7" t="s">
        <v>309</v>
      </c>
    </row>
    <row r="8" spans="1:13" x14ac:dyDescent="0.25">
      <c r="A8" t="s">
        <v>310</v>
      </c>
      <c r="H8" s="130"/>
      <c r="I8" s="132"/>
      <c r="J8" s="133"/>
      <c r="K8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A46" workbookViewId="0">
      <selection activeCell="B69" sqref="B69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2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2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2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2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2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2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2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2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2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2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2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2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25">
      <c r="A58" t="s">
        <v>217</v>
      </c>
      <c r="B58" t="s">
        <v>311</v>
      </c>
      <c r="C58" t="s">
        <v>311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25">
      <c r="A59" t="s">
        <v>312</v>
      </c>
      <c r="B59" t="s">
        <v>313</v>
      </c>
      <c r="C59" t="s">
        <v>313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25">
      <c r="A60" t="s">
        <v>217</v>
      </c>
      <c r="B60" t="s">
        <v>314</v>
      </c>
      <c r="C60" t="s">
        <v>314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25">
      <c r="A61" t="s">
        <v>217</v>
      </c>
      <c r="B61" t="s">
        <v>315</v>
      </c>
      <c r="C61" t="s">
        <v>315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25">
      <c r="A62" t="s">
        <v>217</v>
      </c>
      <c r="B62" t="s">
        <v>316</v>
      </c>
      <c r="C62" t="s">
        <v>316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25">
      <c r="A63" t="s">
        <v>217</v>
      </c>
      <c r="B63" t="s">
        <v>316</v>
      </c>
      <c r="C63" t="s">
        <v>316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25">
      <c r="A64" t="s">
        <v>16</v>
      </c>
      <c r="B64" t="s">
        <v>324</v>
      </c>
      <c r="C64" t="s">
        <v>324</v>
      </c>
      <c r="D64" t="s">
        <v>19</v>
      </c>
      <c r="F64" s="47">
        <v>1</v>
      </c>
      <c r="G64" s="48">
        <v>134.68</v>
      </c>
      <c r="H64" s="61">
        <f>VALUE(LEFT(tbl_transaction[[#This Row],[Order Date]],FIND("/",tbl_transaction[[#This Row],[Order Date]])-1))</f>
        <v>10</v>
      </c>
      <c r="I6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4" s="61" t="str">
        <f>MID(tbl_transaction[[#This Row],[Order Date]], FIND("/",tbl_transaction[[#This Row],[Order Date]], FIND("/", tbl_transaction[[#This Row],[Order Date]])+1)+1, 2)</f>
        <v>20</v>
      </c>
      <c r="K64" s="61">
        <f>VALUE(LEFT(tbl_transaction[[#This Row],[Transaction Date]],FIND("/",tbl_transaction[[#This Row],[Transaction Date]])-1))</f>
        <v>10</v>
      </c>
      <c r="L6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4" s="61" t="str">
        <f>MID(tbl_transaction[[#This Row],[Transaction Date]], FIND("/",tbl_transaction[[#This Row],[Transaction Date]], FIND("/", tbl_transaction[[#This Row],[Transaction Date]])+1)+1, 2)</f>
        <v>20</v>
      </c>
      <c r="N64" s="9">
        <f>DATE(tbl_transaction[[#This Row],[Year_order]]+2000, tbl_transaction[[#This Row],[Month_order]], tbl_transaction[[#This Row],[Date_order]])</f>
        <v>44116</v>
      </c>
      <c r="O64" s="9">
        <f>DATE(tbl_transaction[[#This Row],[Year_Transact]]+2000,tbl_transaction[[#This Row],[Month_Transact]],tbl_transaction[[#This Row],[Date_Transact]])</f>
        <v>44116</v>
      </c>
      <c r="P6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-134.68</v>
      </c>
      <c r="Q6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134.68</v>
      </c>
      <c r="R6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5" spans="1:19" x14ac:dyDescent="0.25">
      <c r="A65" t="s">
        <v>321</v>
      </c>
      <c r="B65" t="s">
        <v>325</v>
      </c>
      <c r="C65" t="s">
        <v>325</v>
      </c>
      <c r="D65" t="s">
        <v>19</v>
      </c>
      <c r="F65" s="47">
        <v>100</v>
      </c>
      <c r="G65" s="48">
        <v>74.650000000000006</v>
      </c>
      <c r="H65" s="61">
        <f>VALUE(LEFT(tbl_transaction[[#This Row],[Order Date]],FIND("/",tbl_transaction[[#This Row],[Order Date]])-1))</f>
        <v>10</v>
      </c>
      <c r="I6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5" s="61" t="str">
        <f>MID(tbl_transaction[[#This Row],[Order Date]], FIND("/",tbl_transaction[[#This Row],[Order Date]], FIND("/", tbl_transaction[[#This Row],[Order Date]])+1)+1, 2)</f>
        <v>20</v>
      </c>
      <c r="K65" s="61">
        <f>VALUE(LEFT(tbl_transaction[[#This Row],[Transaction Date]],FIND("/",tbl_transaction[[#This Row],[Transaction Date]])-1))</f>
        <v>10</v>
      </c>
      <c r="L6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5" s="61" t="str">
        <f>MID(tbl_transaction[[#This Row],[Transaction Date]], FIND("/",tbl_transaction[[#This Row],[Transaction Date]], FIND("/", tbl_transaction[[#This Row],[Transaction Date]])+1)+1, 2)</f>
        <v>20</v>
      </c>
      <c r="N65" s="9">
        <f>DATE(tbl_transaction[[#This Row],[Year_order]]+2000, tbl_transaction[[#This Row],[Month_order]], tbl_transaction[[#This Row],[Date_order]])</f>
        <v>44116</v>
      </c>
      <c r="O65" s="9">
        <f>DATE(tbl_transaction[[#This Row],[Year_Transact]]+2000,tbl_transaction[[#This Row],[Month_Transact]],tbl_transaction[[#This Row],[Date_Transact]])</f>
        <v>44116</v>
      </c>
      <c r="P6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-7465.0000000000009</v>
      </c>
      <c r="Q6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7465.0000000000009</v>
      </c>
      <c r="R6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6" spans="1:19" x14ac:dyDescent="0.25">
      <c r="A66" t="s">
        <v>321</v>
      </c>
      <c r="B66" t="s">
        <v>326</v>
      </c>
      <c r="C66" t="s">
        <v>325</v>
      </c>
      <c r="D66" t="s">
        <v>19</v>
      </c>
      <c r="F66" s="47">
        <v>1</v>
      </c>
      <c r="G66" s="48">
        <v>74.58</v>
      </c>
      <c r="H66" s="61">
        <f>VALUE(LEFT(tbl_transaction[[#This Row],[Order Date]],FIND("/",tbl_transaction[[#This Row],[Order Date]])-1))</f>
        <v>10</v>
      </c>
      <c r="I6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6" s="61" t="str">
        <f>MID(tbl_transaction[[#This Row],[Order Date]], FIND("/",tbl_transaction[[#This Row],[Order Date]], FIND("/", tbl_transaction[[#This Row],[Order Date]])+1)+1, 2)</f>
        <v>20</v>
      </c>
      <c r="K66" s="61">
        <f>VALUE(LEFT(tbl_transaction[[#This Row],[Transaction Date]],FIND("/",tbl_transaction[[#This Row],[Transaction Date]])-1))</f>
        <v>10</v>
      </c>
      <c r="L6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6" s="61" t="str">
        <f>MID(tbl_transaction[[#This Row],[Transaction Date]], FIND("/",tbl_transaction[[#This Row],[Transaction Date]], FIND("/", tbl_transaction[[#This Row],[Transaction Date]])+1)+1, 2)</f>
        <v>20</v>
      </c>
      <c r="N66" s="9">
        <f>DATE(tbl_transaction[[#This Row],[Year_order]]+2000, tbl_transaction[[#This Row],[Month_order]], tbl_transaction[[#This Row],[Date_order]])</f>
        <v>44116</v>
      </c>
      <c r="O66" s="9">
        <f>DATE(tbl_transaction[[#This Row],[Year_Transact]]+2000,tbl_transaction[[#This Row],[Month_Transact]],tbl_transaction[[#This Row],[Date_Transact]])</f>
        <v>44116</v>
      </c>
      <c r="P6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-74.58</v>
      </c>
      <c r="Q6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74.58</v>
      </c>
      <c r="R6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7" spans="1:19" x14ac:dyDescent="0.25">
      <c r="A67" t="s">
        <v>16</v>
      </c>
      <c r="B67" t="s">
        <v>327</v>
      </c>
      <c r="C67" t="s">
        <v>327</v>
      </c>
      <c r="D67" t="s">
        <v>26</v>
      </c>
      <c r="F67" s="47">
        <v>51</v>
      </c>
      <c r="G67" s="48">
        <v>123.89</v>
      </c>
      <c r="H67" s="61">
        <f>VALUE(LEFT(tbl_transaction[[#This Row],[Order Date]],FIND("/",tbl_transaction[[#This Row],[Order Date]])-1))</f>
        <v>10</v>
      </c>
      <c r="I6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7" s="61" t="str">
        <f>MID(tbl_transaction[[#This Row],[Order Date]], FIND("/",tbl_transaction[[#This Row],[Order Date]], FIND("/", tbl_transaction[[#This Row],[Order Date]])+1)+1, 2)</f>
        <v>20</v>
      </c>
      <c r="K67" s="61">
        <f>VALUE(LEFT(tbl_transaction[[#This Row],[Transaction Date]],FIND("/",tbl_transaction[[#This Row],[Transaction Date]])-1))</f>
        <v>10</v>
      </c>
      <c r="L6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7" s="61" t="str">
        <f>MID(tbl_transaction[[#This Row],[Transaction Date]], FIND("/",tbl_transaction[[#This Row],[Transaction Date]], FIND("/", tbl_transaction[[#This Row],[Transaction Date]])+1)+1, 2)</f>
        <v>20</v>
      </c>
      <c r="N67" s="9">
        <f>DATE(tbl_transaction[[#This Row],[Year_order]]+2000, tbl_transaction[[#This Row],[Month_order]], tbl_transaction[[#This Row],[Date_order]])</f>
        <v>44116</v>
      </c>
      <c r="O67" s="9">
        <f>DATE(tbl_transaction[[#This Row],[Year_Transact]]+2000,tbl_transaction[[#This Row],[Month_Transact]],tbl_transaction[[#This Row],[Date_Transact]])</f>
        <v>44116</v>
      </c>
      <c r="P6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6318.39</v>
      </c>
      <c r="Q6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-6318.39</v>
      </c>
      <c r="R6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-51</v>
      </c>
    </row>
    <row r="68" spans="1:19" x14ac:dyDescent="0.25">
      <c r="A68" t="s">
        <v>328</v>
      </c>
      <c r="B68" t="s">
        <v>332</v>
      </c>
      <c r="C68" t="s">
        <v>332</v>
      </c>
      <c r="D68" t="s">
        <v>19</v>
      </c>
      <c r="F68" s="47">
        <v>50</v>
      </c>
      <c r="G68" s="48">
        <v>127.42</v>
      </c>
      <c r="H68" s="61">
        <f>VALUE(LEFT(tbl_transaction[[#This Row],[Order Date]],FIND("/",tbl_transaction[[#This Row],[Order Date]])-1))</f>
        <v>10</v>
      </c>
      <c r="I6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8" s="61" t="str">
        <f>MID(tbl_transaction[[#This Row],[Order Date]], FIND("/",tbl_transaction[[#This Row],[Order Date]], FIND("/", tbl_transaction[[#This Row],[Order Date]])+1)+1, 2)</f>
        <v>20</v>
      </c>
      <c r="K68" s="61">
        <f>VALUE(LEFT(tbl_transaction[[#This Row],[Transaction Date]],FIND("/",tbl_transaction[[#This Row],[Transaction Date]])-1))</f>
        <v>10</v>
      </c>
      <c r="L6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8" s="61" t="str">
        <f>MID(tbl_transaction[[#This Row],[Transaction Date]], FIND("/",tbl_transaction[[#This Row],[Transaction Date]], FIND("/", tbl_transaction[[#This Row],[Transaction Date]])+1)+1, 2)</f>
        <v>20</v>
      </c>
      <c r="N68" s="9">
        <f>DATE(tbl_transaction[[#This Row],[Year_order]]+2000, tbl_transaction[[#This Row],[Month_order]], tbl_transaction[[#This Row],[Date_order]])</f>
        <v>44117</v>
      </c>
      <c r="O68" s="9">
        <f>DATE(tbl_transaction[[#This Row],[Year_Transact]]+2000,tbl_transaction[[#This Row],[Month_Transact]],tbl_transaction[[#This Row],[Date_Transact]])</f>
        <v>44117</v>
      </c>
      <c r="P6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-6371</v>
      </c>
      <c r="Q6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6371</v>
      </c>
      <c r="R6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69" spans="1:19" x14ac:dyDescent="0.25">
      <c r="A69" t="s">
        <v>334</v>
      </c>
      <c r="B69" t="s">
        <v>337</v>
      </c>
      <c r="C69" t="s">
        <v>337</v>
      </c>
      <c r="D69" t="s">
        <v>19</v>
      </c>
      <c r="F69" s="47">
        <v>600</v>
      </c>
      <c r="G69" s="48">
        <v>7.71</v>
      </c>
      <c r="H69" s="61">
        <f>VALUE(LEFT(tbl_transaction[[#This Row],[Order Date]],FIND("/",tbl_transaction[[#This Row],[Order Date]])-1))</f>
        <v>10</v>
      </c>
      <c r="I6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9" s="61" t="str">
        <f>MID(tbl_transaction[[#This Row],[Order Date]], FIND("/",tbl_transaction[[#This Row],[Order Date]], FIND("/", tbl_transaction[[#This Row],[Order Date]])+1)+1, 2)</f>
        <v>20</v>
      </c>
      <c r="K69" s="61">
        <f>VALUE(LEFT(tbl_transaction[[#This Row],[Transaction Date]],FIND("/",tbl_transaction[[#This Row],[Transaction Date]])-1))</f>
        <v>10</v>
      </c>
      <c r="L6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9" s="61" t="str">
        <f>MID(tbl_transaction[[#This Row],[Transaction Date]], FIND("/",tbl_transaction[[#This Row],[Transaction Date]], FIND("/", tbl_transaction[[#This Row],[Transaction Date]])+1)+1, 2)</f>
        <v>20</v>
      </c>
      <c r="N69" s="9">
        <f>DATE(tbl_transaction[[#This Row],[Year_order]]+2000, tbl_transaction[[#This Row],[Month_order]], tbl_transaction[[#This Row],[Date_order]])</f>
        <v>44117</v>
      </c>
      <c r="O69" s="9">
        <f>DATE(tbl_transaction[[#This Row],[Year_Transact]]+2000,tbl_transaction[[#This Row],[Month_Transact]],tbl_transaction[[#This Row],[Date_Transact]])</f>
        <v>44117</v>
      </c>
      <c r="P6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-4626</v>
      </c>
      <c r="Q6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4626</v>
      </c>
      <c r="R6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600</v>
      </c>
    </row>
    <row r="70" spans="1:19" x14ac:dyDescent="0.25">
      <c r="A70" t="s">
        <v>236</v>
      </c>
      <c r="B70" t="s">
        <v>338</v>
      </c>
      <c r="C70" t="s">
        <v>338</v>
      </c>
      <c r="D70" t="s">
        <v>19</v>
      </c>
      <c r="F70" s="47">
        <v>1</v>
      </c>
      <c r="G70" s="48">
        <v>27.09</v>
      </c>
      <c r="H70" s="61">
        <f>VALUE(LEFT(tbl_transaction[[#This Row],[Order Date]],FIND("/",tbl_transaction[[#This Row],[Order Date]])-1))</f>
        <v>10</v>
      </c>
      <c r="I7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0" s="61" t="str">
        <f>MID(tbl_transaction[[#This Row],[Order Date]], FIND("/",tbl_transaction[[#This Row],[Order Date]], FIND("/", tbl_transaction[[#This Row],[Order Date]])+1)+1, 2)</f>
        <v>20</v>
      </c>
      <c r="K70" s="61">
        <f>VALUE(LEFT(tbl_transaction[[#This Row],[Transaction Date]],FIND("/",tbl_transaction[[#This Row],[Transaction Date]])-1))</f>
        <v>10</v>
      </c>
      <c r="L7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0" s="61" t="str">
        <f>MID(tbl_transaction[[#This Row],[Transaction Date]], FIND("/",tbl_transaction[[#This Row],[Transaction Date]], FIND("/", tbl_transaction[[#This Row],[Transaction Date]])+1)+1, 2)</f>
        <v>20</v>
      </c>
      <c r="N70" s="9">
        <f>DATE(tbl_transaction[[#This Row],[Year_order]]+2000, tbl_transaction[[#This Row],[Month_order]], tbl_transaction[[#This Row],[Date_order]])</f>
        <v>44123</v>
      </c>
      <c r="O70" s="9">
        <f>DATE(tbl_transaction[[#This Row],[Year_Transact]]+2000,tbl_transaction[[#This Row],[Month_Transact]],tbl_transaction[[#This Row],[Date_Transact]])</f>
        <v>44123</v>
      </c>
      <c r="P7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-27.09</v>
      </c>
      <c r="Q7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27.09</v>
      </c>
      <c r="R7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1" spans="1:19" x14ac:dyDescent="0.25">
      <c r="A71" t="s">
        <v>236</v>
      </c>
      <c r="B71" t="s">
        <v>339</v>
      </c>
      <c r="C71" t="s">
        <v>339</v>
      </c>
      <c r="D71" t="s">
        <v>26</v>
      </c>
      <c r="F71" s="47">
        <v>101</v>
      </c>
      <c r="G71" s="48">
        <v>27.09</v>
      </c>
      <c r="H71" s="61">
        <f>VALUE(LEFT(tbl_transaction[[#This Row],[Order Date]],FIND("/",tbl_transaction[[#This Row],[Order Date]])-1))</f>
        <v>10</v>
      </c>
      <c r="I7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1" s="61" t="str">
        <f>MID(tbl_transaction[[#This Row],[Order Date]], FIND("/",tbl_transaction[[#This Row],[Order Date]], FIND("/", tbl_transaction[[#This Row],[Order Date]])+1)+1, 2)</f>
        <v>20</v>
      </c>
      <c r="K71" s="61">
        <f>VALUE(LEFT(tbl_transaction[[#This Row],[Transaction Date]],FIND("/",tbl_transaction[[#This Row],[Transaction Date]])-1))</f>
        <v>10</v>
      </c>
      <c r="L7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1" s="61" t="str">
        <f>MID(tbl_transaction[[#This Row],[Transaction Date]], FIND("/",tbl_transaction[[#This Row],[Transaction Date]], FIND("/", tbl_transaction[[#This Row],[Transaction Date]])+1)+1, 2)</f>
        <v>20</v>
      </c>
      <c r="N71" s="9">
        <f>DATE(tbl_transaction[[#This Row],[Year_order]]+2000, tbl_transaction[[#This Row],[Month_order]], tbl_transaction[[#This Row],[Date_order]])</f>
        <v>44123</v>
      </c>
      <c r="O71" s="9">
        <f>DATE(tbl_transaction[[#This Row],[Year_Transact]]+2000,tbl_transaction[[#This Row],[Month_Transact]],tbl_transaction[[#This Row],[Date_Transact]])</f>
        <v>44123</v>
      </c>
      <c r="P7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2736.09</v>
      </c>
      <c r="Q7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-2736.09</v>
      </c>
      <c r="R7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72" spans="1:19" x14ac:dyDescent="0.25">
      <c r="A72" t="s">
        <v>162</v>
      </c>
      <c r="B72">
        <f>SUBTOTAL(103,tbl_transaction[Order Date])</f>
        <v>67</v>
      </c>
      <c r="P72" s="11">
        <f>SUBTOTAL(109,tbl_transaction[Net_Cash_Change])</f>
        <v>-73008.290000000008</v>
      </c>
      <c r="S72" s="47">
        <f>SUBTOTAL(109,tbl_transaction[Stock Holding Change])</f>
        <v>1101</v>
      </c>
    </row>
  </sheetData>
  <dataValidations count="3">
    <dataValidation type="list" allowBlank="1" showInputMessage="1" showErrorMessage="1" sqref="D5:D71">
      <formula1>Transactions</formula1>
    </dataValidation>
    <dataValidation type="list" allowBlank="1" showInputMessage="1" showErrorMessage="1" sqref="A5:A71">
      <formula1>Symbol</formula1>
    </dataValidation>
    <dataValidation type="whole" allowBlank="1" showInputMessage="1" showErrorMessage="1" sqref="F5:F71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18" sqref="A18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217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240</v>
      </c>
    </row>
    <row r="13" spans="1:9" x14ac:dyDescent="0.25">
      <c r="A13" t="s">
        <v>29</v>
      </c>
    </row>
    <row r="14" spans="1:9" x14ac:dyDescent="0.25">
      <c r="A14" t="s">
        <v>312</v>
      </c>
    </row>
    <row r="15" spans="1:9" x14ac:dyDescent="0.25">
      <c r="A15" t="s">
        <v>321</v>
      </c>
    </row>
    <row r="16" spans="1:9" x14ac:dyDescent="0.25">
      <c r="A16" t="s">
        <v>328</v>
      </c>
    </row>
    <row r="17" spans="1:1" x14ac:dyDescent="0.25">
      <c r="A17" t="s">
        <v>334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A7" workbookViewId="0">
      <selection activeCell="AG32" sqref="AG32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9" width="13.140625" customWidth="1"/>
    <col min="10" max="10" width="13.42578125" customWidth="1"/>
    <col min="11" max="11" width="13.140625" customWidth="1"/>
    <col min="12" max="12" width="14.5703125" customWidth="1"/>
    <col min="13" max="13" width="12.5703125" customWidth="1"/>
    <col min="14" max="14" width="16.7109375" customWidth="1"/>
    <col min="15" max="15" width="15.5703125" customWidth="1"/>
    <col min="16" max="20" width="16.42578125" customWidth="1"/>
    <col min="21" max="21" width="16.85546875" customWidth="1"/>
    <col min="22" max="22" width="15.42578125" customWidth="1"/>
    <col min="23" max="23" width="15.85546875" customWidth="1"/>
    <col min="24" max="24" width="17.42578125" customWidth="1"/>
    <col min="25" max="25" width="11.85546875" customWidth="1"/>
    <col min="26" max="26" width="13" customWidth="1"/>
    <col min="27" max="27" width="11.28515625" customWidth="1"/>
    <col min="28" max="28" width="11.7109375" customWidth="1"/>
    <col min="29" max="29" width="12.85546875" customWidth="1"/>
    <col min="30" max="30" width="13.5703125" customWidth="1"/>
    <col min="31" max="31" width="11.5703125" customWidth="1"/>
    <col min="32" max="32" width="13.28515625" customWidth="1"/>
    <col min="33" max="33" width="15.140625" customWidth="1"/>
  </cols>
  <sheetData>
    <row r="1" spans="1:33" ht="21" x14ac:dyDescent="0.35">
      <c r="A1" s="41" t="s">
        <v>126</v>
      </c>
      <c r="B1" s="41"/>
      <c r="C1" s="41"/>
      <c r="D1" s="41"/>
      <c r="E1" s="41"/>
    </row>
    <row r="2" spans="1:33" ht="15.75" x14ac:dyDescent="0.25">
      <c r="A2" t="s">
        <v>127</v>
      </c>
    </row>
    <row r="4" spans="1:33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317</v>
      </c>
      <c r="M4" t="s">
        <v>322</v>
      </c>
      <c r="N4" t="s">
        <v>330</v>
      </c>
      <c r="O4" t="s">
        <v>335</v>
      </c>
      <c r="P4" t="s">
        <v>65</v>
      </c>
      <c r="Q4" t="s">
        <v>66</v>
      </c>
      <c r="R4" t="s">
        <v>67</v>
      </c>
      <c r="S4" t="s">
        <v>68</v>
      </c>
      <c r="T4" t="s">
        <v>69</v>
      </c>
      <c r="U4" t="s">
        <v>70</v>
      </c>
      <c r="V4" t="s">
        <v>246</v>
      </c>
      <c r="W4" t="s">
        <v>247</v>
      </c>
      <c r="X4" t="s">
        <v>248</v>
      </c>
      <c r="Y4" t="s">
        <v>249</v>
      </c>
      <c r="Z4" t="s">
        <v>318</v>
      </c>
      <c r="AA4" t="s">
        <v>323</v>
      </c>
      <c r="AB4" t="s">
        <v>331</v>
      </c>
      <c r="AC4" t="s">
        <v>336</v>
      </c>
      <c r="AD4" t="s">
        <v>71</v>
      </c>
      <c r="AE4" t="s">
        <v>72</v>
      </c>
      <c r="AF4" t="s">
        <v>165</v>
      </c>
      <c r="AG4" t="s">
        <v>167</v>
      </c>
    </row>
    <row r="5" spans="1:33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/>
      <c r="M5" s="10"/>
      <c r="N5" s="10"/>
      <c r="O5" s="10"/>
      <c r="P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$P4)</f>
        <v>150</v>
      </c>
      <c r="Q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$Q4)</f>
        <v>1500</v>
      </c>
      <c r="R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$R4)</f>
        <v>50</v>
      </c>
      <c r="S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$U4)</f>
        <v>0</v>
      </c>
      <c r="V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$V4)</f>
        <v>0</v>
      </c>
      <c r="W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$W4)</f>
        <v>0</v>
      </c>
      <c r="X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$X4)</f>
        <v>0</v>
      </c>
      <c r="Y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$Y4)</f>
        <v>0</v>
      </c>
      <c r="Z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$Z4)</f>
        <v>0</v>
      </c>
      <c r="AA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$AA4)</f>
        <v>0</v>
      </c>
      <c r="AB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$AB4)</f>
        <v>0</v>
      </c>
      <c r="AC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$AC4)</f>
        <v>0</v>
      </c>
      <c r="AD5" s="10"/>
      <c r="AE5" s="10">
        <f>SUMIFS(tbl_transaction[Net_Cash_Change], tbl_transaction[Transaction_Date],tbl_position[[#This Row],[Date]])+IF(tbl_position[[#This Row],[Date]]=$A$5, 100000, $AE4)</f>
        <v>63721.5</v>
      </c>
      <c r="AF5" s="11">
        <f>SUMIFS(tbl_transaction[Net_Debt_Change], tbl_transaction[Transaction_Date],tbl_position[[#This Row],[Date]])+IF(tbl_position[[#This Row],[Date]]=$A$5, 0, $AF4)</f>
        <v>0</v>
      </c>
      <c r="AG5" s="48">
        <f>tbl_position[[#This Row],[Shares_Holding]]+tbl_position[[#This Row],[Cash_Holding]]-tbl_position[[#This Row],[Liabilities_Holding]]</f>
        <v>63721.5</v>
      </c>
    </row>
    <row r="6" spans="1:33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/>
      <c r="M6" s="10"/>
      <c r="N6" s="10"/>
      <c r="O6" s="10"/>
      <c r="P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$P5)</f>
        <v>100</v>
      </c>
      <c r="Q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$Q5)</f>
        <v>1000</v>
      </c>
      <c r="R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$R5)</f>
        <v>50</v>
      </c>
      <c r="S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$U5)</f>
        <v>100</v>
      </c>
      <c r="V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$V5)</f>
        <v>0</v>
      </c>
      <c r="W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$W5)</f>
        <v>0</v>
      </c>
      <c r="X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$X5)</f>
        <v>0</v>
      </c>
      <c r="Y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$Y5)</f>
        <v>0</v>
      </c>
      <c r="Z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$Z5)</f>
        <v>0</v>
      </c>
      <c r="AA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$AA5)</f>
        <v>0</v>
      </c>
      <c r="AB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$AB5)</f>
        <v>0</v>
      </c>
      <c r="AC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$AC5)</f>
        <v>0</v>
      </c>
      <c r="AD6" s="10"/>
      <c r="AE6" s="10">
        <f>SUMIFS(tbl_transaction[Net_Cash_Change], tbl_transaction[Transaction_Date],tbl_position[[#This Row],[Date]])+IF(tbl_position[[#This Row],[Date]]=$A$5, 100000, $AE5)</f>
        <v>65134</v>
      </c>
      <c r="AF6" s="11">
        <f>SUMIFS(tbl_transaction[Net_Debt_Change], tbl_transaction[Transaction_Date],tbl_position[[#This Row],[Date]])+IF(tbl_position[[#This Row],[Date]]=$A$5, 0, $AF5)</f>
        <v>-34</v>
      </c>
      <c r="AG6" s="48">
        <f>tbl_position[[#This Row],[Shares_Holding]]+tbl_position[[#This Row],[Cash_Holding]]-tbl_position[[#This Row],[Liabilities_Holding]]</f>
        <v>65168</v>
      </c>
    </row>
    <row r="7" spans="1:33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/>
      <c r="M7" s="10"/>
      <c r="N7" s="10"/>
      <c r="O7" s="10"/>
      <c r="P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$P6)</f>
        <v>100</v>
      </c>
      <c r="Q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$Q6)</f>
        <v>1000</v>
      </c>
      <c r="R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$R6)</f>
        <v>50</v>
      </c>
      <c r="S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$T6)</f>
        <v>0</v>
      </c>
      <c r="U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$U6)</f>
        <v>0</v>
      </c>
      <c r="V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$V6)</f>
        <v>0</v>
      </c>
      <c r="W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$W6)</f>
        <v>0</v>
      </c>
      <c r="X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$X6)</f>
        <v>250</v>
      </c>
      <c r="Y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$Y6)</f>
        <v>0</v>
      </c>
      <c r="Z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$Z6)</f>
        <v>0</v>
      </c>
      <c r="AA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$AA6)</f>
        <v>0</v>
      </c>
      <c r="AB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$AB6)</f>
        <v>0</v>
      </c>
      <c r="AC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$AC6)</f>
        <v>0</v>
      </c>
      <c r="AD7" s="10"/>
      <c r="AE7" s="10">
        <f>SUMIFS(tbl_transaction[Net_Cash_Change], tbl_transaction[Transaction_Date],tbl_position[[#This Row],[Date]])+IF(tbl_position[[#This Row],[Date]]=$A$5, 100000, $AE6)</f>
        <v>62700.2</v>
      </c>
      <c r="AF7" s="11">
        <f>SUMIFS(tbl_transaction[Net_Debt_Change], tbl_transaction[Transaction_Date],tbl_position[[#This Row],[Date]])+IF(tbl_position[[#This Row],[Date]]=$A$5, 0, $AF6)</f>
        <v>-450</v>
      </c>
      <c r="AG7" s="48">
        <f>tbl_position[[#This Row],[Shares_Holding]]+tbl_position[[#This Row],[Cash_Holding]]-tbl_position[[#This Row],[Liabilities_Holding]]</f>
        <v>63150.2</v>
      </c>
    </row>
    <row r="8" spans="1:33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/>
      <c r="M8" s="10"/>
      <c r="N8" s="10"/>
      <c r="O8" s="10"/>
      <c r="P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$P7)</f>
        <v>100</v>
      </c>
      <c r="Q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$Q7)</f>
        <v>1000</v>
      </c>
      <c r="R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$R7)</f>
        <v>50</v>
      </c>
      <c r="S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$T7)</f>
        <v>0</v>
      </c>
      <c r="U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$U7)</f>
        <v>0</v>
      </c>
      <c r="V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$V7)</f>
        <v>0</v>
      </c>
      <c r="W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$W7)</f>
        <v>0</v>
      </c>
      <c r="X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$X7)</f>
        <v>250</v>
      </c>
      <c r="Y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$Y7)</f>
        <v>0</v>
      </c>
      <c r="Z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$Z7)</f>
        <v>0</v>
      </c>
      <c r="AA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$AA7)</f>
        <v>0</v>
      </c>
      <c r="AB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$AB7)</f>
        <v>0</v>
      </c>
      <c r="AC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$AC7)</f>
        <v>0</v>
      </c>
      <c r="AD8" s="10"/>
      <c r="AE8" s="10">
        <f>SUMIFS(tbl_transaction[Net_Cash_Change], tbl_transaction[Transaction_Date],tbl_position[[#This Row],[Date]])+IF(tbl_position[[#This Row],[Date]]=$A$5, 100000, $AE7)</f>
        <v>62700.2</v>
      </c>
      <c r="AF8" s="11">
        <f>SUMIFS(tbl_transaction[Net_Debt_Change], tbl_transaction[Transaction_Date],tbl_position[[#This Row],[Date]])+IF(tbl_position[[#This Row],[Date]]=$A$5, 0, $AF7)</f>
        <v>-450</v>
      </c>
      <c r="AG8" s="48">
        <f>tbl_position[[#This Row],[Shares_Holding]]+tbl_position[[#This Row],[Cash_Holding]]-tbl_position[[#This Row],[Liabilities_Holding]]</f>
        <v>63150.2</v>
      </c>
    </row>
    <row r="9" spans="1:33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/>
      <c r="M9" s="10"/>
      <c r="N9" s="10"/>
      <c r="O9" s="10"/>
      <c r="P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$R8)</f>
        <v>50</v>
      </c>
      <c r="S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$T8)</f>
        <v>100</v>
      </c>
      <c r="U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$U8)</f>
        <v>0</v>
      </c>
      <c r="V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$V8)</f>
        <v>0</v>
      </c>
      <c r="W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$W8)</f>
        <v>0</v>
      </c>
      <c r="X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$X8)</f>
        <v>200</v>
      </c>
      <c r="Y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$Y8)</f>
        <v>0</v>
      </c>
      <c r="Z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$Z8)</f>
        <v>0</v>
      </c>
      <c r="AA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$AA8)</f>
        <v>0</v>
      </c>
      <c r="AB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$AB8)</f>
        <v>0</v>
      </c>
      <c r="AC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$AC8)</f>
        <v>0</v>
      </c>
      <c r="AD9" s="10"/>
      <c r="AE9" s="10">
        <f>SUMIFS(tbl_transaction[Net_Cash_Change], tbl_transaction[Transaction_Date],tbl_position[[#This Row],[Date]])+IF(tbl_position[[#This Row],[Date]]=$A$5, 100000, $AE8)</f>
        <v>61575.199999999997</v>
      </c>
      <c r="AF9" s="11">
        <f>SUMIFS(tbl_transaction[Net_Debt_Change], tbl_transaction[Transaction_Date],tbl_position[[#This Row],[Date]])+IF(tbl_position[[#This Row],[Date]]=$A$5, 0, $AF8)</f>
        <v>6192.4</v>
      </c>
      <c r="AG9" s="48">
        <f>tbl_position[[#This Row],[Shares_Holding]]+tbl_position[[#This Row],[Cash_Holding]]-tbl_position[[#This Row],[Liabilities_Holding]]</f>
        <v>55382.799999999996</v>
      </c>
    </row>
    <row r="10" spans="1:33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/>
      <c r="M10" s="10"/>
      <c r="N10" s="10"/>
      <c r="O10" s="10"/>
      <c r="P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$R9)</f>
        <v>50</v>
      </c>
      <c r="S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$T9)</f>
        <v>100</v>
      </c>
      <c r="U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$U9)</f>
        <v>0</v>
      </c>
      <c r="V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$V9)</f>
        <v>100</v>
      </c>
      <c r="W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$W9)</f>
        <v>0</v>
      </c>
      <c r="X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$X9)</f>
        <v>0</v>
      </c>
      <c r="Y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$Y9)</f>
        <v>1000</v>
      </c>
      <c r="Z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$Z9)</f>
        <v>0</v>
      </c>
      <c r="AA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$AA9)</f>
        <v>0</v>
      </c>
      <c r="AB1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$AB9)</f>
        <v>0</v>
      </c>
      <c r="AC1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$AC9)</f>
        <v>0</v>
      </c>
      <c r="AD10" s="10"/>
      <c r="AE10" s="10">
        <f>SUMIFS(tbl_transaction[Net_Cash_Change], tbl_transaction[Transaction_Date],tbl_position[[#This Row],[Date]])+IF(tbl_position[[#This Row],[Date]]=$A$5, 100000, $AE9)</f>
        <v>57949.2</v>
      </c>
      <c r="AF10" s="11">
        <f>SUMIFS(tbl_transaction[Net_Debt_Change], tbl_transaction[Transaction_Date],tbl_position[[#This Row],[Date]])+IF(tbl_position[[#This Row],[Date]]=$A$5, 0, $AF9)</f>
        <v>5492.9</v>
      </c>
      <c r="AG10" s="48">
        <f>tbl_position[[#This Row],[Shares_Holding]]+tbl_position[[#This Row],[Cash_Holding]]-tbl_position[[#This Row],[Liabilities_Holding]]</f>
        <v>52456.299999999996</v>
      </c>
    </row>
    <row r="11" spans="1:33" x14ac:dyDescent="0.2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/>
      <c r="M11" s="10"/>
      <c r="N11" s="10"/>
      <c r="O11" s="10"/>
      <c r="P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$P10)</f>
        <v>50</v>
      </c>
      <c r="Q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$R10)</f>
        <v>50</v>
      </c>
      <c r="S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$T10)</f>
        <v>100</v>
      </c>
      <c r="U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$U10)</f>
        <v>0</v>
      </c>
      <c r="V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$V10)</f>
        <v>100</v>
      </c>
      <c r="W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$W10)</f>
        <v>0</v>
      </c>
      <c r="X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$X10)</f>
        <v>0</v>
      </c>
      <c r="Y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$Y10)</f>
        <v>0</v>
      </c>
      <c r="Z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$Z10)</f>
        <v>0</v>
      </c>
      <c r="AA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$AA10)</f>
        <v>0</v>
      </c>
      <c r="AB1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$AB10)</f>
        <v>0</v>
      </c>
      <c r="AC1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$AC10)</f>
        <v>0</v>
      </c>
      <c r="AD11" s="10"/>
      <c r="AE11" s="10">
        <f>SUMIFS(tbl_transaction[Net_Cash_Change], tbl_transaction[Transaction_Date],tbl_position[[#This Row],[Date]])+IF(tbl_position[[#This Row],[Date]]=$A$5, 100000, $AE10)</f>
        <v>63351.7</v>
      </c>
      <c r="AF11" s="11">
        <f>SUMIFS(tbl_transaction[Net_Debt_Change], tbl_transaction[Transaction_Date],tbl_position[[#This Row],[Date]])+IF(tbl_position[[#This Row],[Date]]=$A$5, 0, $AF10)</f>
        <v>-407.10000000000036</v>
      </c>
      <c r="AG11" s="48">
        <f>tbl_position[[#This Row],[Shares_Holding]]+tbl_position[[#This Row],[Cash_Holding]]-tbl_position[[#This Row],[Liabilities_Holding]]</f>
        <v>63758.799999999996</v>
      </c>
    </row>
    <row r="12" spans="1:33" x14ac:dyDescent="0.2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/>
      <c r="M12" s="10"/>
      <c r="N12" s="10"/>
      <c r="O12" s="10"/>
      <c r="P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$P11)</f>
        <v>50</v>
      </c>
      <c r="Q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$R11)</f>
        <v>50</v>
      </c>
      <c r="S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$T11)</f>
        <v>100</v>
      </c>
      <c r="U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$U11)</f>
        <v>0</v>
      </c>
      <c r="V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$V11)</f>
        <v>100</v>
      </c>
      <c r="W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$W11)</f>
        <v>0</v>
      </c>
      <c r="X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$X11)</f>
        <v>0</v>
      </c>
      <c r="Y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$Y11)</f>
        <v>4000</v>
      </c>
      <c r="Z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$Z11)</f>
        <v>0</v>
      </c>
      <c r="AA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$AA11)</f>
        <v>0</v>
      </c>
      <c r="AB1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$AB11)</f>
        <v>0</v>
      </c>
      <c r="AC1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$AC11)</f>
        <v>0</v>
      </c>
      <c r="AD12" s="10"/>
      <c r="AE12" s="10">
        <f>SUMIFS(tbl_transaction[Net_Cash_Change], tbl_transaction[Transaction_Date],tbl_position[[#This Row],[Date]])+IF(tbl_position[[#This Row],[Date]]=$A$5, 100000, $AE11)</f>
        <v>37751.699999999997</v>
      </c>
      <c r="AF12" s="11">
        <f>SUMIFS(tbl_transaction[Net_Debt_Change], tbl_transaction[Transaction_Date],tbl_position[[#This Row],[Date]])+IF(tbl_position[[#This Row],[Date]]=$A$5, 0, $AF11)</f>
        <v>-407.10000000000036</v>
      </c>
      <c r="AG12" s="48">
        <f>tbl_position[[#This Row],[Shares_Holding]]+tbl_position[[#This Row],[Cash_Holding]]-tbl_position[[#This Row],[Liabilities_Holding]]</f>
        <v>38158.799999999996</v>
      </c>
    </row>
    <row r="13" spans="1:33" x14ac:dyDescent="0.2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/>
      <c r="M13" s="10"/>
      <c r="N13" s="10"/>
      <c r="O13" s="10"/>
      <c r="P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$P12)</f>
        <v>50</v>
      </c>
      <c r="Q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$R12)</f>
        <v>50</v>
      </c>
      <c r="S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$T12)</f>
        <v>100</v>
      </c>
      <c r="U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$U12)</f>
        <v>0</v>
      </c>
      <c r="V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$V12)</f>
        <v>100</v>
      </c>
      <c r="W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$W12)</f>
        <v>0</v>
      </c>
      <c r="X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$X12)</f>
        <v>0</v>
      </c>
      <c r="Y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$Y12)</f>
        <v>2000</v>
      </c>
      <c r="Z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$Z12)</f>
        <v>0</v>
      </c>
      <c r="AA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$AA12)</f>
        <v>0</v>
      </c>
      <c r="AB1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$AB12)</f>
        <v>0</v>
      </c>
      <c r="AC1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$AC12)</f>
        <v>0</v>
      </c>
      <c r="AD13" s="10"/>
      <c r="AE13" s="10">
        <f>SUMIFS(tbl_transaction[Net_Cash_Change], tbl_transaction[Transaction_Date],tbl_position[[#This Row],[Date]])+IF(tbl_position[[#This Row],[Date]]=$A$5, 100000, $AE12)</f>
        <v>50051.7</v>
      </c>
      <c r="AF13" s="11">
        <f>SUMIFS(tbl_transaction[Net_Debt_Change], tbl_transaction[Transaction_Date],tbl_position[[#This Row],[Date]])+IF(tbl_position[[#This Row],[Date]]=$A$5, 0, $AF12)</f>
        <v>-407.10000000000036</v>
      </c>
      <c r="AG13" s="48">
        <f>tbl_position[[#This Row],[Shares_Holding]]+tbl_position[[#This Row],[Cash_Holding]]-tbl_position[[#This Row],[Liabilities_Holding]]</f>
        <v>50458.799999999996</v>
      </c>
    </row>
    <row r="14" spans="1:33" x14ac:dyDescent="0.2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/>
      <c r="M14" s="10"/>
      <c r="N14" s="10"/>
      <c r="O14" s="10"/>
      <c r="P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$P13)</f>
        <v>50</v>
      </c>
      <c r="Q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$R13)</f>
        <v>50</v>
      </c>
      <c r="S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$S13)</f>
        <v>0</v>
      </c>
      <c r="T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$T13)</f>
        <v>100</v>
      </c>
      <c r="U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$U13)</f>
        <v>0</v>
      </c>
      <c r="V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$V13)</f>
        <v>100</v>
      </c>
      <c r="W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$W13)</f>
        <v>50</v>
      </c>
      <c r="X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$X13)</f>
        <v>0</v>
      </c>
      <c r="Y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$Y13)</f>
        <v>980</v>
      </c>
      <c r="Z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$Z13)</f>
        <v>0</v>
      </c>
      <c r="AA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$AA13)</f>
        <v>0</v>
      </c>
      <c r="AB1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$AB13)</f>
        <v>0</v>
      </c>
      <c r="AC1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$AC13)</f>
        <v>0</v>
      </c>
      <c r="AD14" s="10"/>
      <c r="AE14" s="10">
        <f>SUMIFS(tbl_transaction[Net_Cash_Change], tbl_transaction[Transaction_Date],tbl_position[[#This Row],[Date]])+IF(tbl_position[[#This Row],[Date]]=$A$5, 100000, $AE13)</f>
        <v>43897.299999999996</v>
      </c>
      <c r="AF14" s="11">
        <f>SUMIFS(tbl_transaction[Net_Debt_Change], tbl_transaction[Transaction_Date],tbl_position[[#This Row],[Date]])+IF(tbl_position[[#This Row],[Date]]=$A$5, 0, $AF13)</f>
        <v>-407.10000000000036</v>
      </c>
      <c r="AG14" s="48">
        <f>tbl_position[[#This Row],[Shares_Holding]]+tbl_position[[#This Row],[Cash_Holding]]-tbl_position[[#This Row],[Liabilities_Holding]]</f>
        <v>44304.399999999994</v>
      </c>
    </row>
    <row r="15" spans="1:33" x14ac:dyDescent="0.2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27"/>
      <c r="M15" s="127"/>
      <c r="N15" s="127"/>
      <c r="O15" s="127"/>
      <c r="P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$P14)</f>
        <v>50</v>
      </c>
      <c r="Q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$R14)</f>
        <v>50</v>
      </c>
      <c r="S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$S14)</f>
        <v>0</v>
      </c>
      <c r="T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$T14)</f>
        <v>100</v>
      </c>
      <c r="U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$U14)</f>
        <v>0</v>
      </c>
      <c r="V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$V14)</f>
        <v>100</v>
      </c>
      <c r="W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$W14)</f>
        <v>50</v>
      </c>
      <c r="X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$X14)</f>
        <v>500</v>
      </c>
      <c r="Y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$Y14)</f>
        <v>980</v>
      </c>
      <c r="Z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$Z14)</f>
        <v>0</v>
      </c>
      <c r="AA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$AA14)</f>
        <v>0</v>
      </c>
      <c r="AB1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$AB14)</f>
        <v>0</v>
      </c>
      <c r="AC1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$AC14)</f>
        <v>0</v>
      </c>
      <c r="AD15" s="10"/>
      <c r="AE15" s="10">
        <f>SUMIFS(tbl_transaction[Net_Cash_Change], tbl_transaction[Transaction_Date],tbl_position[[#This Row],[Date]])+IF(tbl_position[[#This Row],[Date]]=$A$5, 100000, $AE14)</f>
        <v>43897.299999999996</v>
      </c>
      <c r="AF15" s="11">
        <f>SUMIFS(tbl_transaction[Net_Debt_Change], tbl_transaction[Transaction_Date],tbl_position[[#This Row],[Date]])+IF(tbl_position[[#This Row],[Date]]=$A$5, 0, $AF14)</f>
        <v>9577.9</v>
      </c>
      <c r="AG15" s="48">
        <f>tbl_position[[#This Row],[Shares_Holding]]+tbl_position[[#This Row],[Cash_Holding]]-tbl_position[[#This Row],[Liabilities_Holding]]</f>
        <v>34319.399999999994</v>
      </c>
    </row>
    <row r="16" spans="1:33" x14ac:dyDescent="0.2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29"/>
      <c r="M16" s="129"/>
      <c r="N16" s="129"/>
      <c r="O16" s="129"/>
      <c r="P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$P15)</f>
        <v>50</v>
      </c>
      <c r="Q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$Q15)</f>
        <v>0</v>
      </c>
      <c r="R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$R15)</f>
        <v>50</v>
      </c>
      <c r="S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$S15)</f>
        <v>0</v>
      </c>
      <c r="T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$T15)</f>
        <v>100</v>
      </c>
      <c r="U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$U15)</f>
        <v>0</v>
      </c>
      <c r="V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$V15)</f>
        <v>100</v>
      </c>
      <c r="W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$W15)</f>
        <v>50</v>
      </c>
      <c r="X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$X15)</f>
        <v>500</v>
      </c>
      <c r="Y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$Y15)</f>
        <v>980</v>
      </c>
      <c r="Z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$Z15)</f>
        <v>0</v>
      </c>
      <c r="AA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$AA15)</f>
        <v>0</v>
      </c>
      <c r="AB1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$AB15)</f>
        <v>0</v>
      </c>
      <c r="AC1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$AC15)</f>
        <v>0</v>
      </c>
      <c r="AD16" s="10"/>
      <c r="AE16" s="129">
        <f>SUMIFS(tbl_transaction[Net_Cash_Change], tbl_transaction[Transaction_Date],tbl_position[[#This Row],[Date]])+IF(tbl_position[[#This Row],[Date]]=$A$5, 100000, $AE15)</f>
        <v>43897.299999999996</v>
      </c>
      <c r="AF16" s="11">
        <f>SUMIFS(tbl_transaction[Net_Debt_Change], tbl_transaction[Transaction_Date],tbl_position[[#This Row],[Date]])+IF(tbl_position[[#This Row],[Date]]=$A$5, 0, $AF15)</f>
        <v>9577.9</v>
      </c>
      <c r="AG16" s="48">
        <f>tbl_position[[#This Row],[Shares_Holding]]+tbl_position[[#This Row],[Cash_Holding]]-tbl_position[[#This Row],[Liabilities_Holding]]</f>
        <v>34319.399999999994</v>
      </c>
    </row>
    <row r="17" spans="1:33" x14ac:dyDescent="0.2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29"/>
      <c r="M17" s="129"/>
      <c r="N17" s="129"/>
      <c r="O17" s="129"/>
      <c r="P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$P16)</f>
        <v>50</v>
      </c>
      <c r="Q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$Q16)</f>
        <v>0</v>
      </c>
      <c r="R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$R16)</f>
        <v>50</v>
      </c>
      <c r="S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$S16)</f>
        <v>0</v>
      </c>
      <c r="T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$T16)</f>
        <v>100</v>
      </c>
      <c r="U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$U16)</f>
        <v>0</v>
      </c>
      <c r="V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$V16)</f>
        <v>100</v>
      </c>
      <c r="W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$W16)</f>
        <v>50</v>
      </c>
      <c r="X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$X16)</f>
        <v>800</v>
      </c>
      <c r="Y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$Y16)</f>
        <v>0</v>
      </c>
      <c r="Z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$Z16)</f>
        <v>0</v>
      </c>
      <c r="AA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$AA16)</f>
        <v>0</v>
      </c>
      <c r="AB1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$AB16)</f>
        <v>0</v>
      </c>
      <c r="AC1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$AC16)</f>
        <v>0</v>
      </c>
      <c r="AD17" s="10"/>
      <c r="AE17" s="129">
        <f>SUMIFS(tbl_transaction[Net_Cash_Change], tbl_transaction[Transaction_Date],tbl_position[[#This Row],[Date]])+IF(tbl_position[[#This Row],[Date]]=$A$5, 100000, $AE16)</f>
        <v>49591.099999999991</v>
      </c>
      <c r="AF17" s="11">
        <f>SUMIFS(tbl_transaction[Net_Debt_Change], tbl_transaction[Transaction_Date],tbl_position[[#This Row],[Date]])+IF(tbl_position[[#This Row],[Date]]=$A$5, 0, $AF16)</f>
        <v>15208.9</v>
      </c>
      <c r="AG17" s="48">
        <f>tbl_position[[#This Row],[Shares_Holding]]+tbl_position[[#This Row],[Cash_Holding]]-tbl_position[[#This Row],[Liabilities_Holding]]</f>
        <v>34382.19999999999</v>
      </c>
    </row>
    <row r="18" spans="1:33" x14ac:dyDescent="0.2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29"/>
      <c r="M18" s="129"/>
      <c r="N18" s="129"/>
      <c r="O18" s="129"/>
      <c r="P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$P17)</f>
        <v>50</v>
      </c>
      <c r="Q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$Q17)</f>
        <v>0</v>
      </c>
      <c r="R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$R17)</f>
        <v>50</v>
      </c>
      <c r="S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$S17)</f>
        <v>0</v>
      </c>
      <c r="T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$T17)</f>
        <v>100</v>
      </c>
      <c r="U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$U17)</f>
        <v>0</v>
      </c>
      <c r="V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$V17)</f>
        <v>100</v>
      </c>
      <c r="W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$W17)</f>
        <v>50</v>
      </c>
      <c r="X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$X17)</f>
        <v>800</v>
      </c>
      <c r="Y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$Y17)</f>
        <v>0</v>
      </c>
      <c r="Z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$Z17)</f>
        <v>0</v>
      </c>
      <c r="AA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$AA17)</f>
        <v>0</v>
      </c>
      <c r="AB1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$AB17)</f>
        <v>0</v>
      </c>
      <c r="AC1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$AC17)</f>
        <v>0</v>
      </c>
      <c r="AD18" s="10"/>
      <c r="AE18" s="129">
        <f>SUMIFS(tbl_transaction[Net_Cash_Change], tbl_transaction[Transaction_Date],tbl_position[[#This Row],[Date]])+IF(tbl_position[[#This Row],[Date]]=$A$5, 100000, $AE17)</f>
        <v>49591.099999999991</v>
      </c>
      <c r="AF18" s="11">
        <f>SUMIFS(tbl_transaction[Net_Debt_Change], tbl_transaction[Transaction_Date],tbl_position[[#This Row],[Date]])+IF(tbl_position[[#This Row],[Date]]=$A$5, 0, $AF17)</f>
        <v>15208.9</v>
      </c>
      <c r="AG18" s="48">
        <f>tbl_position[[#This Row],[Shares_Holding]]+tbl_position[[#This Row],[Cash_Holding]]-tbl_position[[#This Row],[Liabilities_Holding]]</f>
        <v>34382.19999999999</v>
      </c>
    </row>
    <row r="19" spans="1:33" x14ac:dyDescent="0.2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29"/>
      <c r="M19" s="129"/>
      <c r="N19" s="129"/>
      <c r="O19" s="129"/>
      <c r="P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$P18)</f>
        <v>50</v>
      </c>
      <c r="Q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$Q18)</f>
        <v>0</v>
      </c>
      <c r="R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$R18)</f>
        <v>50</v>
      </c>
      <c r="S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$S18)</f>
        <v>0</v>
      </c>
      <c r="T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$T18)</f>
        <v>100</v>
      </c>
      <c r="U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$U18)</f>
        <v>0</v>
      </c>
      <c r="V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$V18)</f>
        <v>100</v>
      </c>
      <c r="W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$W18)</f>
        <v>50</v>
      </c>
      <c r="X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$X18)</f>
        <v>800</v>
      </c>
      <c r="Y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$Y18)</f>
        <v>0</v>
      </c>
      <c r="Z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$Z18)</f>
        <v>0</v>
      </c>
      <c r="AA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$AA18)</f>
        <v>0</v>
      </c>
      <c r="AB1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$AB18)</f>
        <v>0</v>
      </c>
      <c r="AC1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$AC18)</f>
        <v>0</v>
      </c>
      <c r="AD19" s="10"/>
      <c r="AE19" s="129">
        <f>SUMIFS(tbl_transaction[Net_Cash_Change], tbl_transaction[Transaction_Date],tbl_position[[#This Row],[Date]])+IF(tbl_position[[#This Row],[Date]]=$A$5, 100000, $AE18)</f>
        <v>49591.099999999991</v>
      </c>
      <c r="AF19" s="11">
        <f>SUMIFS(tbl_transaction[Net_Debt_Change], tbl_transaction[Transaction_Date],tbl_position[[#This Row],[Date]])+IF(tbl_position[[#This Row],[Date]]=$A$5, 0, $AF18)</f>
        <v>15208.9</v>
      </c>
      <c r="AG19" s="48">
        <f>tbl_position[[#This Row],[Shares_Holding]]+tbl_position[[#This Row],[Cash_Holding]]-tbl_position[[#This Row],[Liabilities_Holding]]</f>
        <v>34382.19999999999</v>
      </c>
    </row>
    <row r="20" spans="1:33" x14ac:dyDescent="0.2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29"/>
      <c r="M20" s="129"/>
      <c r="N20" s="129"/>
      <c r="O20" s="129"/>
      <c r="P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$P19)</f>
        <v>50</v>
      </c>
      <c r="Q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$Q19)</f>
        <v>0</v>
      </c>
      <c r="R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$R19)</f>
        <v>50</v>
      </c>
      <c r="S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$S19)</f>
        <v>0</v>
      </c>
      <c r="T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$T19)</f>
        <v>100</v>
      </c>
      <c r="U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$U19)</f>
        <v>0</v>
      </c>
      <c r="V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$V19)</f>
        <v>100</v>
      </c>
      <c r="W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$W19)</f>
        <v>50</v>
      </c>
      <c r="X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$X19)</f>
        <v>800</v>
      </c>
      <c r="Y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$Y19)</f>
        <v>0</v>
      </c>
      <c r="Z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$Z19)</f>
        <v>0</v>
      </c>
      <c r="AA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$AA19)</f>
        <v>0</v>
      </c>
      <c r="AB2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$AB19)</f>
        <v>0</v>
      </c>
      <c r="AC2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$AC19)</f>
        <v>0</v>
      </c>
      <c r="AD20" s="10"/>
      <c r="AE20" s="129">
        <f>SUMIFS(tbl_transaction[Net_Cash_Change], tbl_transaction[Transaction_Date],tbl_position[[#This Row],[Date]])+IF(tbl_position[[#This Row],[Date]]=$A$5, 100000, $AE19)</f>
        <v>49591.099999999991</v>
      </c>
      <c r="AF20" s="11">
        <f>SUMIFS(tbl_transaction[Net_Debt_Change], tbl_transaction[Transaction_Date],tbl_position[[#This Row],[Date]])+IF(tbl_position[[#This Row],[Date]]=$A$5, 0, $AF19)</f>
        <v>15208.9</v>
      </c>
      <c r="AG20" s="48">
        <f>tbl_position[[#This Row],[Shares_Holding]]+tbl_position[[#This Row],[Cash_Holding]]-tbl_position[[#This Row],[Liabilities_Holding]]</f>
        <v>34382.19999999999</v>
      </c>
    </row>
    <row r="21" spans="1:33" x14ac:dyDescent="0.2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29"/>
      <c r="M21" s="129"/>
      <c r="N21" s="129"/>
      <c r="O21" s="129"/>
      <c r="P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$P20)</f>
        <v>50</v>
      </c>
      <c r="Q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$Q20)</f>
        <v>0</v>
      </c>
      <c r="R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$R20)</f>
        <v>50</v>
      </c>
      <c r="S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$S20)</f>
        <v>0</v>
      </c>
      <c r="T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$T20)</f>
        <v>100</v>
      </c>
      <c r="U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$U20)</f>
        <v>0</v>
      </c>
      <c r="V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$V20)</f>
        <v>100</v>
      </c>
      <c r="W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$W20)</f>
        <v>50</v>
      </c>
      <c r="X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$X20)</f>
        <v>800</v>
      </c>
      <c r="Y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$Y20)</f>
        <v>0</v>
      </c>
      <c r="Z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$Z20)</f>
        <v>0</v>
      </c>
      <c r="AA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$AA20)</f>
        <v>0</v>
      </c>
      <c r="AB2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$AB20)</f>
        <v>0</v>
      </c>
      <c r="AC2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$AC20)</f>
        <v>0</v>
      </c>
      <c r="AD21" s="10"/>
      <c r="AE21" s="129">
        <f>SUMIFS(tbl_transaction[Net_Cash_Change], tbl_transaction[Transaction_Date],tbl_position[[#This Row],[Date]])+IF(tbl_position[[#This Row],[Date]]=$A$5, 100000, $AE20)</f>
        <v>49591.099999999991</v>
      </c>
      <c r="AF21" s="11">
        <f>SUMIFS(tbl_transaction[Net_Debt_Change], tbl_transaction[Transaction_Date],tbl_position[[#This Row],[Date]])+IF(tbl_position[[#This Row],[Date]]=$A$5, 0, $AF20)</f>
        <v>15208.9</v>
      </c>
      <c r="AG21" s="48">
        <f>tbl_position[[#This Row],[Shares_Holding]]+tbl_position[[#This Row],[Cash_Holding]]-tbl_position[[#This Row],[Liabilities_Holding]]</f>
        <v>34382.19999999999</v>
      </c>
    </row>
    <row r="22" spans="1:33" x14ac:dyDescent="0.2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29"/>
      <c r="M22" s="129"/>
      <c r="N22" s="129"/>
      <c r="O22" s="129"/>
      <c r="P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$P21)</f>
        <v>50</v>
      </c>
      <c r="Q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$Q21)</f>
        <v>0</v>
      </c>
      <c r="R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$R21)</f>
        <v>50</v>
      </c>
      <c r="S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$S21)</f>
        <v>0</v>
      </c>
      <c r="T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$T21)</f>
        <v>100</v>
      </c>
      <c r="U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$U21)</f>
        <v>0</v>
      </c>
      <c r="V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$V21)</f>
        <v>100</v>
      </c>
      <c r="W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$W21)</f>
        <v>50</v>
      </c>
      <c r="X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$X21)</f>
        <v>800</v>
      </c>
      <c r="Y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$Y21)</f>
        <v>0</v>
      </c>
      <c r="Z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$Z21)</f>
        <v>0</v>
      </c>
      <c r="AA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$AA21)</f>
        <v>0</v>
      </c>
      <c r="AB2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$AB21)</f>
        <v>0</v>
      </c>
      <c r="AC2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$AC21)</f>
        <v>0</v>
      </c>
      <c r="AD22" s="10"/>
      <c r="AE22" s="129">
        <f>SUMIFS(tbl_transaction[Net_Cash_Change], tbl_transaction[Transaction_Date],tbl_position[[#This Row],[Date]])+IF(tbl_position[[#This Row],[Date]]=$A$5, 100000, $AE21)</f>
        <v>49591.099999999991</v>
      </c>
      <c r="AF22" s="11">
        <f>SUMIFS(tbl_transaction[Net_Debt_Change], tbl_transaction[Transaction_Date],tbl_position[[#This Row],[Date]])+IF(tbl_position[[#This Row],[Date]]=$A$5, 0, $AF21)</f>
        <v>15208.9</v>
      </c>
      <c r="AG22" s="48">
        <f>tbl_position[[#This Row],[Shares_Holding]]+tbl_position[[#This Row],[Cash_Holding]]-tbl_position[[#This Row],[Liabilities_Holding]]</f>
        <v>34382.19999999999</v>
      </c>
    </row>
    <row r="23" spans="1:33" x14ac:dyDescent="0.2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1">
        <f>VLOOKUP(tbl_position[[#This Row],[Date]], tbl_AKRO[], 5, 0)</f>
        <v>28.19</v>
      </c>
      <c r="I23" s="131">
        <f>VLOOKUP(tbl_position[[#This Row],[Date]], tbl_FDX[], 5, 0)</f>
        <v>259.27</v>
      </c>
      <c r="J23" s="131">
        <f>VLOOKUP(tbl_position[[#This Row],[Date]], tbl_NKLA[], 5, 0)</f>
        <v>23.57</v>
      </c>
      <c r="K23" s="131">
        <f>VLOOKUP(tbl_position[[#This Row],[Date]], tbl_SPXS[], 5, 0)</f>
        <v>5.75</v>
      </c>
      <c r="L23" s="127"/>
      <c r="M23" s="127"/>
      <c r="N23" s="127"/>
      <c r="O23" s="127"/>
      <c r="P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$P22)</f>
        <v>50</v>
      </c>
      <c r="Q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$Q22)</f>
        <v>0</v>
      </c>
      <c r="R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$R22)</f>
        <v>50</v>
      </c>
      <c r="S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$S22)</f>
        <v>0</v>
      </c>
      <c r="T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$T22)</f>
        <v>100</v>
      </c>
      <c r="U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$U22)</f>
        <v>0</v>
      </c>
      <c r="V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$V22)</f>
        <v>100</v>
      </c>
      <c r="W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$W22)</f>
        <v>50</v>
      </c>
      <c r="X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$X22)</f>
        <v>800</v>
      </c>
      <c r="Y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$Y22)</f>
        <v>0</v>
      </c>
      <c r="Z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$Z22)</f>
        <v>0</v>
      </c>
      <c r="AA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$AA22)</f>
        <v>0</v>
      </c>
      <c r="AB2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$AB22)</f>
        <v>0</v>
      </c>
      <c r="AC2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$AC22)</f>
        <v>0</v>
      </c>
      <c r="AD23" s="10"/>
      <c r="AE23" s="131">
        <f>SUMIFS(tbl_transaction[Net_Cash_Change], tbl_transaction[Transaction_Date],tbl_position[[#This Row],[Date]])+IF(tbl_position[[#This Row],[Date]]=$A$5, 100000, $AE22)</f>
        <v>49591.099999999991</v>
      </c>
      <c r="AF23" s="11">
        <f>SUMIFS(tbl_transaction[Net_Debt_Change], tbl_transaction[Transaction_Date],tbl_position[[#This Row],[Date]])+IF(tbl_position[[#This Row],[Date]]=$A$5, 0, $AF22)</f>
        <v>15208.9</v>
      </c>
      <c r="AG23" s="48">
        <f>tbl_position[[#This Row],[Shares_Holding]]+tbl_position[[#This Row],[Cash_Holding]]-tbl_position[[#This Row],[Liabilities_Holding]]</f>
        <v>34382.19999999999</v>
      </c>
    </row>
    <row r="24" spans="1:33" x14ac:dyDescent="0.2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1">
        <f>VLOOKUP(tbl_position[[#This Row],[Date]], tbl_AKRO[], 5, 0)</f>
        <v>28.74</v>
      </c>
      <c r="I24" s="131">
        <f>VLOOKUP(tbl_position[[#This Row],[Date]], tbl_FDX[], 5, 0)</f>
        <v>268.26</v>
      </c>
      <c r="J24" s="131">
        <f>VLOOKUP(tbl_position[[#This Row],[Date]], tbl_NKLA[], 5, 0)</f>
        <v>25.72</v>
      </c>
      <c r="K24" s="131">
        <f>VLOOKUP(tbl_position[[#This Row],[Date]], tbl_SPXS[], 5, 0)</f>
        <v>5.44</v>
      </c>
      <c r="L24" s="127">
        <f>VLOOKUP(tbl_position[[#This Row],[Date]], tbl_AMD[], 5, 0)</f>
        <v>86.690002000000007</v>
      </c>
      <c r="M24" s="127"/>
      <c r="N24" s="127"/>
      <c r="O24" s="127"/>
      <c r="P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$P23)</f>
        <v>50</v>
      </c>
      <c r="Q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$Q23)</f>
        <v>0</v>
      </c>
      <c r="R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$R23)</f>
        <v>50</v>
      </c>
      <c r="S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$S23)</f>
        <v>0</v>
      </c>
      <c r="T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$T23)</f>
        <v>100</v>
      </c>
      <c r="U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$U23)</f>
        <v>0</v>
      </c>
      <c r="V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$V23)</f>
        <v>100</v>
      </c>
      <c r="W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$W23)</f>
        <v>50</v>
      </c>
      <c r="X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$X23)</f>
        <v>300</v>
      </c>
      <c r="Y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$Y23)</f>
        <v>0</v>
      </c>
      <c r="Z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$Z23)</f>
        <v>150</v>
      </c>
      <c r="AA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$AA23)</f>
        <v>0</v>
      </c>
      <c r="AB2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$AB23)</f>
        <v>0</v>
      </c>
      <c r="AC2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$AC23)</f>
        <v>0</v>
      </c>
      <c r="AD24" s="10">
        <f ca="1" xml:space="preserve"> SUMPRODUCT(INDIRECT(ADDRESS(ROW(AD24), 2)):INDIRECT(ADDRESS(ROW(AD24), MATCH("Shares_AAPL", pos_header,0)-1)), INDIRECT(ADDRESS(ROW(AD24), MATCH("Shares_AAPL", pos_header,0))): INDIRECT(ADDRESS(ROW(AD24), MATCH("Shares_Holding", pos_header,0)-1)))</f>
        <v>69307.0003</v>
      </c>
      <c r="AE24" s="131">
        <f>SUMIFS(tbl_transaction[Net_Cash_Change], tbl_transaction[Transaction_Date],tbl_position[[#This Row],[Date]])+IF(tbl_position[[#This Row],[Date]]=$A$5, 100000, $AE23)</f>
        <v>36635.599999999991</v>
      </c>
      <c r="AF24" s="11">
        <f>SUMIFS(tbl_transaction[Net_Debt_Change], tbl_transaction[Transaction_Date],tbl_position[[#This Row],[Date]])+IF(tbl_position[[#This Row],[Date]]=$A$5, 0, $AF23)</f>
        <v>2852.8999999999996</v>
      </c>
      <c r="AG24" s="48">
        <f ca="1">tbl_position[[#This Row],[Shares_Holding]]+tbl_position[[#This Row],[Cash_Holding]]-tbl_position[[#This Row],[Liabilities_Holding]]</f>
        <v>103089.7003</v>
      </c>
    </row>
    <row r="25" spans="1:33" x14ac:dyDescent="0.2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1">
        <f>VLOOKUP(tbl_position[[#This Row],[Date]], tbl_AKRO[], 5, 0)</f>
        <v>29.17</v>
      </c>
      <c r="I25" s="131">
        <f>VLOOKUP(tbl_position[[#This Row],[Date]], tbl_FDX[], 5, 0)</f>
        <v>271.06</v>
      </c>
      <c r="J25" s="131">
        <f>VLOOKUP(tbl_position[[#This Row],[Date]], tbl_NKLA[], 5, 0)</f>
        <v>25</v>
      </c>
      <c r="K25" s="131">
        <f>VLOOKUP(tbl_position[[#This Row],[Date]], tbl_SPXS[], 5, 0)</f>
        <v>5.29</v>
      </c>
      <c r="L25" s="127">
        <f>VLOOKUP(tbl_position[[#This Row],[Date]], tbl_AMD[], 5, 0)</f>
        <v>86.510002</v>
      </c>
      <c r="M25" s="127"/>
      <c r="N25" s="127"/>
      <c r="O25" s="127"/>
      <c r="P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$P24)</f>
        <v>50</v>
      </c>
      <c r="Q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$Q24)</f>
        <v>0</v>
      </c>
      <c r="R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$R24)</f>
        <v>50</v>
      </c>
      <c r="S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$S24)</f>
        <v>0</v>
      </c>
      <c r="T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$T24)</f>
        <v>100</v>
      </c>
      <c r="U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$U24)</f>
        <v>0</v>
      </c>
      <c r="V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$V24)</f>
        <v>100</v>
      </c>
      <c r="W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$W24)</f>
        <v>50</v>
      </c>
      <c r="X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$X24)</f>
        <v>300</v>
      </c>
      <c r="Y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$Y24)</f>
        <v>0</v>
      </c>
      <c r="Z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$Z24)</f>
        <v>150</v>
      </c>
      <c r="AA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$AA24)</f>
        <v>0</v>
      </c>
      <c r="AB2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$AB24)</f>
        <v>0</v>
      </c>
      <c r="AC2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$AC24)</f>
        <v>0</v>
      </c>
      <c r="AD25" s="10">
        <f ca="1" xml:space="preserve"> SUMPRODUCT(INDIRECT(ADDRESS(ROW(AD25), 2)):INDIRECT(ADDRESS(ROW(AD25), MATCH("Shares_AAPL", pos_header,0)-1)), INDIRECT(ADDRESS(ROW(AD25), MATCH("Shares_AAPL", pos_header,0))): INDIRECT(ADDRESS(ROW(AD25), MATCH("Shares_Holding", pos_header,0)-1)))</f>
        <v>70070.0003</v>
      </c>
      <c r="AE25" s="131">
        <f>SUMIFS(tbl_transaction[Net_Cash_Change], tbl_transaction[Transaction_Date],tbl_position[[#This Row],[Date]])+IF(tbl_position[[#This Row],[Date]]=$A$5, 100000, $AE24)</f>
        <v>36635.599999999991</v>
      </c>
      <c r="AF25" s="11">
        <f>SUMIFS(tbl_transaction[Net_Debt_Change], tbl_transaction[Transaction_Date],tbl_position[[#This Row],[Date]])+IF(tbl_position[[#This Row],[Date]]=$A$5, 0, $AF24)</f>
        <v>2852.8999999999996</v>
      </c>
      <c r="AG25" s="48">
        <f ca="1">tbl_position[[#This Row],[Shares_Holding]]+tbl_position[[#This Row],[Cash_Holding]]-tbl_position[[#This Row],[Liabilities_Holding]]</f>
        <v>103852.7003</v>
      </c>
    </row>
    <row r="26" spans="1:33" x14ac:dyDescent="0.2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1">
        <f>VLOOKUP(tbl_position[[#This Row],[Date]], tbl_AKRO[], 5, 0)</f>
        <v>28.81</v>
      </c>
      <c r="I26" s="131">
        <f>VLOOKUP(tbl_position[[#This Row],[Date]], tbl_FDX[], 5, 0)</f>
        <v>271.55</v>
      </c>
      <c r="J26" s="131">
        <f>VLOOKUP(tbl_position[[#This Row],[Date]], tbl_NKLA[], 5, 0)</f>
        <v>24.66</v>
      </c>
      <c r="K26" s="131">
        <f>VLOOKUP(tbl_position[[#This Row],[Date]], tbl_SPXS[], 5, 0)</f>
        <v>5.15</v>
      </c>
      <c r="L26" s="127">
        <f>VLOOKUP(tbl_position[[#This Row],[Date]], tbl_AMD[], 5, 0)</f>
        <v>83.099997999999999</v>
      </c>
      <c r="M26" s="127"/>
      <c r="N26" s="127"/>
      <c r="O26" s="127"/>
      <c r="P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$P25)</f>
        <v>50</v>
      </c>
      <c r="Q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$Q25)</f>
        <v>0</v>
      </c>
      <c r="R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$R25)</f>
        <v>50</v>
      </c>
      <c r="S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$S25)</f>
        <v>0</v>
      </c>
      <c r="T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$T25)</f>
        <v>100</v>
      </c>
      <c r="U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$U25)</f>
        <v>0</v>
      </c>
      <c r="V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$V25)</f>
        <v>100</v>
      </c>
      <c r="W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$W25)</f>
        <v>50</v>
      </c>
      <c r="X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$X25)</f>
        <v>0</v>
      </c>
      <c r="Y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$Y25)</f>
        <v>0</v>
      </c>
      <c r="Z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$Z25)</f>
        <v>150</v>
      </c>
      <c r="AA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$AA25)</f>
        <v>0</v>
      </c>
      <c r="AB2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$AB25)</f>
        <v>0</v>
      </c>
      <c r="AC2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$AC25)</f>
        <v>0</v>
      </c>
      <c r="AD26" s="10">
        <f ca="1" xml:space="preserve"> SUMPRODUCT(INDIRECT(ADDRESS(ROW(AD26), 2)):INDIRECT(ADDRESS(ROW(AD26), MATCH("Shares_AAPL", pos_header,0)-1)), INDIRECT(ADDRESS(ROW(AD26), MATCH("Shares_AAPL", pos_header,0))): INDIRECT(ADDRESS(ROW(AD26), MATCH("Shares_Holding", pos_header,0)-1)))</f>
        <v>61846.9997</v>
      </c>
      <c r="AE26" s="131">
        <f>SUMIFS(tbl_transaction[Net_Cash_Change], tbl_transaction[Transaction_Date],tbl_position[[#This Row],[Date]])+IF(tbl_position[[#This Row],[Date]]=$A$5, 100000, $AE25)</f>
        <v>36635.579999999994</v>
      </c>
      <c r="AF26" s="11">
        <f>SUMIFS(tbl_transaction[Net_Debt_Change], tbl_transaction[Transaction_Date],tbl_position[[#This Row],[Date]])+IF(tbl_position[[#This Row],[Date]]=$A$5, 0, $AF25)</f>
        <v>-4542.1000000000004</v>
      </c>
      <c r="AG26" s="48">
        <f ca="1">tbl_position[[#This Row],[Shares_Holding]]+tbl_position[[#This Row],[Cash_Holding]]-tbl_position[[#This Row],[Liabilities_Holding]]</f>
        <v>103024.67970000001</v>
      </c>
    </row>
    <row r="27" spans="1:33" x14ac:dyDescent="0.2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1">
        <f>VLOOKUP(tbl_position[[#This Row],[Date]], tbl_AKRO[], 5, 0)</f>
        <v>28.93</v>
      </c>
      <c r="I27" s="131">
        <f>VLOOKUP(tbl_position[[#This Row],[Date]], tbl_FDX[], 5, 0)</f>
        <v>273.5</v>
      </c>
      <c r="J27" s="131">
        <f>VLOOKUP(tbl_position[[#This Row],[Date]], tbl_NKLA[], 5, 0)</f>
        <v>24.15</v>
      </c>
      <c r="K27" s="131">
        <f>VLOOKUP(tbl_position[[#This Row],[Date]], tbl_SPXS[], 5, 0)</f>
        <v>4.9000000000000004</v>
      </c>
      <c r="L27" s="127">
        <f>VLOOKUP(tbl_position[[#This Row],[Date]], tbl_AMD[], 5, 0)</f>
        <v>84.290001000000004</v>
      </c>
      <c r="M27" s="127">
        <f>VLOOKUP(tbl_position[[#This Row],[Date]], tbl_CVX[], 5, 0)</f>
        <v>74.510002</v>
      </c>
      <c r="N27" s="127"/>
      <c r="O27" s="127"/>
      <c r="P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$P26)</f>
        <v>0</v>
      </c>
      <c r="Q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$Q26)</f>
        <v>0</v>
      </c>
      <c r="R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$R26)</f>
        <v>50</v>
      </c>
      <c r="S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$S26)</f>
        <v>0</v>
      </c>
      <c r="T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$T26)</f>
        <v>100</v>
      </c>
      <c r="U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$U26)</f>
        <v>0</v>
      </c>
      <c r="V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$V26)</f>
        <v>100</v>
      </c>
      <c r="W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$W26)</f>
        <v>50</v>
      </c>
      <c r="X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$X26)</f>
        <v>0</v>
      </c>
      <c r="Y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$Y26)</f>
        <v>0</v>
      </c>
      <c r="Z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$Z26)</f>
        <v>150</v>
      </c>
      <c r="AA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$AA26)</f>
        <v>101</v>
      </c>
      <c r="AB2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$AB26)</f>
        <v>0</v>
      </c>
      <c r="AC2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$AC26)</f>
        <v>0</v>
      </c>
      <c r="AD27" s="10">
        <f ca="1" xml:space="preserve"> SUMPRODUCT(INDIRECT(ADDRESS(ROW(AD27), 2)):INDIRECT(ADDRESS(ROW(AD27), MATCH("Shares_AAPL", pos_header,0)-1)), INDIRECT(ADDRESS(ROW(AD27), MATCH("Shares_AAPL", pos_header,0))): INDIRECT(ADDRESS(ROW(AD27), MATCH("Shares_Holding", pos_header,0)-1)))</f>
        <v>63803.510351999998</v>
      </c>
      <c r="AE27" s="131">
        <f>SUMIFS(tbl_transaction[Net_Cash_Change], tbl_transaction[Transaction_Date],tbl_position[[#This Row],[Date]])+IF(tbl_position[[#This Row],[Date]]=$A$5, 100000, $AE26)</f>
        <v>35279.709999999992</v>
      </c>
      <c r="AF27" s="11">
        <f>SUMIFS(tbl_transaction[Net_Debt_Change], tbl_transaction[Transaction_Date],tbl_position[[#This Row],[Date]])+IF(tbl_position[[#This Row],[Date]]=$A$5, 0, $AF26)</f>
        <v>-4542.1000000000004</v>
      </c>
      <c r="AG27" s="48">
        <f ca="1">tbl_position[[#This Row],[Shares_Holding]]+tbl_position[[#This Row],[Cash_Holding]]-tbl_position[[#This Row],[Liabilities_Holding]]</f>
        <v>103625.320352</v>
      </c>
    </row>
    <row r="28" spans="1:33" x14ac:dyDescent="0.25">
      <c r="A28" s="9">
        <v>44117</v>
      </c>
      <c r="B28" s="10">
        <f>VLOOKUP(tbl_position[[#This Row],[Date]], tbl_AAPL[], 5, 0)</f>
        <v>121.1</v>
      </c>
      <c r="C28" s="127">
        <f>VLOOKUP(tbl_position[[#This Row],[Date]], tbl_RIOT[], 5, 0)</f>
        <v>3.37</v>
      </c>
      <c r="D28" s="10">
        <f>VLOOKUP(tbl_position[[#This Row],[Date]], tbl_HD[], 5, 0)</f>
        <v>290.36</v>
      </c>
      <c r="E28" s="127">
        <f>VLOOKUP(tbl_position[[#This Row],[Date]], tbl_WMT[], 5, 0)</f>
        <v>146.22999999999999</v>
      </c>
      <c r="F28" s="127">
        <f>VLOOKUP(tbl_position[[#This Row],[Date]], tbl_IBM[], 5, 0)</f>
        <v>125.1</v>
      </c>
      <c r="G28" s="127">
        <f>VLOOKUP(tbl_position[[#This Row],[Date]], tbl_ORCL[], 5, 0)</f>
        <v>60.97</v>
      </c>
      <c r="H28" s="131">
        <f>VLOOKUP(tbl_position[[#This Row],[Date]], tbl_AKRO[], 5, 0)</f>
        <v>29.44</v>
      </c>
      <c r="I28" s="131">
        <f>VLOOKUP(tbl_position[[#This Row],[Date]], tbl_FDX[], 5, 0)</f>
        <v>272.24</v>
      </c>
      <c r="J28" s="131">
        <f>VLOOKUP(tbl_position[[#This Row],[Date]], tbl_NKLA[], 5, 0)</f>
        <v>24.23</v>
      </c>
      <c r="K28" s="131">
        <f>VLOOKUP(tbl_position[[#This Row],[Date]], tbl_SPXS[], 5, 0)</f>
        <v>5.01</v>
      </c>
      <c r="L28" s="127">
        <f>VLOOKUP(tbl_position[[#This Row],[Date]], tbl_AMD[], 5, 0)</f>
        <v>85.279999000000004</v>
      </c>
      <c r="M28" s="127">
        <f>VLOOKUP(tbl_position[[#This Row],[Date]], tbl_CVX[], 5, 0)</f>
        <v>73.400002000000001</v>
      </c>
      <c r="N28" s="127">
        <f>VLOOKUP(tbl_position[[#This Row],[Date]], tbl_QCOM[], 5, 0)</f>
        <v>127.459999</v>
      </c>
      <c r="O28" s="127">
        <f>VLOOKUP(tbl_position[[#This Row],[Date]], tbl_F[], 5, 0)</f>
        <v>7.76</v>
      </c>
      <c r="P2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$P27)</f>
        <v>0</v>
      </c>
      <c r="Q2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$Q27)</f>
        <v>0</v>
      </c>
      <c r="R2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$R27)</f>
        <v>50</v>
      </c>
      <c r="S2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$S27)</f>
        <v>0</v>
      </c>
      <c r="T2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$T27)</f>
        <v>100</v>
      </c>
      <c r="U2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$U27)</f>
        <v>0</v>
      </c>
      <c r="V2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$V27)</f>
        <v>100</v>
      </c>
      <c r="W2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$W27)</f>
        <v>50</v>
      </c>
      <c r="X2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$X27)</f>
        <v>0</v>
      </c>
      <c r="Y2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$Y27)</f>
        <v>0</v>
      </c>
      <c r="Z2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$Z27)</f>
        <v>150</v>
      </c>
      <c r="AA2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$AA27)</f>
        <v>101</v>
      </c>
      <c r="AB2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$AB27)</f>
        <v>50</v>
      </c>
      <c r="AC2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$AC27)</f>
        <v>600</v>
      </c>
      <c r="AD28" s="10">
        <f ca="1" xml:space="preserve"> SUMPRODUCT(INDIRECT(ADDRESS(ROW(AD28), 2)):INDIRECT(ADDRESS(ROW(AD28), MATCH("Shares_AAPL", pos_header,0)-1)), INDIRECT(ADDRESS(ROW(AD28), MATCH("Shares_AAPL", pos_header,0))): INDIRECT(ADDRESS(ROW(AD28), MATCH("Shares_Holding", pos_header,0)-1)))</f>
        <v>74818.400001999995</v>
      </c>
      <c r="AE28" s="131">
        <f>SUMIFS(tbl_transaction[Net_Cash_Change], tbl_transaction[Transaction_Date],tbl_position[[#This Row],[Date]])+IF(tbl_position[[#This Row],[Date]]=$A$5, 100000, $AE27)</f>
        <v>24282.709999999992</v>
      </c>
      <c r="AF28" s="11">
        <f>SUMIFS(tbl_transaction[Net_Debt_Change], tbl_transaction[Transaction_Date],tbl_position[[#This Row],[Date]])+IF(tbl_position[[#This Row],[Date]]=$A$5, 0, $AF27)</f>
        <v>-4542.1000000000004</v>
      </c>
      <c r="AG28" s="48">
        <f ca="1">tbl_position[[#This Row],[Shares_Holding]]+tbl_position[[#This Row],[Cash_Holding]]-tbl_position[[#This Row],[Liabilities_Holding]]</f>
        <v>103643.21000199999</v>
      </c>
    </row>
    <row r="29" spans="1:33" x14ac:dyDescent="0.25">
      <c r="A29" s="9">
        <v>44118</v>
      </c>
      <c r="B29" s="10">
        <f>VLOOKUP(tbl_position[[#This Row],[Date]], tbl_AAPL[], 5, 0)</f>
        <v>121.19</v>
      </c>
      <c r="C29" s="127">
        <f>VLOOKUP(tbl_position[[#This Row],[Date]], tbl_RIOT[], 5, 0)</f>
        <v>3.28</v>
      </c>
      <c r="D29" s="10">
        <f>VLOOKUP(tbl_position[[#This Row],[Date]], tbl_HD[], 5, 0)</f>
        <v>287.08999999999997</v>
      </c>
      <c r="E29" s="127">
        <f>VLOOKUP(tbl_position[[#This Row],[Date]], tbl_WMT[], 5, 0)</f>
        <v>143.94</v>
      </c>
      <c r="F29" s="127">
        <f>VLOOKUP(tbl_position[[#This Row],[Date]], tbl_IBM[], 5, 0)</f>
        <v>125.94</v>
      </c>
      <c r="G29" s="127">
        <f>VLOOKUP(tbl_position[[#This Row],[Date]], tbl_ORCL[], 5, 0)</f>
        <v>60.96</v>
      </c>
      <c r="H29" s="131">
        <f>VLOOKUP(tbl_position[[#This Row],[Date]], tbl_AKRO[], 5, 0)</f>
        <v>28.56</v>
      </c>
      <c r="I29" s="131">
        <f>VLOOKUP(tbl_position[[#This Row],[Date]], tbl_FDX[], 5, 0)</f>
        <v>276.24</v>
      </c>
      <c r="J29" s="131">
        <f>VLOOKUP(tbl_position[[#This Row],[Date]], tbl_NKLA[], 5, 0)</f>
        <v>24.11</v>
      </c>
      <c r="K29" s="131">
        <f>VLOOKUP(tbl_position[[#This Row],[Date]], tbl_SPXS[], 5, 0)</f>
        <v>5.09</v>
      </c>
      <c r="L29" s="127">
        <f>VLOOKUP(tbl_position[[#This Row],[Date]], tbl_AMD[], 5, 0)</f>
        <v>84.209998999999996</v>
      </c>
      <c r="M29" s="127">
        <f>VLOOKUP(tbl_position[[#This Row],[Date]], tbl_CVX[], 5, 0)</f>
        <v>72.949996999999996</v>
      </c>
      <c r="N29" s="127">
        <f>VLOOKUP(tbl_position[[#This Row],[Date]], tbl_QCOM[], 5, 0)</f>
        <v>129.88000500000001</v>
      </c>
      <c r="O29" s="127">
        <f>VLOOKUP(tbl_position[[#This Row],[Date]], tbl_F[], 5, 0)</f>
        <v>7.57</v>
      </c>
      <c r="P2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$P28)</f>
        <v>0</v>
      </c>
      <c r="Q2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$Q28)</f>
        <v>0</v>
      </c>
      <c r="R2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$R28)</f>
        <v>50</v>
      </c>
      <c r="S2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$S28)</f>
        <v>0</v>
      </c>
      <c r="T2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$T28)</f>
        <v>100</v>
      </c>
      <c r="U2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$U28)</f>
        <v>0</v>
      </c>
      <c r="V2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$V28)</f>
        <v>100</v>
      </c>
      <c r="W2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$W28)</f>
        <v>50</v>
      </c>
      <c r="X2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$X28)</f>
        <v>0</v>
      </c>
      <c r="Y2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$Y28)</f>
        <v>0</v>
      </c>
      <c r="Z2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$Z28)</f>
        <v>150</v>
      </c>
      <c r="AA2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$AA28)</f>
        <v>101</v>
      </c>
      <c r="AB2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$AB28)</f>
        <v>50</v>
      </c>
      <c r="AC2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$AC28)</f>
        <v>600</v>
      </c>
      <c r="AD29" s="10">
        <f ca="1" xml:space="preserve"> SUMPRODUCT(INDIRECT(ADDRESS(ROW(AD29), 2)):INDIRECT(ADDRESS(ROW(AD29), MATCH("Shares_AAPL", pos_header,0)-1)), INDIRECT(ADDRESS(ROW(AD29), MATCH("Shares_AAPL", pos_header,0))): INDIRECT(ADDRESS(ROW(AD29), MATCH("Shares_Holding", pos_header,0)-1)))</f>
        <v>74651.949796999994</v>
      </c>
      <c r="AE29" s="131">
        <f>SUMIFS(tbl_transaction[Net_Cash_Change], tbl_transaction[Transaction_Date],tbl_position[[#This Row],[Date]])+IF(tbl_position[[#This Row],[Date]]=$A$5, 100000, $AE28)</f>
        <v>24282.709999999992</v>
      </c>
      <c r="AF29" s="11">
        <f>SUMIFS(tbl_transaction[Net_Debt_Change], tbl_transaction[Transaction_Date],tbl_position[[#This Row],[Date]])+IF(tbl_position[[#This Row],[Date]]=$A$5, 0, $AF28)</f>
        <v>-4542.1000000000004</v>
      </c>
      <c r="AG29" s="48">
        <f ca="1">tbl_position[[#This Row],[Shares_Holding]]+tbl_position[[#This Row],[Cash_Holding]]-tbl_position[[#This Row],[Liabilities_Holding]]</f>
        <v>103476.75979699999</v>
      </c>
    </row>
    <row r="30" spans="1:33" x14ac:dyDescent="0.25">
      <c r="A30" s="9">
        <v>44119</v>
      </c>
      <c r="B30" s="10">
        <f>VLOOKUP(tbl_position[[#This Row],[Date]], tbl_AAPL[], 5, 0)</f>
        <v>120.71</v>
      </c>
      <c r="C30" s="127">
        <f>VLOOKUP(tbl_position[[#This Row],[Date]], tbl_RIOT[], 5, 0)</f>
        <v>3.4</v>
      </c>
      <c r="D30" s="10">
        <f>VLOOKUP(tbl_position[[#This Row],[Date]], tbl_HD[], 5, 0)</f>
        <v>287.54000000000002</v>
      </c>
      <c r="E30" s="127">
        <f>VLOOKUP(tbl_position[[#This Row],[Date]], tbl_WMT[], 5, 0)</f>
        <v>144.53</v>
      </c>
      <c r="F30" s="127">
        <f>VLOOKUP(tbl_position[[#This Row],[Date]], tbl_IBM[], 5, 0)</f>
        <v>124.89</v>
      </c>
      <c r="G30" s="127">
        <f>VLOOKUP(tbl_position[[#This Row],[Date]], tbl_ORCL[], 5, 0)</f>
        <v>60.52</v>
      </c>
      <c r="H30" s="131">
        <f>VLOOKUP(tbl_position[[#This Row],[Date]], tbl_AKRO[], 5, 0)</f>
        <v>27.85</v>
      </c>
      <c r="I30" s="131">
        <f>VLOOKUP(tbl_position[[#This Row],[Date]], tbl_FDX[], 5, 0)</f>
        <v>282.11</v>
      </c>
      <c r="J30" s="131">
        <f>VLOOKUP(tbl_position[[#This Row],[Date]], tbl_NKLA[], 5, 0)</f>
        <v>23.3</v>
      </c>
      <c r="K30" s="131">
        <f>VLOOKUP(tbl_position[[#This Row],[Date]], tbl_SPXS[], 5, 0)</f>
        <v>5.12</v>
      </c>
      <c r="L30" s="127">
        <f>VLOOKUP(tbl_position[[#This Row],[Date]], tbl_AMD[], 5, 0)</f>
        <v>83.129997000000003</v>
      </c>
      <c r="M30" s="127">
        <f>VLOOKUP(tbl_position[[#This Row],[Date]], tbl_CVX[], 5, 0)</f>
        <v>73.510002</v>
      </c>
      <c r="N30" s="127">
        <f>VLOOKUP(tbl_position[[#This Row],[Date]], tbl_QCOM[], 5, 0)</f>
        <v>128.58000200000001</v>
      </c>
      <c r="O30" s="127">
        <f>VLOOKUP(tbl_position[[#This Row],[Date]], tbl_F[], 5, 0)</f>
        <v>7.62</v>
      </c>
      <c r="P3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$P29)</f>
        <v>0</v>
      </c>
      <c r="Q3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$Q29)</f>
        <v>0</v>
      </c>
      <c r="R3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$R29)</f>
        <v>50</v>
      </c>
      <c r="S3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$S29)</f>
        <v>0</v>
      </c>
      <c r="T3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$T29)</f>
        <v>100</v>
      </c>
      <c r="U3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$U29)</f>
        <v>0</v>
      </c>
      <c r="V3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$V29)</f>
        <v>100</v>
      </c>
      <c r="W3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$W29)</f>
        <v>50</v>
      </c>
      <c r="X3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$X29)</f>
        <v>0</v>
      </c>
      <c r="Y3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$Y29)</f>
        <v>0</v>
      </c>
      <c r="Z3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$Z29)</f>
        <v>150</v>
      </c>
      <c r="AA3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$AA29)</f>
        <v>101</v>
      </c>
      <c r="AB3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$AB29)</f>
        <v>50</v>
      </c>
      <c r="AC3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$AC29)</f>
        <v>600</v>
      </c>
      <c r="AD30" s="10">
        <f ca="1" xml:space="preserve"> SUMPRODUCT(INDIRECT(ADDRESS(ROW(AD30), 2)):INDIRECT(ADDRESS(ROW(AD30), MATCH("Shares_AAPL", pos_header,0)-1)), INDIRECT(ADDRESS(ROW(AD30), MATCH("Shares_AAPL", pos_header,0))): INDIRECT(ADDRESS(ROW(AD30), MATCH("Shares_Holding", pos_header,0)-1)))</f>
        <v>74651.509852000003</v>
      </c>
      <c r="AE30" s="131">
        <f>SUMIFS(tbl_transaction[Net_Cash_Change], tbl_transaction[Transaction_Date],tbl_position[[#This Row],[Date]])+IF(tbl_position[[#This Row],[Date]]=$A$5, 100000, $AE29)</f>
        <v>24282.709999999992</v>
      </c>
      <c r="AF30" s="11">
        <f>SUMIFS(tbl_transaction[Net_Debt_Change], tbl_transaction[Transaction_Date],tbl_position[[#This Row],[Date]])+IF(tbl_position[[#This Row],[Date]]=$A$5, 0, $AF29)</f>
        <v>-4542.1000000000004</v>
      </c>
      <c r="AG30" s="48">
        <f ca="1">tbl_position[[#This Row],[Shares_Holding]]+tbl_position[[#This Row],[Cash_Holding]]-tbl_position[[#This Row],[Liabilities_Holding]]</f>
        <v>103476.319852</v>
      </c>
    </row>
    <row r="31" spans="1:33" x14ac:dyDescent="0.25">
      <c r="A31" s="9">
        <v>44120</v>
      </c>
      <c r="B31" s="10">
        <f>VLOOKUP(tbl_position[[#This Row],[Date]], tbl_AAPL[], 5, 0)</f>
        <v>119.02</v>
      </c>
      <c r="C31" s="127">
        <f>VLOOKUP(tbl_position[[#This Row],[Date]], tbl_RIOT[], 5, 0)</f>
        <v>3.11</v>
      </c>
      <c r="D31" s="10">
        <f>VLOOKUP(tbl_position[[#This Row],[Date]], tbl_HD[], 5, 0)</f>
        <v>287.66000000000003</v>
      </c>
      <c r="E31" s="127">
        <f>VLOOKUP(tbl_position[[#This Row],[Date]], tbl_WMT[], 5, 0)</f>
        <v>144.71</v>
      </c>
      <c r="F31" s="127">
        <f>VLOOKUP(tbl_position[[#This Row],[Date]], tbl_IBM[], 5, 0)</f>
        <v>125.93</v>
      </c>
      <c r="G31" s="127">
        <f>VLOOKUP(tbl_position[[#This Row],[Date]], tbl_ORCL[], 5, 0)</f>
        <v>60.29</v>
      </c>
      <c r="H31" s="131">
        <f>VLOOKUP(tbl_position[[#This Row],[Date]], tbl_AKRO[], 5, 0)</f>
        <v>28.35</v>
      </c>
      <c r="I31" s="131">
        <f>VLOOKUP(tbl_position[[#This Row],[Date]], tbl_FDX[], 5, 0)</f>
        <v>283.87</v>
      </c>
      <c r="J31" s="131">
        <f>VLOOKUP(tbl_position[[#This Row],[Date]], tbl_NKLA[], 5, 0)</f>
        <v>19.55</v>
      </c>
      <c r="K31" s="131">
        <f>VLOOKUP(tbl_position[[#This Row],[Date]], tbl_SPXS[], 5, 0)</f>
        <v>5.13</v>
      </c>
      <c r="L31" s="127">
        <f>VLOOKUP(tbl_position[[#This Row],[Date]], tbl_AMD[], 5, 0)</f>
        <v>83.169998000000007</v>
      </c>
      <c r="M31" s="127">
        <f>VLOOKUP(tbl_position[[#This Row],[Date]], tbl_CVX[], 5, 0)</f>
        <v>72.889999000000003</v>
      </c>
      <c r="N31" s="127">
        <f>VLOOKUP(tbl_position[[#This Row],[Date]], tbl_QCOM[], 5, 0)</f>
        <v>129.029999</v>
      </c>
      <c r="O31" s="127">
        <f>VLOOKUP(tbl_position[[#This Row],[Date]], tbl_F[], 5, 0)</f>
        <v>7.67</v>
      </c>
      <c r="P3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$P30)</f>
        <v>0</v>
      </c>
      <c r="Q3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$Q30)</f>
        <v>0</v>
      </c>
      <c r="R3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$R30)</f>
        <v>50</v>
      </c>
      <c r="S3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$S30)</f>
        <v>0</v>
      </c>
      <c r="T3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$T30)</f>
        <v>100</v>
      </c>
      <c r="U3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$U30)</f>
        <v>0</v>
      </c>
      <c r="V3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$V30)</f>
        <v>100</v>
      </c>
      <c r="W3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$W30)</f>
        <v>50</v>
      </c>
      <c r="X3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$X30)</f>
        <v>0</v>
      </c>
      <c r="Y3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$Y30)</f>
        <v>0</v>
      </c>
      <c r="Z3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$Z30)</f>
        <v>150</v>
      </c>
      <c r="AA3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$AA30)</f>
        <v>101</v>
      </c>
      <c r="AB3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$AB30)</f>
        <v>50</v>
      </c>
      <c r="AC3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$AC30)</f>
        <v>600</v>
      </c>
      <c r="AD31" s="10">
        <f ca="1" xml:space="preserve"> SUMPRODUCT(INDIRECT(ADDRESS(ROW(AD31), 2)):INDIRECT(ADDRESS(ROW(AD31), MATCH("Shares_AAPL", pos_header,0)-1)), INDIRECT(ADDRESS(ROW(AD31), MATCH("Shares_AAPL", pos_header,0))): INDIRECT(ADDRESS(ROW(AD31), MATCH("Shares_Holding", pos_header,0)-1)))</f>
        <v>74895.389549</v>
      </c>
      <c r="AE31" s="131">
        <f>SUMIFS(tbl_transaction[Net_Cash_Change], tbl_transaction[Transaction_Date],tbl_position[[#This Row],[Date]])+IF(tbl_position[[#This Row],[Date]]=$A$5, 100000, $AE30)</f>
        <v>24282.709999999992</v>
      </c>
      <c r="AF31" s="11">
        <f>SUMIFS(tbl_transaction[Net_Debt_Change], tbl_transaction[Transaction_Date],tbl_position[[#This Row],[Date]])+IF(tbl_position[[#This Row],[Date]]=$A$5, 0, $AF30)</f>
        <v>-4542.1000000000004</v>
      </c>
      <c r="AG31" s="48">
        <f ca="1">tbl_position[[#This Row],[Shares_Holding]]+tbl_position[[#This Row],[Cash_Holding]]-tbl_position[[#This Row],[Liabilities_Holding]]</f>
        <v>103720.199549</v>
      </c>
    </row>
    <row r="32" spans="1:33" x14ac:dyDescent="0.25">
      <c r="A32" s="9">
        <v>44123</v>
      </c>
      <c r="B32" s="10">
        <f>VLOOKUP(tbl_position[[#This Row],[Date]], tbl_AAPL[], 5, 0)</f>
        <v>116.81</v>
      </c>
      <c r="C32" s="127">
        <f>VLOOKUP(tbl_position[[#This Row],[Date]], tbl_RIOT[], 5, 0)</f>
        <v>3.3</v>
      </c>
      <c r="D32" s="10">
        <f>VLOOKUP(tbl_position[[#This Row],[Date]], tbl_HD[], 5, 0)</f>
        <v>284.95999999999998</v>
      </c>
      <c r="E32" s="127">
        <f>VLOOKUP(tbl_position[[#This Row],[Date]], tbl_WMT[], 5, 0)</f>
        <v>143.29</v>
      </c>
      <c r="F32" s="127">
        <f>VLOOKUP(tbl_position[[#This Row],[Date]], tbl_IBM[], 5, 0)</f>
        <v>125.21</v>
      </c>
      <c r="G32" s="127">
        <f>VLOOKUP(tbl_position[[#This Row],[Date]], tbl_ORCL[], 5, 0)</f>
        <v>59.62</v>
      </c>
      <c r="H32" s="131">
        <f>VLOOKUP(tbl_position[[#This Row],[Date]], tbl_AKRO[], 5, 0)</f>
        <v>27.4</v>
      </c>
      <c r="I32" s="131">
        <f>VLOOKUP(tbl_position[[#This Row],[Date]], tbl_FDX[], 5, 0)</f>
        <v>281.97000000000003</v>
      </c>
      <c r="J32" s="131">
        <f>VLOOKUP(tbl_position[[#This Row],[Date]], tbl_NKLA[], 5, 0)</f>
        <v>20.46</v>
      </c>
      <c r="K32" s="131">
        <f>VLOOKUP(tbl_position[[#This Row],[Date]], tbl_SPXS[], 5, 0)</f>
        <v>5.36</v>
      </c>
      <c r="L32" s="127">
        <f>VLOOKUP(tbl_position[[#This Row],[Date]], tbl_AMD[], 5, 0)</f>
        <v>82</v>
      </c>
      <c r="M32" s="127">
        <f>VLOOKUP(tbl_position[[#This Row],[Date]], tbl_CVX[], 5, 0)</f>
        <v>71.279999000000004</v>
      </c>
      <c r="N32" s="127">
        <f>VLOOKUP(tbl_position[[#This Row],[Date]], tbl_QCOM[], 5, 0)</f>
        <v>128.41999799999999</v>
      </c>
      <c r="O32" s="127">
        <f>VLOOKUP(tbl_position[[#This Row],[Date]], tbl_F[], 5, 0)</f>
        <v>7.59</v>
      </c>
      <c r="P3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$P31)</f>
        <v>0</v>
      </c>
      <c r="Q3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$Q31)</f>
        <v>0</v>
      </c>
      <c r="R3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$R31)</f>
        <v>50</v>
      </c>
      <c r="S3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$S31)</f>
        <v>0</v>
      </c>
      <c r="T3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$T31)</f>
        <v>100</v>
      </c>
      <c r="U3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$U31)</f>
        <v>0</v>
      </c>
      <c r="V3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$V31)</f>
        <v>0</v>
      </c>
      <c r="W3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$W31)</f>
        <v>50</v>
      </c>
      <c r="X3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$X31)</f>
        <v>0</v>
      </c>
      <c r="Y3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$Y31)</f>
        <v>0</v>
      </c>
      <c r="Z3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$Z31)</f>
        <v>150</v>
      </c>
      <c r="AA3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$AA31)</f>
        <v>101</v>
      </c>
      <c r="AB3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$AB31)</f>
        <v>50</v>
      </c>
      <c r="AC3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$AC31)</f>
        <v>600</v>
      </c>
      <c r="AD32" s="10">
        <f ca="1" xml:space="preserve"> SUMPRODUCT(INDIRECT(ADDRESS(ROW(AD32), 2)):INDIRECT(ADDRESS(ROW(AD32), MATCH("Shares_AAPL", pos_header,0)-1)), INDIRECT(ADDRESS(ROW(AD32), MATCH("Shares_AAPL", pos_header,0))): INDIRECT(ADDRESS(ROW(AD32), MATCH("Shares_Holding", pos_header,0)-1)))</f>
        <v>71341.779798999996</v>
      </c>
      <c r="AE32" s="131">
        <f>SUMIFS(tbl_transaction[Net_Cash_Change], tbl_transaction[Transaction_Date],tbl_position[[#This Row],[Date]])+IF(tbl_position[[#This Row],[Date]]=$A$5, 100000, $AE31)</f>
        <v>26991.709999999992</v>
      </c>
      <c r="AF32" s="11">
        <f>SUMIFS(tbl_transaction[Net_Debt_Change], tbl_transaction[Transaction_Date],tbl_position[[#This Row],[Date]])+IF(tbl_position[[#This Row],[Date]]=$A$5, 0, $AF31)</f>
        <v>-4542.1000000000004</v>
      </c>
      <c r="AG32" s="48">
        <f ca="1">tbl_position[[#This Row],[Shares_Holding]]+tbl_position[[#This Row],[Cash_Holding]]-tbl_position[[#This Row],[Liabilities_Holding]]</f>
        <v>102875.58979899999</v>
      </c>
    </row>
    <row r="33" spans="1:31" x14ac:dyDescent="0.25">
      <c r="A33" t="s">
        <v>162</v>
      </c>
      <c r="B33">
        <f>SUBTOTAL(103,tbl_position[Price_AAPL])</f>
        <v>28</v>
      </c>
      <c r="D33" s="46"/>
      <c r="AE33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8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2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2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2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2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2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2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2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2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2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2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2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2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2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2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2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2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25">
      <c r="A50" s="8">
        <v>44117</v>
      </c>
      <c r="B50" s="48">
        <v>285.7</v>
      </c>
      <c r="C50" s="48">
        <v>290.77</v>
      </c>
      <c r="D50" s="48">
        <v>285.7</v>
      </c>
      <c r="E50" s="48">
        <v>290.36</v>
      </c>
      <c r="F50" s="48">
        <v>290.36</v>
      </c>
      <c r="G50">
        <v>2699900</v>
      </c>
      <c r="H50" s="10">
        <f>IF(tbl_HD[[#This Row],[Date]]=$A$5, $F50, EMA_Beta*$H49 + (1-EMA_Beta)*$F50)</f>
        <v>280.38487374066978</v>
      </c>
      <c r="I50" s="46">
        <f ca="1">IF(tbl_HD[[#This Row],[RS]]= "", "", 100-(100/(1+tbl_HD[[#This Row],[RS]])))</f>
        <v>81.840064188285709</v>
      </c>
      <c r="J50" s="10">
        <f ca="1">IF(ROW($N50)-4&lt;BB_Periods, "", AVERAGE(INDIRECT(ADDRESS(ROW($F50)-RSI_Periods +1, MATCH("Adj Close", Price_Header,0))): INDIRECT(ADDRESS(ROW($F50),MATCH("Adj Close", Price_Header,0)))))</f>
        <v>278.74285714285713</v>
      </c>
      <c r="K50" s="127">
        <f ca="1">IF(tbl_HD[[#This Row],[BB_Mean]]="", "", tbl_HD[[#This Row],[BB_Mean]]+(BB_Width*tbl_HD[[#This Row],[BB_Stdev]]))</f>
        <v>293.21980843383409</v>
      </c>
      <c r="L50" s="127">
        <f ca="1">IF(tbl_HD[[#This Row],[BB_Mean]]="", "", tbl_HD[[#This Row],[BB_Mean]]-(BB_Width*tbl_HD[[#This Row],[BB_Stdev]]))</f>
        <v>264.26590585188018</v>
      </c>
      <c r="M50" s="46">
        <f>IF(ROW(tbl_HD[[#This Row],[Adj Close]])=5, 0, $F50-$F49)</f>
        <v>3.4499999999999886</v>
      </c>
      <c r="N50" s="46">
        <f>MAX(tbl_HD[[#This Row],[Move]],0)</f>
        <v>3.4499999999999886</v>
      </c>
      <c r="O50" s="46">
        <f>MAX(-tbl_HD[[#This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2.1857142857142833</v>
      </c>
      <c r="Q50" s="46">
        <f ca="1">IF(ROW($O50)-5&lt;RSI_Periods, "", AVERAGE(INDIRECT(ADDRESS(ROW($O50)-RSI_Periods +1, MATCH("Downmove", Price_Header,0))): INDIRECT(ADDRESS(ROW($O50),MATCH("Downmove", Price_Header,0)))))</f>
        <v>0.48499999999999738</v>
      </c>
      <c r="R50" s="46">
        <f ca="1">IF(tbl_HD[[#This Row],[Avg_Upmove]]="", "", tbl_HD[[#This Row],[Avg_Upmove]]/tbl_HD[[#This Row],[Avg_Downmove]])</f>
        <v>4.5066273932253509</v>
      </c>
      <c r="S50" s="10">
        <f ca="1">IF(ROW($N50)-4&lt;BB_Periods, "", _xlfn.STDEV.S(INDIRECT(ADDRESS(ROW($F50)-RSI_Periods +1, MATCH("Adj Close", Price_Header,0))): INDIRECT(ADDRESS(ROW($F50),MATCH("Adj Close", Price_Header,0)))))</f>
        <v>7.2384756454884718</v>
      </c>
    </row>
    <row r="51" spans="1:19" x14ac:dyDescent="0.25">
      <c r="A51" s="8">
        <v>44118</v>
      </c>
      <c r="B51" s="48">
        <v>289.51</v>
      </c>
      <c r="C51" s="48">
        <v>290.3</v>
      </c>
      <c r="D51" s="48">
        <v>285.14999999999998</v>
      </c>
      <c r="E51" s="48">
        <v>287.08999999999997</v>
      </c>
      <c r="F51" s="48">
        <v>287.08999999999997</v>
      </c>
      <c r="G51">
        <v>2221000</v>
      </c>
      <c r="H51" s="10">
        <f>IF(tbl_HD[[#This Row],[Date]]=$A$5, $F51, EMA_Beta*$H50 + (1-EMA_Beta)*$F51)</f>
        <v>281.05538636660282</v>
      </c>
      <c r="I51" s="46">
        <f ca="1">IF(tbl_HD[[#This Row],[RS]]= "", "", 100-(100/(1+tbl_HD[[#This Row],[RS]])))</f>
        <v>76.865109269027897</v>
      </c>
      <c r="J51" s="10">
        <f ca="1">IF(ROW($N51)-4&lt;BB_Periods, "", AVERAGE(INDIRECT(ADDRESS(ROW($F51)-RSI_Periods +1, MATCH("Adj Close", Price_Header,0))): INDIRECT(ADDRESS(ROW($F51),MATCH("Adj Close", Price_Header,0)))))</f>
        <v>280.27071428571429</v>
      </c>
      <c r="K51" s="127">
        <f ca="1">IF(tbl_HD[[#This Row],[BB_Mean]]="", "", tbl_HD[[#This Row],[BB_Mean]]+(BB_Width*tbl_HD[[#This Row],[BB_Stdev]]))</f>
        <v>293.25614627529569</v>
      </c>
      <c r="L51" s="127">
        <f ca="1">IF(tbl_HD[[#This Row],[BB_Mean]]="", "", tbl_HD[[#This Row],[BB_Mean]]-(BB_Width*tbl_HD[[#This Row],[BB_Stdev]]))</f>
        <v>267.28528229613289</v>
      </c>
      <c r="M51" s="46">
        <f>IF(ROW(tbl_HD[[#This Row],[Adj Close]])=5, 0, $F51-$F50)</f>
        <v>-3.2700000000000387</v>
      </c>
      <c r="N51" s="46">
        <f>MAX(tbl_HD[[#This Row],[Move]],0)</f>
        <v>0</v>
      </c>
      <c r="O51" s="46">
        <f>MAX(-tbl_HD[[#This Row],[Move]],0)</f>
        <v>3.2700000000000387</v>
      </c>
      <c r="P51" s="46">
        <f ca="1">IF(ROW($N51)-5&lt;RSI_Periods, "", AVERAGE(INDIRECT(ADDRESS(ROW($N51)-RSI_Periods +1, MATCH("Upmove", Price_Header,0))): INDIRECT(ADDRESS(ROW($N51),MATCH("Upmove", Price_Header,0)))))</f>
        <v>2.1857142857142833</v>
      </c>
      <c r="Q51" s="46">
        <f ca="1">IF(ROW($O51)-5&lt;RSI_Periods, "", AVERAGE(INDIRECT(ADDRESS(ROW($O51)-RSI_Periods +1, MATCH("Downmove", Price_Header,0))): INDIRECT(ADDRESS(ROW($O51),MATCH("Downmove", Price_Header,0)))))</f>
        <v>0.65785714285714136</v>
      </c>
      <c r="R51" s="46">
        <f ca="1">IF(tbl_HD[[#This Row],[Avg_Upmove]]="", "", tbl_HD[[#This Row],[Avg_Upmove]]/tbl_HD[[#This Row],[Avg_Downmove]])</f>
        <v>3.322475570032577</v>
      </c>
      <c r="S51" s="10">
        <f ca="1">IF(ROW($N51)-4&lt;BB_Periods, "", _xlfn.STDEV.S(INDIRECT(ADDRESS(ROW($F51)-RSI_Periods +1, MATCH("Adj Close", Price_Header,0))): INDIRECT(ADDRESS(ROW($F51),MATCH("Adj Close", Price_Header,0)))))</f>
        <v>6.4927159947907009</v>
      </c>
    </row>
    <row r="52" spans="1:19" x14ac:dyDescent="0.25">
      <c r="A52" s="8">
        <v>44119</v>
      </c>
      <c r="B52" s="48">
        <v>284.12</v>
      </c>
      <c r="C52" s="48">
        <v>290.25</v>
      </c>
      <c r="D52" s="48">
        <v>283.12</v>
      </c>
      <c r="E52" s="48">
        <v>287.54000000000002</v>
      </c>
      <c r="F52" s="48">
        <v>287.54000000000002</v>
      </c>
      <c r="G52">
        <v>2699400</v>
      </c>
      <c r="H52" s="10">
        <f>IF(tbl_HD[[#This Row],[Date]]=$A$5, $F52, EMA_Beta*$H51 + (1-EMA_Beta)*$F52)</f>
        <v>281.70384772994254</v>
      </c>
      <c r="I52" s="46">
        <f ca="1">IF(tbl_HD[[#This Row],[RS]]= "", "", 100-(100/(1+tbl_HD[[#This Row],[RS]])))</f>
        <v>75.380914194065781</v>
      </c>
      <c r="J52" s="10">
        <f ca="1">IF(ROW($N52)-4&lt;BB_Periods, "", AVERAGE(INDIRECT(ADDRESS(ROW($F52)-RSI_Periods +1, MATCH("Adj Close", Price_Header,0))): INDIRECT(ADDRESS(ROW($F52),MATCH("Adj Close", Price_Header,0)))))</f>
        <v>281.62714285714287</v>
      </c>
      <c r="K52" s="127">
        <f ca="1">IF(tbl_HD[[#This Row],[BB_Mean]]="", "", tbl_HD[[#This Row],[BB_Mean]]+(BB_Width*tbl_HD[[#This Row],[BB_Stdev]]))</f>
        <v>293.23255917505617</v>
      </c>
      <c r="L52" s="127">
        <f ca="1">IF(tbl_HD[[#This Row],[BB_Mean]]="", "", tbl_HD[[#This Row],[BB_Mean]]-(BB_Width*tbl_HD[[#This Row],[BB_Stdev]]))</f>
        <v>270.02172653922958</v>
      </c>
      <c r="M52" s="46">
        <f>IF(ROW(tbl_HD[[#This Row],[Adj Close]])=5, 0, $F52-$F51)</f>
        <v>0.45000000000004547</v>
      </c>
      <c r="N52" s="46">
        <f>MAX(tbl_HD[[#This Row],[Move]],0)</f>
        <v>0.45000000000004547</v>
      </c>
      <c r="O52" s="46">
        <f>MAX(-tbl_HD[[#This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2.0142857142857133</v>
      </c>
      <c r="Q52" s="46">
        <f ca="1">IF(ROW($O52)-5&lt;RSI_Periods, "", AVERAGE(INDIRECT(ADDRESS(ROW($O52)-RSI_Periods +1, MATCH("Downmove", Price_Header,0))): INDIRECT(ADDRESS(ROW($O52),MATCH("Downmove", Price_Header,0)))))</f>
        <v>0.65785714285714136</v>
      </c>
      <c r="R52" s="46">
        <f ca="1">IF(tbl_HD[[#This Row],[Avg_Upmove]]="", "", tbl_HD[[#This Row],[Avg_Upmove]]/tbl_HD[[#This Row],[Avg_Downmove]])</f>
        <v>3.0618892508143376</v>
      </c>
      <c r="S52" s="10">
        <f ca="1">IF(ROW($N52)-4&lt;BB_Periods, "", _xlfn.STDEV.S(INDIRECT(ADDRESS(ROW($F52)-RSI_Periods +1, MATCH("Adj Close", Price_Header,0))): INDIRECT(ADDRESS(ROW($F52),MATCH("Adj Close", Price_Header,0)))))</f>
        <v>5.8027081589566443</v>
      </c>
    </row>
    <row r="53" spans="1:19" x14ac:dyDescent="0.25">
      <c r="A53" s="8">
        <v>44120</v>
      </c>
      <c r="B53" s="48">
        <v>288.25</v>
      </c>
      <c r="C53" s="48">
        <v>292.64999999999998</v>
      </c>
      <c r="D53" s="48">
        <v>287.25</v>
      </c>
      <c r="E53" s="48">
        <v>287.66000000000003</v>
      </c>
      <c r="F53" s="48">
        <v>287.66000000000003</v>
      </c>
      <c r="G53">
        <v>3108600</v>
      </c>
      <c r="H53" s="10">
        <f>IF(tbl_HD[[#This Row],[Date]]=$A$5, $F53, EMA_Beta*$H52 + (1-EMA_Beta)*$F53)</f>
        <v>282.29946295694828</v>
      </c>
      <c r="I53" s="46">
        <f ca="1">IF(tbl_HD[[#This Row],[RS]]= "", "", 100-(100/(1+tbl_HD[[#This Row],[RS]])))</f>
        <v>72.711111111111165</v>
      </c>
      <c r="J53" s="10">
        <f ca="1">IF(ROW($N53)-4&lt;BB_Periods, "", AVERAGE(INDIRECT(ADDRESS(ROW($F53)-RSI_Periods +1, MATCH("Adj Close", Price_Header,0))): INDIRECT(ADDRESS(ROW($F53),MATCH("Adj Close", Price_Header,0)))))</f>
        <v>282.72214285714284</v>
      </c>
      <c r="K53" s="127">
        <f ca="1">IF(tbl_HD[[#This Row],[BB_Mean]]="", "", tbl_HD[[#This Row],[BB_Mean]]+(BB_Width*tbl_HD[[#This Row],[BB_Stdev]]))</f>
        <v>293.40499231444926</v>
      </c>
      <c r="L53" s="127">
        <f ca="1">IF(tbl_HD[[#This Row],[BB_Mean]]="", "", tbl_HD[[#This Row],[BB_Mean]]-(BB_Width*tbl_HD[[#This Row],[BB_Stdev]]))</f>
        <v>272.03929339983642</v>
      </c>
      <c r="M53" s="46">
        <f>IF(ROW(tbl_HD[[#This Row],[Adj Close]])=5, 0, $F53-$F52)</f>
        <v>0.12000000000000455</v>
      </c>
      <c r="N53" s="46">
        <f>MAX(tbl_HD[[#This Row],[Move]],0)</f>
        <v>0.12000000000000455</v>
      </c>
      <c r="O53" s="46">
        <f>MAX(-tbl_HD[[#This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1.7528571428571442</v>
      </c>
      <c r="Q53" s="46">
        <f ca="1">IF(ROW($O53)-5&lt;RSI_Periods, "", AVERAGE(INDIRECT(ADDRESS(ROW($O53)-RSI_Periods +1, MATCH("Downmove", Price_Header,0))): INDIRECT(ADDRESS(ROW($O53),MATCH("Downmove", Price_Header,0)))))</f>
        <v>0.65785714285714136</v>
      </c>
      <c r="R53" s="46">
        <f ca="1">IF(tbl_HD[[#This Row],[Avg_Upmove]]="", "", tbl_HD[[#This Row],[Avg_Upmove]]/tbl_HD[[#This Row],[Avg_Downmove]])</f>
        <v>2.6644951140065229</v>
      </c>
      <c r="S53" s="10">
        <f ca="1">IF(ROW($N53)-4&lt;BB_Periods, "", _xlfn.STDEV.S(INDIRECT(ADDRESS(ROW($F53)-RSI_Periods +1, MATCH("Adj Close", Price_Header,0))): INDIRECT(ADDRESS(ROW($F53),MATCH("Adj Close", Price_Header,0)))))</f>
        <v>5.3414247286532222</v>
      </c>
    </row>
    <row r="54" spans="1:19" x14ac:dyDescent="0.25">
      <c r="A54" s="8">
        <v>44123</v>
      </c>
      <c r="B54" s="48">
        <v>289.76</v>
      </c>
      <c r="C54" s="48">
        <v>290.11</v>
      </c>
      <c r="D54" s="48">
        <v>283.91000000000003</v>
      </c>
      <c r="E54" s="48">
        <v>284.95999999999998</v>
      </c>
      <c r="F54" s="48">
        <v>284.95999999999998</v>
      </c>
      <c r="G54">
        <v>1437777</v>
      </c>
      <c r="H54" s="10">
        <f>IF(tbl_HD[[#This Row],[Date]]=$A$5, $F54, EMA_Beta*$H53 + (1-EMA_Beta)*$F54)</f>
        <v>282.56551666125347</v>
      </c>
      <c r="I54" s="46">
        <f ca="1">IF(tbl_HD[[#This Row],[RS]]= "", "", 100-(100/(1+tbl_HD[[#This Row],[RS]])))</f>
        <v>67.733922163952442</v>
      </c>
      <c r="J54" s="10">
        <f ca="1">IF(ROW($N54)-4&lt;BB_Periods, "", AVERAGE(INDIRECT(ADDRESS(ROW($F54)-RSI_Periods +1, MATCH("Adj Close", Price_Header,0))): INDIRECT(ADDRESS(ROW($F54),MATCH("Adj Close", Price_Header,0)))))</f>
        <v>283.64</v>
      </c>
      <c r="K54" s="127">
        <f ca="1">IF(tbl_HD[[#This Row],[BB_Mean]]="", "", tbl_HD[[#This Row],[BB_Mean]]+(BB_Width*tbl_HD[[#This Row],[BB_Stdev]]))</f>
        <v>292.43679312197173</v>
      </c>
      <c r="L54" s="127">
        <f ca="1">IF(tbl_HD[[#This Row],[BB_Mean]]="", "", tbl_HD[[#This Row],[BB_Mean]]-(BB_Width*tbl_HD[[#This Row],[BB_Stdev]]))</f>
        <v>274.84320687802824</v>
      </c>
      <c r="M54" s="46">
        <f>IF(ROW(tbl_HD[[#This Row],[Adj Close]])=5, 0, $F54-$F53)</f>
        <v>-2.7000000000000455</v>
      </c>
      <c r="N54" s="46">
        <f>MAX(tbl_HD[[#This Row],[Move]],0)</f>
        <v>0</v>
      </c>
      <c r="O54" s="46">
        <f>MAX(-tbl_HD[[#This Row],[Move]],0)</f>
        <v>2.7000000000000455</v>
      </c>
      <c r="P54" s="46">
        <f ca="1">IF(ROW($N54)-5&lt;RSI_Periods, "", AVERAGE(INDIRECT(ADDRESS(ROW($N54)-RSI_Periods +1, MATCH("Upmove", Price_Header,0))): INDIRECT(ADDRESS(ROW($N54),MATCH("Upmove", Price_Header,0)))))</f>
        <v>1.7528571428571442</v>
      </c>
      <c r="Q54" s="46">
        <f ca="1">IF(ROW($O54)-5&lt;RSI_Periods, "", AVERAGE(INDIRECT(ADDRESS(ROW($O54)-RSI_Periods +1, MATCH("Downmove", Price_Header,0))): INDIRECT(ADDRESS(ROW($O54),MATCH("Downmove", Price_Header,0)))))</f>
        <v>0.83500000000000385</v>
      </c>
      <c r="R54" s="46">
        <f ca="1">IF(tbl_HD[[#This Row],[Avg_Upmove]]="", "", tbl_HD[[#This Row],[Avg_Upmove]]/tbl_HD[[#This Row],[Avg_Downmove]])</f>
        <v>2.0992301112061509</v>
      </c>
      <c r="S54" s="10">
        <f ca="1">IF(ROW($N54)-4&lt;BB_Periods, "", _xlfn.STDEV.S(INDIRECT(ADDRESS(ROW($F54)-RSI_Periods +1, MATCH("Adj Close", Price_Header,0))): INDIRECT(ADDRESS(ROW($F54),MATCH("Adj Close", Price_Header,0)))))</f>
        <v>4.3983965609858693</v>
      </c>
    </row>
    <row r="55" spans="1:19" x14ac:dyDescent="0.25">
      <c r="A55" t="s">
        <v>162</v>
      </c>
      <c r="H55" s="61"/>
      <c r="J55" s="61"/>
      <c r="K55" s="61"/>
      <c r="L55" s="61"/>
      <c r="S55" s="61">
        <f ca="1">SUBTOTAL(103,tbl_HD[BB_Stdev])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35" workbookViewId="0">
      <selection activeCell="C55" sqref="C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2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2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2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2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2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2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2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2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2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2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2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2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113.16</v>
      </c>
      <c r="G45">
        <v>161498200</v>
      </c>
      <c r="H45" s="127">
        <f>IF(tbl_AAPL[[#This Row],[Date]]=$A$5, $F45, EMA_Beta*$H44 + (1-EMA_Beta)*$F45)</f>
        <v>114.26044100191667</v>
      </c>
      <c r="I45" s="50">
        <f ca="1">IF(tbl_AAPL[[#This Row],[RS]]= "", "", 100-(100/(1+tbl_AAPL[[#This Row],[RS]])))</f>
        <v>51.393779544826472</v>
      </c>
      <c r="J45" s="127">
        <f ca="1">IF(ROW($N45)-4&lt;BB_Periods, "", AVERAGE(INDIRECT(ADDRESS(ROW($F45)-RSI_Periods +1, MATCH("Adj Close", Price_Header,0))): INDIRECT(ADDRESS(ROW($F45),MATCH("Adj Close", Price_Header,0)))))</f>
        <v>112.21571400000002</v>
      </c>
      <c r="K45" s="127">
        <f ca="1">IF(tbl_AAPL[[#This Row],[BB_Mean]]="", "", tbl_AAPL[[#This Row],[BB_Mean]]+(BB_Width*tbl_AAPL[[#This Row],[BB_Stdev]]))</f>
        <v>118.86886496807226</v>
      </c>
      <c r="L45" s="127">
        <f ca="1">IF(tbl_AAPL[[#This Row],[BB_Mean]]="", "", tbl_AAPL[[#This Row],[BB_Mean]]-(BB_Width*tbl_AAPL[[#This Row],[BB_Stdev]]))</f>
        <v>105.56256303192778</v>
      </c>
      <c r="M45" s="50">
        <f>IF(ROW(tbl_AAPL[[#This Row],[Adj Close]])=5, 0, $F45-$F44)</f>
        <v>-3.3400000000000034</v>
      </c>
      <c r="N45" s="50">
        <f>MAX(tbl_AAPL[[#This Row],[Move]],0)</f>
        <v>0</v>
      </c>
      <c r="O45" s="50">
        <f>MAX(-tbl_AAPL[[#This Row],[Move]],0)</f>
        <v>3.3400000000000034</v>
      </c>
      <c r="P45" s="50">
        <f ca="1">IF(ROW($N45)-5&lt;RSI_Periods, "", AVERAGE(INDIRECT(ADDRESS(ROW($N45)-RSI_Periods +1, MATCH("Upmove", Price_Header,0))): INDIRECT(ADDRESS(ROW($N45),MATCH("Upmove", Price_Header,0)))))</f>
        <v>1.3564285714285711</v>
      </c>
      <c r="Q45" s="50">
        <f ca="1">IF(ROW($O45)-5&lt;RSI_Periods, "", AVERAGE(INDIRECT(ADDRESS(ROW($O45)-RSI_Periods +1, MATCH("Downmove", Price_Header,0))): INDIRECT(ADDRESS(ROW($O45),MATCH("Downmove", Price_Header,0)))))</f>
        <v>1.2828569285714286</v>
      </c>
      <c r="R45" s="50">
        <f ca="1">IF(tbl_AAPL[[#This Row],[Avg_Upmove]]="", "", tbl_AAPL[[#This Row],[Avg_Upmove]]/tbl_AAPL[[#This Row],[Avg_Downmove]])</f>
        <v>1.0573498425417329</v>
      </c>
      <c r="S45" s="50">
        <f ca="1">IF(ROW($N45)-4&lt;BB_Periods, "", _xlfn.STDEV.S(INDIRECT(ADDRESS(ROW($F45)-RSI_Periods +1, MATCH("Adj Close", Price_Header,0))): INDIRECT(ADDRESS(ROW($F45),MATCH("Adj Close", Price_Header,0)))))</f>
        <v>3.3265754840361206</v>
      </c>
    </row>
    <row r="46" spans="1:19" x14ac:dyDescent="0.2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115.08</v>
      </c>
      <c r="G46">
        <v>96849000</v>
      </c>
      <c r="H46" s="127">
        <f>IF(tbl_AAPL[[#This Row],[Date]]=$A$5, $F46, EMA_Beta*$H45 + (1-EMA_Beta)*$F46)</f>
        <v>114.34239690172501</v>
      </c>
      <c r="I46" s="50">
        <f ca="1">IF(tbl_AAPL[[#This Row],[RS]]= "", "", 100-(100/(1+tbl_AAPL[[#This Row],[RS]])))</f>
        <v>56.391591843753169</v>
      </c>
      <c r="J46" s="127">
        <f ca="1">IF(ROW($N46)-4&lt;BB_Periods, "", AVERAGE(INDIRECT(ADDRESS(ROW($F46)-RSI_Periods +1, MATCH("Adj Close", Price_Header,0))): INDIRECT(ADDRESS(ROW($F46),MATCH("Adj Close", Price_Header,0)))))</f>
        <v>112.55428571428571</v>
      </c>
      <c r="K46" s="127">
        <f ca="1">IF(tbl_AAPL[[#This Row],[BB_Mean]]="", "", tbl_AAPL[[#This Row],[BB_Mean]]+(BB_Width*tbl_AAPL[[#This Row],[BB_Stdev]]))</f>
        <v>119.27830335159253</v>
      </c>
      <c r="L46" s="127">
        <f ca="1">IF(tbl_AAPL[[#This Row],[BB_Mean]]="", "", tbl_AAPL[[#This Row],[BB_Mean]]-(BB_Width*tbl_AAPL[[#This Row],[BB_Stdev]]))</f>
        <v>105.8302680769789</v>
      </c>
      <c r="M46" s="50">
        <f>IF(ROW(tbl_AAPL[[#This Row],[Adj Close]])=5, 0, $F46-$F45)</f>
        <v>1.9200000000000017</v>
      </c>
      <c r="N46" s="50">
        <f>MAX(tbl_AAPL[[#This Row],[Move]],0)</f>
        <v>1.9200000000000017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1.4935714285714283</v>
      </c>
      <c r="Q46" s="50">
        <f ca="1">IF(ROW($O46)-5&lt;RSI_Periods, "", AVERAGE(INDIRECT(ADDRESS(ROW($O46)-RSI_Periods +1, MATCH("Downmove", Price_Header,0))): INDIRECT(ADDRESS(ROW($O46),MATCH("Downmove", Price_Header,0)))))</f>
        <v>1.154999714285714</v>
      </c>
      <c r="R46" s="50">
        <f ca="1">IF(tbl_AAPL[[#This Row],[Avg_Upmove]]="", "", tbl_AAPL[[#This Row],[Avg_Upmove]]/tbl_AAPL[[#This Row],[Avg_Downmove]])</f>
        <v>1.2931357558777381</v>
      </c>
      <c r="S46" s="50">
        <f ca="1">IF(ROW($N46)-4&lt;BB_Periods, "", _xlfn.STDEV.S(INDIRECT(ADDRESS(ROW($F46)-RSI_Periods +1, MATCH("Adj Close", Price_Header,0))): INDIRECT(ADDRESS(ROW($F46),MATCH("Adj Close", Price_Header,0)))))</f>
        <v>3.3620088186534089</v>
      </c>
    </row>
    <row r="47" spans="1:19" x14ac:dyDescent="0.2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114.97</v>
      </c>
      <c r="G47">
        <v>83477200</v>
      </c>
      <c r="H47" s="127">
        <f>IF(tbl_AAPL[[#This Row],[Date]]=$A$5, $F47, EMA_Beta*$H46 + (1-EMA_Beta)*$F47)</f>
        <v>114.40515721155251</v>
      </c>
      <c r="I47" s="50">
        <f ca="1">IF(tbl_AAPL[[#This Row],[RS]]= "", "", 100-(100/(1+tbl_AAPL[[#This Row],[RS]])))</f>
        <v>62.06589492430988</v>
      </c>
      <c r="J47" s="127">
        <f ca="1">IF(ROW($N47)-4&lt;BB_Periods, "", AVERAGE(INDIRECT(ADDRESS(ROW($F47)-RSI_Periods +1, MATCH("Adj Close", Price_Header,0))): INDIRECT(ADDRESS(ROW($F47),MATCH("Adj Close", Price_Header,0)))))</f>
        <v>113.13500000000001</v>
      </c>
      <c r="K47" s="127">
        <f ca="1">IF(tbl_AAPL[[#This Row],[BB_Mean]]="", "", tbl_AAPL[[#This Row],[BB_Mean]]+(BB_Width*tbl_AAPL[[#This Row],[BB_Stdev]]))</f>
        <v>119.09387831468564</v>
      </c>
      <c r="L47" s="127">
        <f ca="1">IF(tbl_AAPL[[#This Row],[BB_Mean]]="", "", tbl_AAPL[[#This Row],[BB_Mean]]-(BB_Width*tbl_AAPL[[#This Row],[BB_Stdev]]))</f>
        <v>107.17612168531437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1.4935714285714283</v>
      </c>
      <c r="Q47" s="50">
        <f ca="1">IF(ROW($O47)-5&lt;RSI_Periods, "", AVERAGE(INDIRECT(ADDRESS(ROW($O47)-RSI_Periods +1, MATCH("Downmove", Price_Header,0))): INDIRECT(ADDRESS(ROW($O47),MATCH("Downmove", Price_Header,0)))))</f>
        <v>0.91285714285714292</v>
      </c>
      <c r="R47" s="50">
        <f ca="1">IF(tbl_AAPL[[#This Row],[Avg_Upmove]]="", "", tbl_AAPL[[#This Row],[Avg_Upmove]]/tbl_AAPL[[#This Row],[Avg_Downmove]])</f>
        <v>1.6361502347417836</v>
      </c>
      <c r="S47" s="50">
        <f ca="1">IF(ROW($N47)-4&lt;BB_Periods, "", _xlfn.STDEV.S(INDIRECT(ADDRESS(ROW($F47)-RSI_Periods +1, MATCH("Adj Close", Price_Header,0))): INDIRECT(ADDRESS(ROW($F47),MATCH("Adj Close", Price_Header,0)))))</f>
        <v>2.9794391573428194</v>
      </c>
    </row>
    <row r="48" spans="1:19" x14ac:dyDescent="0.2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116.97</v>
      </c>
      <c r="G48">
        <v>99893400</v>
      </c>
      <c r="H48" s="127">
        <f>IF(tbl_AAPL[[#This Row],[Date]]=$A$5, $F48, EMA_Beta*$H47 + (1-EMA_Beta)*$F48)</f>
        <v>114.66164149039726</v>
      </c>
      <c r="I48" s="50">
        <f ca="1">IF(tbl_AAPL[[#This Row],[RS]]= "", "", 100-(100/(1+tbl_AAPL[[#This Row],[RS]])))</f>
        <v>60.616332819722651</v>
      </c>
      <c r="J48" s="127">
        <f ca="1">IF(ROW($N48)-4&lt;BB_Periods, "", AVERAGE(INDIRECT(ADDRESS(ROW($F48)-RSI_Periods +1, MATCH("Adj Close", Price_Header,0))): INDIRECT(ADDRESS(ROW($F48),MATCH("Adj Close", Price_Header,0)))))</f>
        <v>113.62714285714286</v>
      </c>
      <c r="K48" s="127">
        <f ca="1">IF(tbl_AAPL[[#This Row],[BB_Mean]]="", "", tbl_AAPL[[#This Row],[BB_Mean]]+(BB_Width*tbl_AAPL[[#This Row],[BB_Stdev]]))</f>
        <v>119.63700873851558</v>
      </c>
      <c r="L48" s="127">
        <f ca="1">IF(tbl_AAPL[[#This Row],[BB_Mean]]="", "", tbl_AAPL[[#This Row],[BB_Mean]]-(BB_Width*tbl_AAPL[[#This Row],[BB_Stdev]]))</f>
        <v>107.61727697577014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1.405</v>
      </c>
      <c r="Q48" s="50">
        <f ca="1">IF(ROW($O48)-5&lt;RSI_Periods, "", AVERAGE(INDIRECT(ADDRESS(ROW($O48)-RSI_Periods +1, MATCH("Downmove", Price_Header,0))): INDIRECT(ADDRESS(ROW($O48),MATCH("Downmove", Price_Header,0)))))</f>
        <v>0.91285714285714292</v>
      </c>
      <c r="R48" s="50">
        <f ca="1">IF(tbl_AAPL[[#This Row],[Avg_Upmove]]="", "", tbl_AAPL[[#This Row],[Avg_Upmove]]/tbl_AAPL[[#This Row],[Avg_Downmove]])</f>
        <v>1.5391236306729263</v>
      </c>
      <c r="S48" s="50">
        <f ca="1">IF(ROW($N48)-4&lt;BB_Periods, "", _xlfn.STDEV.S(INDIRECT(ADDRESS(ROW($F48)-RSI_Periods +1, MATCH("Adj Close", Price_Header,0))): INDIRECT(ADDRESS(ROW($F48),MATCH("Adj Close", Price_Header,0)))))</f>
        <v>3.0049329406863601</v>
      </c>
    </row>
    <row r="49" spans="1:19" x14ac:dyDescent="0.2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124.4</v>
      </c>
      <c r="G49">
        <v>240226800</v>
      </c>
      <c r="H49" s="127">
        <f>IF(tbl_AAPL[[#This Row],[Date]]=$A$5, $F49, EMA_Beta*$H48 + (1-EMA_Beta)*$F49)</f>
        <v>115.63547734135753</v>
      </c>
      <c r="I49" s="50">
        <f ca="1">IF(tbl_AAPL[[#This Row],[RS]]= "", "", 100-(100/(1+tbl_AAPL[[#This Row],[RS]])))</f>
        <v>66.500655307994762</v>
      </c>
      <c r="J49" s="127">
        <f ca="1">IF(ROW($N49)-4&lt;BB_Periods, "", AVERAGE(INDIRECT(ADDRESS(ROW($F49)-RSI_Periods +1, MATCH("Adj Close", Price_Header,0))): INDIRECT(ADDRESS(ROW($F49),MATCH("Adj Close", Price_Header,0)))))</f>
        <v>114.52642857142858</v>
      </c>
      <c r="K49" s="127">
        <f ca="1">IF(tbl_AAPL[[#This Row],[BB_Mean]]="", "", tbl_AAPL[[#This Row],[BB_Mean]]+(BB_Width*tbl_AAPL[[#This Row],[BB_Stdev]]))</f>
        <v>122.73178369764054</v>
      </c>
      <c r="L49" s="127">
        <f ca="1">IF(tbl_AAPL[[#This Row],[BB_Mean]]="", "", tbl_AAPL[[#This Row],[BB_Mean]]-(BB_Width*tbl_AAPL[[#This Row],[BB_Stdev]]))</f>
        <v>106.32107344521663</v>
      </c>
      <c r="M49" s="50">
        <f>IF(ROW(tbl_AAPL[[#This Row],[Adj Close]])=5, 0, $F49-$F48)</f>
        <v>7.4300000000000068</v>
      </c>
      <c r="N49" s="50">
        <f>MAX(tbl_AAPL[[#This Row],[Move]],0)</f>
        <v>7.4300000000000068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1.8121428571428575</v>
      </c>
      <c r="Q49" s="50">
        <f ca="1">IF(ROW($O49)-5&lt;RSI_Periods, "", AVERAGE(INDIRECT(ADDRESS(ROW($O49)-RSI_Periods +1, MATCH("Downmove", Price_Header,0))): INDIRECT(ADDRESS(ROW($O49),MATCH("Downmove", Price_Header,0)))))</f>
        <v>0.91285714285714292</v>
      </c>
      <c r="R49" s="50">
        <f ca="1">IF(tbl_AAPL[[#This Row],[Avg_Upmove]]="", "", tbl_AAPL[[#This Row],[Avg_Upmove]]/tbl_AAPL[[#This Row],[Avg_Downmove]])</f>
        <v>1.9851330203442883</v>
      </c>
      <c r="S49" s="50">
        <f ca="1">IF(ROW($N49)-4&lt;BB_Periods, "", _xlfn.STDEV.S(INDIRECT(ADDRESS(ROW($F49)-RSI_Periods +1, MATCH("Adj Close", Price_Header,0))): INDIRECT(ADDRESS(ROW($F49),MATCH("Adj Close", Price_Header,0)))))</f>
        <v>4.1026775631059769</v>
      </c>
    </row>
    <row r="50" spans="1:19" x14ac:dyDescent="0.25">
      <c r="A50" s="8">
        <v>44117</v>
      </c>
      <c r="B50" s="10">
        <v>125.27</v>
      </c>
      <c r="C50" s="10">
        <v>125.39</v>
      </c>
      <c r="D50" s="10">
        <v>119.65</v>
      </c>
      <c r="E50" s="10">
        <v>121.1</v>
      </c>
      <c r="F50" s="10">
        <v>121.1</v>
      </c>
      <c r="G50">
        <v>262330500</v>
      </c>
      <c r="H50" s="127">
        <f>IF(tbl_AAPL[[#This Row],[Date]]=$A$5, $F50, EMA_Beta*$H49 + (1-EMA_Beta)*$F50)</f>
        <v>116.18192960722178</v>
      </c>
      <c r="I50" s="50">
        <f ca="1">IF(tbl_AAPL[[#This Row],[RS]]= "", "", 100-(100/(1+tbl_AAPL[[#This Row],[RS]])))</f>
        <v>69.015233949945568</v>
      </c>
      <c r="J50" s="127">
        <f ca="1">IF(ROW($N50)-4&lt;BB_Periods, "", AVERAGE(INDIRECT(ADDRESS(ROW($F50)-RSI_Periods +1, MATCH("Adj Close", Price_Header,0))): INDIRECT(ADDRESS(ROW($F50),MATCH("Adj Close", Price_Header,0)))))</f>
        <v>115.52499999999999</v>
      </c>
      <c r="K50" s="127">
        <f ca="1">IF(tbl_AAPL[[#This Row],[BB_Mean]]="", "", tbl_AAPL[[#This Row],[BB_Mean]]+(BB_Width*tbl_AAPL[[#This Row],[BB_Stdev]]))</f>
        <v>123.23537562688693</v>
      </c>
      <c r="L50" s="127">
        <f ca="1">IF(tbl_AAPL[[#This Row],[BB_Mean]]="", "", tbl_AAPL[[#This Row],[BB_Mean]]-(BB_Width*tbl_AAPL[[#This Row],[BB_Stdev]]))</f>
        <v>107.81462437311305</v>
      </c>
      <c r="M50" s="50">
        <f>IF(ROW(tbl_AAPL[[#This Row],[Adj Close]])=5, 0, $F50-$F49)</f>
        <v>-3.3000000000000114</v>
      </c>
      <c r="N50" s="50">
        <f>MAX(tbl_AAPL[[#This Row],[Move]],0)</f>
        <v>0</v>
      </c>
      <c r="O50" s="50">
        <f>MAX(-tbl_AAPL[[#This Row],[Move]],0)</f>
        <v>3.3000000000000114</v>
      </c>
      <c r="P50" s="50">
        <f ca="1">IF(ROW($N50)-5&lt;RSI_Periods, "", AVERAGE(INDIRECT(ADDRESS(ROW($N50)-RSI_Periods +1, MATCH("Upmove", Price_Header,0))): INDIRECT(ADDRESS(ROW($N50),MATCH("Upmove", Price_Header,0)))))</f>
        <v>1.8121428571428575</v>
      </c>
      <c r="Q50" s="50">
        <f ca="1">IF(ROW($O50)-5&lt;RSI_Periods, "", AVERAGE(INDIRECT(ADDRESS(ROW($O50)-RSI_Periods +1, MATCH("Downmove", Price_Header,0))): INDIRECT(ADDRESS(ROW($O50),MATCH("Downmove", Price_Header,0)))))</f>
        <v>0.81357142857142961</v>
      </c>
      <c r="R50" s="50">
        <f ca="1">IF(tbl_AAPL[[#This Row],[Avg_Upmove]]="", "", tbl_AAPL[[#This Row],[Avg_Upmove]]/tbl_AAPL[[#This Row],[Avg_Downmove]])</f>
        <v>2.2273924495171178</v>
      </c>
      <c r="S50" s="50">
        <f ca="1">IF(ROW($N50)-4&lt;BB_Periods, "", _xlfn.STDEV.S(INDIRECT(ADDRESS(ROW($F50)-RSI_Periods +1, MATCH("Adj Close", Price_Header,0))): INDIRECT(ADDRESS(ROW($F50),MATCH("Adj Close", Price_Header,0)))))</f>
        <v>3.8551878134434752</v>
      </c>
    </row>
    <row r="51" spans="1:19" x14ac:dyDescent="0.25">
      <c r="A51" s="8">
        <v>44118</v>
      </c>
      <c r="B51" s="10">
        <v>121</v>
      </c>
      <c r="C51" s="10">
        <v>123.03</v>
      </c>
      <c r="D51" s="10">
        <v>119.62</v>
      </c>
      <c r="E51" s="10">
        <v>121.19</v>
      </c>
      <c r="F51" s="10">
        <v>121.19</v>
      </c>
      <c r="G51">
        <v>151062300</v>
      </c>
      <c r="H51" s="127">
        <f>IF(tbl_AAPL[[#This Row],[Date]]=$A$5, $F51, EMA_Beta*$H50 + (1-EMA_Beta)*$F51)</f>
        <v>116.68273664649961</v>
      </c>
      <c r="I51" s="50">
        <f ca="1">IF(tbl_AAPL[[#This Row],[RS]]= "", "", 100-(100/(1+tbl_AAPL[[#This Row],[RS]])))</f>
        <v>68.139860139860133</v>
      </c>
      <c r="J51" s="127">
        <f ca="1">IF(ROW($N51)-4&lt;BB_Periods, "", AVERAGE(INDIRECT(ADDRESS(ROW($F51)-RSI_Periods +1, MATCH("Adj Close", Price_Header,0))): INDIRECT(ADDRESS(ROW($F51),MATCH("Adj Close", Price_Header,0)))))</f>
        <v>116.45142857142858</v>
      </c>
      <c r="K51" s="127">
        <f ca="1">IF(tbl_AAPL[[#This Row],[BB_Mean]]="", "", tbl_AAPL[[#This Row],[BB_Mean]]+(BB_Width*tbl_AAPL[[#This Row],[BB_Stdev]]))</f>
        <v>123.46626058166719</v>
      </c>
      <c r="L51" s="127">
        <f ca="1">IF(tbl_AAPL[[#This Row],[BB_Mean]]="", "", tbl_AAPL[[#This Row],[BB_Mean]]-(BB_Width*tbl_AAPL[[#This Row],[BB_Stdev]]))</f>
        <v>109.43659656118997</v>
      </c>
      <c r="M51" s="50">
        <f>IF(ROW(tbl_AAPL[[#This Row],[Adj Close]])=5, 0, $F51-$F50)</f>
        <v>9.0000000000003411E-2</v>
      </c>
      <c r="N51" s="50">
        <f>MAX(tbl_AAPL[[#This Row],[Move]],0)</f>
        <v>9.0000000000003411E-2</v>
      </c>
      <c r="O51" s="50">
        <f>MAX(-tbl_AAPL[[#This Row],[Move]],0)</f>
        <v>0</v>
      </c>
      <c r="P51" s="50">
        <f ca="1">IF(ROW($N51)-5&lt;RSI_Periods, "", AVERAGE(INDIRECT(ADDRESS(ROW($N51)-RSI_Periods +1, MATCH("Upmove", Price_Header,0))): INDIRECT(ADDRESS(ROW($N51),MATCH("Upmove", Price_Header,0)))))</f>
        <v>1.7400000000000009</v>
      </c>
      <c r="Q51" s="50">
        <f ca="1">IF(ROW($O51)-5&lt;RSI_Periods, "", AVERAGE(INDIRECT(ADDRESS(ROW($O51)-RSI_Periods +1, MATCH("Downmove", Price_Header,0))): INDIRECT(ADDRESS(ROW($O51),MATCH("Downmove", Price_Header,0)))))</f>
        <v>0.81357142857142961</v>
      </c>
      <c r="R51" s="50">
        <f ca="1">IF(tbl_AAPL[[#This Row],[Avg_Upmove]]="", "", tbl_AAPL[[#This Row],[Avg_Upmove]]/tbl_AAPL[[#This Row],[Avg_Downmove]])</f>
        <v>2.1387181738366974</v>
      </c>
      <c r="S51" s="50">
        <f ca="1">IF(ROW($N51)-4&lt;BB_Periods, "", _xlfn.STDEV.S(INDIRECT(ADDRESS(ROW($F51)-RSI_Periods +1, MATCH("Adj Close", Price_Header,0))): INDIRECT(ADDRESS(ROW($F51),MATCH("Adj Close", Price_Header,0)))))</f>
        <v>3.5074160051193011</v>
      </c>
    </row>
    <row r="52" spans="1:19" x14ac:dyDescent="0.25">
      <c r="A52" s="8">
        <v>44119</v>
      </c>
      <c r="B52" s="10">
        <v>118.72</v>
      </c>
      <c r="C52" s="10">
        <v>121.2</v>
      </c>
      <c r="D52" s="10">
        <v>118.15</v>
      </c>
      <c r="E52" s="10">
        <v>120.71</v>
      </c>
      <c r="F52" s="10">
        <v>120.71</v>
      </c>
      <c r="G52">
        <v>112559200</v>
      </c>
      <c r="H52" s="127">
        <f>IF(tbl_AAPL[[#This Row],[Date]]=$A$5, $F52, EMA_Beta*$H51 + (1-EMA_Beta)*$F52)</f>
        <v>117.08546298184964</v>
      </c>
      <c r="I52" s="50">
        <f ca="1">IF(tbl_AAPL[[#This Row],[RS]]= "", "", 100-(100/(1+tbl_AAPL[[#This Row],[RS]])))</f>
        <v>63.102269194902057</v>
      </c>
      <c r="J52" s="127">
        <f ca="1">IF(ROW($N52)-4&lt;BB_Periods, "", AVERAGE(INDIRECT(ADDRESS(ROW($F52)-RSI_Periods +1, MATCH("Adj Close", Price_Header,0))): INDIRECT(ADDRESS(ROW($F52),MATCH("Adj Close", Price_Header,0)))))</f>
        <v>117.05357142857144</v>
      </c>
      <c r="K52" s="127">
        <f ca="1">IF(tbl_AAPL[[#This Row],[BB_Mean]]="", "", tbl_AAPL[[#This Row],[BB_Mean]]+(BB_Width*tbl_AAPL[[#This Row],[BB_Stdev]]))</f>
        <v>123.97253358793013</v>
      </c>
      <c r="L52" s="127">
        <f ca="1">IF(tbl_AAPL[[#This Row],[BB_Mean]]="", "", tbl_AAPL[[#This Row],[BB_Mean]]-(BB_Width*tbl_AAPL[[#This Row],[BB_Stdev]]))</f>
        <v>110.13460926921276</v>
      </c>
      <c r="M52" s="50">
        <f>IF(ROW(tbl_AAPL[[#This Row],[Adj Close]])=5, 0, $F52-$F51)</f>
        <v>-0.48000000000000398</v>
      </c>
      <c r="N52" s="50">
        <f>MAX(tbl_AAPL[[#This Row],[Move]],0)</f>
        <v>0</v>
      </c>
      <c r="O52" s="50">
        <f>MAX(-tbl_AAPL[[#This Row],[Move]],0)</f>
        <v>0.48000000000000398</v>
      </c>
      <c r="P52" s="50">
        <f ca="1">IF(ROW($N52)-5&lt;RSI_Periods, "", AVERAGE(INDIRECT(ADDRESS(ROW($N52)-RSI_Periods +1, MATCH("Upmove", Price_Header,0))): INDIRECT(ADDRESS(ROW($N52),MATCH("Upmove", Price_Header,0)))))</f>
        <v>1.4500000000000008</v>
      </c>
      <c r="Q52" s="50">
        <f ca="1">IF(ROW($O52)-5&lt;RSI_Periods, "", AVERAGE(INDIRECT(ADDRESS(ROW($O52)-RSI_Periods +1, MATCH("Downmove", Price_Header,0))): INDIRECT(ADDRESS(ROW($O52),MATCH("Downmove", Price_Header,0)))))</f>
        <v>0.8478571428571442</v>
      </c>
      <c r="R52" s="50">
        <f ca="1">IF(tbl_AAPL[[#This Row],[Avg_Upmove]]="", "", tbl_AAPL[[#This Row],[Avg_Upmove]]/tbl_AAPL[[#This Row],[Avg_Downmove]])</f>
        <v>1.710193765796123</v>
      </c>
      <c r="S52" s="50">
        <f ca="1">IF(ROW($N52)-4&lt;BB_Periods, "", _xlfn.STDEV.S(INDIRECT(ADDRESS(ROW($F52)-RSI_Periods +1, MATCH("Adj Close", Price_Header,0))): INDIRECT(ADDRESS(ROW($F52),MATCH("Adj Close", Price_Header,0)))))</f>
        <v>3.459481079679342</v>
      </c>
    </row>
    <row r="53" spans="1:19" x14ac:dyDescent="0.25">
      <c r="A53" s="8">
        <v>44120</v>
      </c>
      <c r="B53" s="10">
        <v>121.28</v>
      </c>
      <c r="C53" s="10">
        <v>121.55</v>
      </c>
      <c r="D53" s="10">
        <v>118.81</v>
      </c>
      <c r="E53" s="10">
        <v>119.02</v>
      </c>
      <c r="F53" s="10">
        <v>119.02</v>
      </c>
      <c r="G53">
        <v>115073800</v>
      </c>
      <c r="H53" s="127">
        <f>IF(tbl_AAPL[[#This Row],[Date]]=$A$5, $F53, EMA_Beta*$H52 + (1-EMA_Beta)*$F53)</f>
        <v>117.27891668366469</v>
      </c>
      <c r="I53" s="50">
        <f ca="1">IF(tbl_AAPL[[#This Row],[RS]]= "", "", 100-(100/(1+tbl_AAPL[[#This Row],[RS]])))</f>
        <v>56.510583707504807</v>
      </c>
      <c r="J53" s="127">
        <f ca="1">IF(ROW($N53)-4&lt;BB_Periods, "", AVERAGE(INDIRECT(ADDRESS(ROW($F53)-RSI_Periods +1, MATCH("Adj Close", Price_Header,0))): INDIRECT(ADDRESS(ROW($F53),MATCH("Adj Close", Price_Header,0)))))</f>
        <v>117.34357142857144</v>
      </c>
      <c r="K53" s="127">
        <f ca="1">IF(tbl_AAPL[[#This Row],[BB_Mean]]="", "", tbl_AAPL[[#This Row],[BB_Mean]]+(BB_Width*tbl_AAPL[[#This Row],[BB_Stdev]]))</f>
        <v>124.22477260789542</v>
      </c>
      <c r="L53" s="127">
        <f ca="1">IF(tbl_AAPL[[#This Row],[BB_Mean]]="", "", tbl_AAPL[[#This Row],[BB_Mean]]-(BB_Width*tbl_AAPL[[#This Row],[BB_Stdev]]))</f>
        <v>110.46237024924746</v>
      </c>
      <c r="M53" s="50">
        <f>IF(ROW(tbl_AAPL[[#This Row],[Adj Close]])=5, 0, $F53-$F52)</f>
        <v>-1.6899999999999977</v>
      </c>
      <c r="N53" s="50">
        <f>MAX(tbl_AAPL[[#This Row],[Move]],0)</f>
        <v>0</v>
      </c>
      <c r="O53" s="50">
        <f>MAX(-tbl_AAPL[[#This Row],[Move]],0)</f>
        <v>1.6899999999999977</v>
      </c>
      <c r="P53" s="50">
        <f ca="1">IF(ROW($N53)-5&lt;RSI_Periods, "", AVERAGE(INDIRECT(ADDRESS(ROW($N53)-RSI_Periods +1, MATCH("Upmove", Price_Header,0))): INDIRECT(ADDRESS(ROW($N53),MATCH("Upmove", Price_Header,0)))))</f>
        <v>1.25857142857143</v>
      </c>
      <c r="Q53" s="50">
        <f ca="1">IF(ROW($O53)-5&lt;RSI_Periods, "", AVERAGE(INDIRECT(ADDRESS(ROW($O53)-RSI_Periods +1, MATCH("Downmove", Price_Header,0))): INDIRECT(ADDRESS(ROW($O53),MATCH("Downmove", Price_Header,0)))))</f>
        <v>0.96857142857142975</v>
      </c>
      <c r="R53" s="50">
        <f ca="1">IF(tbl_AAPL[[#This Row],[Avg_Upmove]]="", "", tbl_AAPL[[#This Row],[Avg_Upmove]]/tbl_AAPL[[#This Row],[Avg_Downmove]])</f>
        <v>1.2994100294985249</v>
      </c>
      <c r="S53" s="50">
        <f ca="1">IF(ROW($N53)-4&lt;BB_Periods, "", _xlfn.STDEV.S(INDIRECT(ADDRESS(ROW($F53)-RSI_Periods +1, MATCH("Adj Close", Price_Header,0))): INDIRECT(ADDRESS(ROW($F53),MATCH("Adj Close", Price_Header,0)))))</f>
        <v>3.4406005896619876</v>
      </c>
    </row>
    <row r="54" spans="1:19" x14ac:dyDescent="0.25">
      <c r="A54" s="8">
        <v>44123</v>
      </c>
      <c r="B54" s="10">
        <v>119.94</v>
      </c>
      <c r="C54" s="10">
        <v>120.42</v>
      </c>
      <c r="D54" s="10">
        <v>116.16</v>
      </c>
      <c r="E54" s="10">
        <v>116.81</v>
      </c>
      <c r="F54" s="10">
        <v>116.81</v>
      </c>
      <c r="G54">
        <v>100253000</v>
      </c>
      <c r="H54" s="127">
        <f>IF(tbl_AAPL[[#This Row],[Date]]=$A$5, $F54, EMA_Beta*$H53 + (1-EMA_Beta)*$F54)</f>
        <v>117.23202501529822</v>
      </c>
      <c r="I54" s="50">
        <f ca="1">IF(tbl_AAPL[[#This Row],[RS]]= "", "", 100-(100/(1+tbl_AAPL[[#This Row],[RS]])))</f>
        <v>54.182041820418199</v>
      </c>
      <c r="J54" s="127">
        <f ca="1">IF(ROW($N54)-4&lt;BB_Periods, "", AVERAGE(INDIRECT(ADDRESS(ROW($F54)-RSI_Periods +1, MATCH("Adj Close", Price_Header,0))): INDIRECT(ADDRESS(ROW($F54),MATCH("Adj Close", Price_Header,0)))))</f>
        <v>117.53785714285713</v>
      </c>
      <c r="K54" s="127">
        <f ca="1">IF(tbl_AAPL[[#This Row],[BB_Mean]]="", "", tbl_AAPL[[#This Row],[BB_Mean]]+(BB_Width*tbl_AAPL[[#This Row],[BB_Stdev]]))</f>
        <v>124.17252218487548</v>
      </c>
      <c r="L54" s="127">
        <f ca="1">IF(tbl_AAPL[[#This Row],[BB_Mean]]="", "", tbl_AAPL[[#This Row],[BB_Mean]]-(BB_Width*tbl_AAPL[[#This Row],[BB_Stdev]]))</f>
        <v>110.90319210083879</v>
      </c>
      <c r="M54" s="50">
        <f>IF(ROW(tbl_AAPL[[#This Row],[Adj Close]])=5, 0, $F54-$F53)</f>
        <v>-2.2099999999999937</v>
      </c>
      <c r="N54" s="50">
        <f>MAX(tbl_AAPL[[#This Row],[Move]],0)</f>
        <v>0</v>
      </c>
      <c r="O54" s="50">
        <f>MAX(-tbl_AAPL[[#This Row],[Move]],0)</f>
        <v>2.2099999999999937</v>
      </c>
      <c r="P54" s="50">
        <f ca="1">IF(ROW($N54)-5&lt;RSI_Periods, "", AVERAGE(INDIRECT(ADDRESS(ROW($N54)-RSI_Periods +1, MATCH("Upmove", Price_Header,0))): INDIRECT(ADDRESS(ROW($N54),MATCH("Upmove", Price_Header,0)))))</f>
        <v>1.25857142857143</v>
      </c>
      <c r="Q54" s="50">
        <f ca="1">IF(ROW($O54)-5&lt;RSI_Periods, "", AVERAGE(INDIRECT(ADDRESS(ROW($O54)-RSI_Periods +1, MATCH("Downmove", Price_Header,0))): INDIRECT(ADDRESS(ROW($O54),MATCH("Downmove", Price_Header,0)))))</f>
        <v>1.0642857142857156</v>
      </c>
      <c r="R54" s="50">
        <f ca="1">IF(tbl_AAPL[[#This Row],[Avg_Upmove]]="", "", tbl_AAPL[[#This Row],[Avg_Upmove]]/tbl_AAPL[[#This Row],[Avg_Downmove]])</f>
        <v>1.1825503355704696</v>
      </c>
      <c r="S54" s="50">
        <f ca="1">IF(ROW($N54)-4&lt;BB_Periods, "", _xlfn.STDEV.S(INDIRECT(ADDRESS(ROW($F54)-RSI_Periods +1, MATCH("Adj Close", Price_Header,0))): INDIRECT(ADDRESS(ROW($F54),MATCH("Adj Close", Price_Header,0)))))</f>
        <v>3.3173325210091704</v>
      </c>
    </row>
    <row r="55" spans="1:19" x14ac:dyDescent="0.25">
      <c r="A55" t="s">
        <v>162</v>
      </c>
      <c r="B55" s="61"/>
      <c r="C55" s="61"/>
      <c r="D55" s="61"/>
      <c r="E55" s="61"/>
      <c r="F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>
        <f ca="1">SUBTOTAL(103,tbl_AAPL[BB_Stdev])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1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2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2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2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2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2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2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2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2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2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2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2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2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2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2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2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2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25">
      <c r="A50" s="8">
        <v>44117</v>
      </c>
      <c r="B50" s="48">
        <v>144.68</v>
      </c>
      <c r="C50" s="48">
        <v>146.6</v>
      </c>
      <c r="D50" s="48">
        <v>144.36000000000001</v>
      </c>
      <c r="E50" s="48">
        <v>146.22999999999999</v>
      </c>
      <c r="F50" s="48">
        <v>146.22999999999999</v>
      </c>
      <c r="G50">
        <v>7933400</v>
      </c>
      <c r="H50" s="48">
        <f>IF(tbl_WMT[[#This Row],[Date]]=$A$5, $F50, EMA_Beta*$H49 + (1-EMA_Beta)*$F50)</f>
        <v>155.60639349534733</v>
      </c>
      <c r="I50" s="50">
        <f ca="1">IF(tbl_WMT[[#This Row],[RS]]= "", "", 100-(100/(1+tbl_WMT[[#This Row],[RS]])))</f>
        <v>78.444444444444258</v>
      </c>
      <c r="J50" s="11">
        <f ca="1">IF(ROW($N50)-4&lt;BB_Periods, "", AVERAGE(INDIRECT(ADDRESS(ROW($F50)-RSI_Periods +1, MATCH("Adj Close", Price_Header,0))): INDIRECT(ADDRESS(ROW($F50),MATCH("Adj Close", Price_Header,0)))))</f>
        <v>140.69928571428574</v>
      </c>
      <c r="K50" s="11">
        <f ca="1">IF(tbl_WMT[[#This Row],[BB_Mean]]="", "", tbl_WMT[[#This Row],[BB_Mean]]+(BB_Width*tbl_WMT[[#This Row],[BB_Stdev]]))</f>
        <v>146.46031908465477</v>
      </c>
      <c r="L50" s="11">
        <f ca="1">IF(tbl_WMT[[#This Row],[BB_Mean]]="", "", tbl_WMT[[#This Row],[BB_Mean]]-(BB_Width*tbl_WMT[[#This Row],[BB_Stdev]]))</f>
        <v>134.9382523439167</v>
      </c>
      <c r="M50" s="46">
        <f>IF(ROW(tbl_WMT[[#This Row],[Adj Close]])=5, 0, $F50-$F49)</f>
        <v>1.9799999999999898</v>
      </c>
      <c r="N50" s="46">
        <f>MAX(tbl_WMT[[#This Row],[Move]],0)</f>
        <v>1.9799999999999898</v>
      </c>
      <c r="O50" s="46">
        <f>MAX(-tbl_WMT[[#This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1.0085714285714309</v>
      </c>
      <c r="Q50" s="46">
        <f ca="1">IF(ROW($O50)-5&lt;RSI_Periods, "", AVERAGE(INDIRECT(ADDRESS(ROW($O50)-RSI_Periods +1, MATCH("Downmove", Price_Header,0))): INDIRECT(ADDRESS(ROW($O50),MATCH("Downmove", Price_Header,0)))))</f>
        <v>0.27714285714286085</v>
      </c>
      <c r="R50" s="46">
        <f ca="1">IF(tbl_WMT[[#This Row],[Avg_Upmove]]="", "", tbl_WMT[[#This Row],[Avg_Upmove]]/tbl_WMT[[#This Row],[Avg_Downmove]])</f>
        <v>3.6391752577319183</v>
      </c>
      <c r="S50" s="11">
        <f ca="1">IF(ROW($N50)-4&lt;BB_Periods, "", _xlfn.STDEV.S(INDIRECT(ADDRESS(ROW($F50)-RSI_Periods +1, MATCH("Adj Close", Price_Header,0))): INDIRECT(ADDRESS(ROW($F50),MATCH("Adj Close", Price_Header,0)))))</f>
        <v>2.8805166851845141</v>
      </c>
    </row>
    <row r="51" spans="1:19" x14ac:dyDescent="0.25">
      <c r="A51" s="8">
        <v>44118</v>
      </c>
      <c r="B51" s="48">
        <v>146.4</v>
      </c>
      <c r="C51" s="48">
        <v>146.53</v>
      </c>
      <c r="D51" s="48">
        <v>143.76</v>
      </c>
      <c r="E51" s="48">
        <v>143.94</v>
      </c>
      <c r="F51" s="48">
        <v>143.94</v>
      </c>
      <c r="G51">
        <v>6574100</v>
      </c>
      <c r="H51" s="48">
        <f>IF(tbl_WMT[[#This Row],[Date]]=$A$5, $F51, EMA_Beta*$H50 + (1-EMA_Beta)*$F51)</f>
        <v>154.4397541458126</v>
      </c>
      <c r="I51" s="50">
        <f ca="1">IF(tbl_WMT[[#This Row],[RS]]= "", "", 100-(100/(1+tbl_WMT[[#This Row],[RS]])))</f>
        <v>68.48825331971392</v>
      </c>
      <c r="J51" s="11">
        <f ca="1">IF(ROW($N51)-4&lt;BB_Periods, "", AVERAGE(INDIRECT(ADDRESS(ROW($F51)-RSI_Periods +1, MATCH("Adj Close", Price_Header,0))): INDIRECT(ADDRESS(ROW($F51),MATCH("Adj Close", Price_Header,0)))))</f>
        <v>141.21642857142857</v>
      </c>
      <c r="K51" s="11">
        <f ca="1">IF(tbl_WMT[[#This Row],[BB_Mean]]="", "", tbl_WMT[[#This Row],[BB_Mean]]+(BB_Width*tbl_WMT[[#This Row],[BB_Stdev]]))</f>
        <v>146.72529475181511</v>
      </c>
      <c r="L51" s="11">
        <f ca="1">IF(tbl_WMT[[#This Row],[BB_Mean]]="", "", tbl_WMT[[#This Row],[BB_Mean]]-(BB_Width*tbl_WMT[[#This Row],[BB_Stdev]]))</f>
        <v>135.70756239104202</v>
      </c>
      <c r="M51" s="46">
        <f>IF(ROW(tbl_WMT[[#This Row],[Adj Close]])=5, 0, $F51-$F50)</f>
        <v>-2.289999999999992</v>
      </c>
      <c r="N51" s="46">
        <f>MAX(tbl_WMT[[#This Row],[Move]],0)</f>
        <v>0</v>
      </c>
      <c r="O51" s="46">
        <f>MAX(-tbl_WMT[[#This Row],[Move]],0)</f>
        <v>2.289999999999992</v>
      </c>
      <c r="P51" s="46">
        <f ca="1">IF(ROW($N51)-5&lt;RSI_Periods, "", AVERAGE(INDIRECT(ADDRESS(ROW($N51)-RSI_Periods +1, MATCH("Upmove", Price_Header,0))): INDIRECT(ADDRESS(ROW($N51),MATCH("Upmove", Price_Header,0)))))</f>
        <v>0.95785714285714663</v>
      </c>
      <c r="Q51" s="46">
        <f ca="1">IF(ROW($O51)-5&lt;RSI_Periods, "", AVERAGE(INDIRECT(ADDRESS(ROW($O51)-RSI_Periods +1, MATCH("Downmove", Price_Header,0))): INDIRECT(ADDRESS(ROW($O51),MATCH("Downmove", Price_Header,0)))))</f>
        <v>0.44071428571428889</v>
      </c>
      <c r="R51" s="46">
        <f ca="1">IF(tbl_WMT[[#This Row],[Avg_Upmove]]="", "", tbl_WMT[[#This Row],[Avg_Upmove]]/tbl_WMT[[#This Row],[Avg_Downmove]])</f>
        <v>2.1734197730956168</v>
      </c>
      <c r="S51" s="11">
        <f ca="1">IF(ROW($N51)-4&lt;BB_Periods, "", _xlfn.STDEV.S(INDIRECT(ADDRESS(ROW($F51)-RSI_Periods +1, MATCH("Adj Close", Price_Header,0))): INDIRECT(ADDRESS(ROW($F51),MATCH("Adj Close", Price_Header,0)))))</f>
        <v>2.7544330901932703</v>
      </c>
    </row>
    <row r="52" spans="1:19" x14ac:dyDescent="0.25">
      <c r="A52" s="8">
        <v>44119</v>
      </c>
      <c r="B52" s="48">
        <v>143.09</v>
      </c>
      <c r="C52" s="48">
        <v>144.96</v>
      </c>
      <c r="D52" s="48">
        <v>142.84</v>
      </c>
      <c r="E52" s="48">
        <v>144.53</v>
      </c>
      <c r="F52" s="48">
        <v>144.53</v>
      </c>
      <c r="G52">
        <v>4564200</v>
      </c>
      <c r="H52" s="48">
        <f>IF(tbl_WMT[[#This Row],[Date]]=$A$5, $F52, EMA_Beta*$H51 + (1-EMA_Beta)*$F52)</f>
        <v>153.44877873123136</v>
      </c>
      <c r="I52" s="50">
        <f ca="1">IF(tbl_WMT[[#This Row],[RS]]= "", "", 100-(100/(1+tbl_WMT[[#This Row],[RS]])))</f>
        <v>68.520408163265216</v>
      </c>
      <c r="J52" s="11">
        <f ca="1">IF(ROW($N52)-4&lt;BB_Periods, "", AVERAGE(INDIRECT(ADDRESS(ROW($F52)-RSI_Periods +1, MATCH("Adj Close", Price_Header,0))): INDIRECT(ADDRESS(ROW($F52),MATCH("Adj Close", Price_Header,0)))))</f>
        <v>141.73499999999999</v>
      </c>
      <c r="K52" s="11">
        <f ca="1">IF(tbl_WMT[[#This Row],[BB_Mean]]="", "", tbl_WMT[[#This Row],[BB_Mean]]+(BB_Width*tbl_WMT[[#This Row],[BB_Stdev]]))</f>
        <v>147.00524594375747</v>
      </c>
      <c r="L52" s="11">
        <f ca="1">IF(tbl_WMT[[#This Row],[BB_Mean]]="", "", tbl_WMT[[#This Row],[BB_Mean]]-(BB_Width*tbl_WMT[[#This Row],[BB_Stdev]]))</f>
        <v>136.4647540562425</v>
      </c>
      <c r="M52" s="46">
        <f>IF(ROW(tbl_WMT[[#This Row],[Adj Close]])=5, 0, $F52-$F51)</f>
        <v>0.59000000000000341</v>
      </c>
      <c r="N52" s="46">
        <f>MAX(tbl_WMT[[#This Row],[Move]],0)</f>
        <v>0.59000000000000341</v>
      </c>
      <c r="O52" s="46">
        <f>MAX(-tbl_WMT[[#This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0.95928571428571685</v>
      </c>
      <c r="Q52" s="46">
        <f ca="1">IF(ROW($O52)-5&lt;RSI_Periods, "", AVERAGE(INDIRECT(ADDRESS(ROW($O52)-RSI_Periods +1, MATCH("Downmove", Price_Header,0))): INDIRECT(ADDRESS(ROW($O52),MATCH("Downmove", Price_Header,0)))))</f>
        <v>0.44071428571428889</v>
      </c>
      <c r="R52" s="46">
        <f ca="1">IF(tbl_WMT[[#This Row],[Avg_Upmove]]="", "", tbl_WMT[[#This Row],[Avg_Upmove]]/tbl_WMT[[#This Row],[Avg_Downmove]])</f>
        <v>2.1766612641815137</v>
      </c>
      <c r="S52" s="11">
        <f ca="1">IF(ROW($N52)-4&lt;BB_Periods, "", _xlfn.STDEV.S(INDIRECT(ADDRESS(ROW($F52)-RSI_Periods +1, MATCH("Adj Close", Price_Header,0))): INDIRECT(ADDRESS(ROW($F52),MATCH("Adj Close", Price_Header,0)))))</f>
        <v>2.6351229718787481</v>
      </c>
    </row>
    <row r="53" spans="1:19" x14ac:dyDescent="0.25">
      <c r="A53" s="8">
        <v>44120</v>
      </c>
      <c r="B53" s="48">
        <v>145.4</v>
      </c>
      <c r="C53" s="48">
        <v>146.15</v>
      </c>
      <c r="D53" s="48">
        <v>144.47</v>
      </c>
      <c r="E53" s="48">
        <v>144.71</v>
      </c>
      <c r="F53" s="48">
        <v>144.71</v>
      </c>
      <c r="G53">
        <v>5645000</v>
      </c>
      <c r="H53" s="48">
        <f>IF(tbl_WMT[[#This Row],[Date]]=$A$5, $F53, EMA_Beta*$H52 + (1-EMA_Beta)*$F53)</f>
        <v>152.57490085810824</v>
      </c>
      <c r="I53" s="50">
        <f ca="1">IF(tbl_WMT[[#This Row],[RS]]= "", "", 100-(100/(1+tbl_WMT[[#This Row],[RS]])))</f>
        <v>68.876518218623431</v>
      </c>
      <c r="J53" s="11">
        <f ca="1">IF(ROW($N53)-4&lt;BB_Periods, "", AVERAGE(INDIRECT(ADDRESS(ROW($F53)-RSI_Periods +1, MATCH("Adj Close", Price_Header,0))): INDIRECT(ADDRESS(ROW($F53),MATCH("Adj Close", Price_Header,0)))))</f>
        <v>142.26785714285714</v>
      </c>
      <c r="K53" s="11">
        <f ca="1">IF(tbl_WMT[[#This Row],[BB_Mean]]="", "", tbl_WMT[[#This Row],[BB_Mean]]+(BB_Width*tbl_WMT[[#This Row],[BB_Stdev]]))</f>
        <v>147.07268278491216</v>
      </c>
      <c r="L53" s="11">
        <f ca="1">IF(tbl_WMT[[#This Row],[BB_Mean]]="", "", tbl_WMT[[#This Row],[BB_Mean]]-(BB_Width*tbl_WMT[[#This Row],[BB_Stdev]]))</f>
        <v>137.46303150080212</v>
      </c>
      <c r="M53" s="46">
        <f>IF(ROW(tbl_WMT[[#This Row],[Adj Close]])=5, 0, $F53-$F52)</f>
        <v>0.18000000000000682</v>
      </c>
      <c r="N53" s="46">
        <f>MAX(tbl_WMT[[#This Row],[Move]],0)</f>
        <v>0.18000000000000682</v>
      </c>
      <c r="O53" s="46">
        <f>MAX(-tbl_WMT[[#This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0.9721428571428602</v>
      </c>
      <c r="Q53" s="46">
        <f ca="1">IF(ROW($O53)-5&lt;RSI_Periods, "", AVERAGE(INDIRECT(ADDRESS(ROW($O53)-RSI_Periods +1, MATCH("Downmove", Price_Header,0))): INDIRECT(ADDRESS(ROW($O53),MATCH("Downmove", Price_Header,0)))))</f>
        <v>0.43928571428571672</v>
      </c>
      <c r="R53" s="46">
        <f ca="1">IF(tbl_WMT[[#This Row],[Avg_Upmove]]="", "", tbl_WMT[[#This Row],[Avg_Upmove]]/tbl_WMT[[#This Row],[Avg_Downmove]])</f>
        <v>2.2130081300812954</v>
      </c>
      <c r="S53" s="11">
        <f ca="1">IF(ROW($N53)-4&lt;BB_Periods, "", _xlfn.STDEV.S(INDIRECT(ADDRESS(ROW($F53)-RSI_Periods +1, MATCH("Adj Close", Price_Header,0))): INDIRECT(ADDRESS(ROW($F53),MATCH("Adj Close", Price_Header,0)))))</f>
        <v>2.4024128210275131</v>
      </c>
    </row>
    <row r="54" spans="1:19" x14ac:dyDescent="0.25">
      <c r="A54" s="8">
        <v>44123</v>
      </c>
      <c r="B54" s="48">
        <v>145.1</v>
      </c>
      <c r="C54" s="48">
        <v>145.44</v>
      </c>
      <c r="D54" s="48">
        <v>142.76</v>
      </c>
      <c r="E54" s="48">
        <v>143.29</v>
      </c>
      <c r="F54" s="48">
        <v>143.29</v>
      </c>
      <c r="G54">
        <v>3462378</v>
      </c>
      <c r="H54" s="48">
        <f>IF(tbl_WMT[[#This Row],[Date]]=$A$5, $F54, EMA_Beta*$H53 + (1-EMA_Beta)*$F54)</f>
        <v>151.64641077229743</v>
      </c>
      <c r="I54" s="50">
        <f ca="1">IF(tbl_WMT[[#This Row],[RS]]= "", "", 100-(100/(1+tbl_WMT[[#This Row],[RS]])))</f>
        <v>64.594209776933994</v>
      </c>
      <c r="J54" s="11">
        <f ca="1">IF(ROW($N54)-4&lt;BB_Periods, "", AVERAGE(INDIRECT(ADDRESS(ROW($F54)-RSI_Periods +1, MATCH("Adj Close", Price_Header,0))): INDIRECT(ADDRESS(ROW($F54),MATCH("Adj Close", Price_Header,0)))))</f>
        <v>142.70714285714286</v>
      </c>
      <c r="K54" s="11">
        <f ca="1">IF(tbl_WMT[[#This Row],[BB_Mean]]="", "", tbl_WMT[[#This Row],[BB_Mean]]+(BB_Width*tbl_WMT[[#This Row],[BB_Stdev]]))</f>
        <v>146.51316584564555</v>
      </c>
      <c r="L54" s="11">
        <f ca="1">IF(tbl_WMT[[#This Row],[BB_Mean]]="", "", tbl_WMT[[#This Row],[BB_Mean]]-(BB_Width*tbl_WMT[[#This Row],[BB_Stdev]]))</f>
        <v>138.90111986864017</v>
      </c>
      <c r="M54" s="46">
        <f>IF(ROW(tbl_WMT[[#This Row],[Adj Close]])=5, 0, $F54-$F53)</f>
        <v>-1.4200000000000159</v>
      </c>
      <c r="N54" s="46">
        <f>MAX(tbl_WMT[[#This Row],[Move]],0)</f>
        <v>0</v>
      </c>
      <c r="O54" s="46">
        <f>MAX(-tbl_WMT[[#This Row],[Move]],0)</f>
        <v>1.4200000000000159</v>
      </c>
      <c r="P54" s="46">
        <f ca="1">IF(ROW($N54)-5&lt;RSI_Periods, "", AVERAGE(INDIRECT(ADDRESS(ROW($N54)-RSI_Periods +1, MATCH("Upmove", Price_Header,0))): INDIRECT(ADDRESS(ROW($N54),MATCH("Upmove", Price_Header,0)))))</f>
        <v>0.9721428571428602</v>
      </c>
      <c r="Q54" s="46">
        <f ca="1">IF(ROW($O54)-5&lt;RSI_Periods, "", AVERAGE(INDIRECT(ADDRESS(ROW($O54)-RSI_Periods +1, MATCH("Downmove", Price_Header,0))): INDIRECT(ADDRESS(ROW($O54),MATCH("Downmove", Price_Header,0)))))</f>
        <v>0.53285714285714547</v>
      </c>
      <c r="R54" s="46">
        <f ca="1">IF(tbl_WMT[[#This Row],[Avg_Upmove]]="", "", tbl_WMT[[#This Row],[Avg_Upmove]]/tbl_WMT[[#This Row],[Avg_Downmove]])</f>
        <v>1.8243967828418199</v>
      </c>
      <c r="S54" s="11">
        <f ca="1">IF(ROW($N54)-4&lt;BB_Periods, "", _xlfn.STDEV.S(INDIRECT(ADDRESS(ROW($F54)-RSI_Periods +1, MATCH("Adj Close", Price_Header,0))): INDIRECT(ADDRESS(ROW($F54),MATCH("Adj Close", Price_Header,0)))))</f>
        <v>1.9030114942513474</v>
      </c>
    </row>
    <row r="55" spans="1:19" x14ac:dyDescent="0.25">
      <c r="A55" t="s">
        <v>162</v>
      </c>
      <c r="I55" s="61"/>
      <c r="S55">
        <f ca="1">SUBTOTAL(103,tbl_WMT[BB_Stdev])</f>
        <v>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16" zoomScale="110" zoomScaleNormal="110" workbookViewId="0">
      <selection activeCell="B55" sqref="B55"/>
    </sheetView>
  </sheetViews>
  <sheetFormatPr defaultRowHeight="15" x14ac:dyDescent="0.25"/>
  <cols>
    <col min="1" max="1" width="10.4257812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2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2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2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2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2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2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2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2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2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2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2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2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2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2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2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2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25">
      <c r="A50" s="8">
        <v>44117</v>
      </c>
      <c r="B50" s="48">
        <v>3.4670000000000001</v>
      </c>
      <c r="C50" s="48">
        <v>3.47</v>
      </c>
      <c r="D50" s="48">
        <v>3.22</v>
      </c>
      <c r="E50" s="48">
        <v>3.37</v>
      </c>
      <c r="F50" s="48">
        <v>3.37</v>
      </c>
      <c r="G50">
        <v>5209300</v>
      </c>
      <c r="H50" s="48">
        <f>IF(tbl_RIOT[[#This Row],[Date]]=$A$5, $F50, EMA_Beta*$H49 + (1-EMA_Beta)*$F50)</f>
        <v>2.9634366305565334</v>
      </c>
      <c r="I50" s="46">
        <f ca="1">IF(tbl_RIOT[[#This Row],[RS]]= "", "", 100-(100/(1+tbl_RIOT[[#This Row],[RS]])))</f>
        <v>74.838709677419359</v>
      </c>
      <c r="J50" s="48">
        <f ca="1">IF(ROW($N50)-4&lt;BB_Periods, "", AVERAGE(INDIRECT(ADDRESS(ROW($F50)-RSI_Periods +1, MATCH("Adj Close", Price_Header,0))): INDIRECT(ADDRESS(ROW($F50),MATCH("Adj Close", Price_Header,0)))))</f>
        <v>2.828928571428571</v>
      </c>
      <c r="K50" s="48">
        <f ca="1">IF(tbl_RIOT[[#This Row],[BB_Mean]]="", "", tbl_RIOT[[#This Row],[BB_Mean]]+(BB_Width*tbl_RIOT[[#This Row],[BB_Stdev]]))</f>
        <v>3.4116038150767283</v>
      </c>
      <c r="L50" s="48">
        <f ca="1">IF(tbl_RIOT[[#This Row],[BB_Mean]]="", "", tbl_RIOT[[#This Row],[BB_Mean]]-(BB_Width*tbl_RIOT[[#This Row],[BB_Stdev]]))</f>
        <v>2.2462533277804138</v>
      </c>
      <c r="M50" s="46">
        <f>IF(ROW(tbl_RIOT[[#This Row],[Adj Close]])=5, 0, $F50-$F49)</f>
        <v>-0.12999999999999989</v>
      </c>
      <c r="N50" s="46">
        <f>MAX(tbl_RIOT[[#This Row],[Move]],0)</f>
        <v>0</v>
      </c>
      <c r="O50" s="46">
        <f>MAX(-tbl_RIOT[[#This Row],[Move]],0)</f>
        <v>0.12999999999999989</v>
      </c>
      <c r="P50" s="46">
        <f ca="1">IF(ROW($N50)-5&lt;RSI_Periods, "", AVERAGE(INDIRECT(ADDRESS(ROW($N50)-RSI_Periods +1, MATCH("Upmove", Price_Header,0))): INDIRECT(ADDRESS(ROW($N50),MATCH("Upmove", Price_Header,0)))))</f>
        <v>8.2857142857142838E-2</v>
      </c>
      <c r="Q50" s="46">
        <f ca="1">IF(ROW($O50)-5&lt;RSI_Periods, "", AVERAGE(INDIRECT(ADDRESS(ROW($O50)-RSI_Periods +1, MATCH("Downmove", Price_Header,0))): INDIRECT(ADDRESS(ROW($O50),MATCH("Downmove", Price_Header,0)))))</f>
        <v>2.7857142857142834E-2</v>
      </c>
      <c r="R50" s="46">
        <f ca="1">IF(tbl_RIOT[[#This Row],[Avg_Upmove]]="", "", tbl_RIOT[[#This Row],[Avg_Upmove]]/tbl_RIOT[[#This Row],[Avg_Downmove]])</f>
        <v>2.9743589743589762</v>
      </c>
      <c r="S50" s="48">
        <f ca="1">IF(ROW($N50)-4&lt;BB_Periods, "", _xlfn.STDEV.S(INDIRECT(ADDRESS(ROW($F50)-RSI_Periods +1, MATCH("Adj Close", Price_Header,0))): INDIRECT(ADDRESS(ROW($F50),MATCH("Adj Close", Price_Header,0)))))</f>
        <v>0.29133762182407869</v>
      </c>
    </row>
    <row r="51" spans="1:19" x14ac:dyDescent="0.25">
      <c r="A51" s="8">
        <v>44118</v>
      </c>
      <c r="B51" s="48">
        <v>3.33</v>
      </c>
      <c r="C51" s="48">
        <v>3.49</v>
      </c>
      <c r="D51" s="48">
        <v>3.21</v>
      </c>
      <c r="E51" s="48">
        <v>3.28</v>
      </c>
      <c r="F51" s="48">
        <v>3.28</v>
      </c>
      <c r="G51">
        <v>4023900</v>
      </c>
      <c r="H51" s="48">
        <f>IF(tbl_RIOT[[#This Row],[Date]]=$A$5, $F51, EMA_Beta*$H50 + (1-EMA_Beta)*$F51)</f>
        <v>2.9950929675008799</v>
      </c>
      <c r="I51" s="46">
        <f ca="1">IF(tbl_RIOT[[#This Row],[RS]]= "", "", 100-(100/(1+tbl_RIOT[[#This Row],[RS]])))</f>
        <v>69.032258064516128</v>
      </c>
      <c r="J51" s="48">
        <f ca="1">IF(ROW($N51)-4&lt;BB_Periods, "", AVERAGE(INDIRECT(ADDRESS(ROW($F51)-RSI_Periods +1, MATCH("Adj Close", Price_Header,0))): INDIRECT(ADDRESS(ROW($F51),MATCH("Adj Close", Price_Header,0)))))</f>
        <v>2.8710714285714287</v>
      </c>
      <c r="K51" s="48">
        <f ca="1">IF(tbl_RIOT[[#This Row],[BB_Mean]]="", "", tbl_RIOT[[#This Row],[BB_Mean]]+(BB_Width*tbl_RIOT[[#This Row],[BB_Stdev]]))</f>
        <v>3.4943898256814645</v>
      </c>
      <c r="L51" s="48">
        <f ca="1">IF(tbl_RIOT[[#This Row],[BB_Mean]]="", "", tbl_RIOT[[#This Row],[BB_Mean]]-(BB_Width*tbl_RIOT[[#This Row],[BB_Stdev]]))</f>
        <v>2.2477530314613929</v>
      </c>
      <c r="M51" s="46">
        <f>IF(ROW(tbl_RIOT[[#This Row],[Adj Close]])=5, 0, $F51-$F50)</f>
        <v>-9.0000000000000302E-2</v>
      </c>
      <c r="N51" s="46">
        <f>MAX(tbl_RIOT[[#This Row],[Move]],0)</f>
        <v>0</v>
      </c>
      <c r="O51" s="46">
        <f>MAX(-tbl_RIOT[[#This Row],[Move]],0)</f>
        <v>9.0000000000000302E-2</v>
      </c>
      <c r="P51" s="46">
        <f ca="1">IF(ROW($N51)-5&lt;RSI_Periods, "", AVERAGE(INDIRECT(ADDRESS(ROW($N51)-RSI_Periods +1, MATCH("Upmove", Price_Header,0))): INDIRECT(ADDRESS(ROW($N51),MATCH("Upmove", Price_Header,0)))))</f>
        <v>7.6428571428571415E-2</v>
      </c>
      <c r="Q51" s="46">
        <f ca="1">IF(ROW($O51)-5&lt;RSI_Periods, "", AVERAGE(INDIRECT(ADDRESS(ROW($O51)-RSI_Periods +1, MATCH("Downmove", Price_Header,0))): INDIRECT(ADDRESS(ROW($O51),MATCH("Downmove", Price_Header,0)))))</f>
        <v>3.4285714285714287E-2</v>
      </c>
      <c r="R51" s="46">
        <f ca="1">IF(tbl_RIOT[[#This Row],[Avg_Upmove]]="", "", tbl_RIOT[[#This Row],[Avg_Upmove]]/tbl_RIOT[[#This Row],[Avg_Downmove]])</f>
        <v>2.2291666666666661</v>
      </c>
      <c r="S51" s="48">
        <f ca="1">IF(ROW($N51)-4&lt;BB_Periods, "", _xlfn.STDEV.S(INDIRECT(ADDRESS(ROW($F51)-RSI_Periods +1, MATCH("Adj Close", Price_Header,0))): INDIRECT(ADDRESS(ROW($F51),MATCH("Adj Close", Price_Header,0)))))</f>
        <v>0.31165919855501778</v>
      </c>
    </row>
    <row r="52" spans="1:19" x14ac:dyDescent="0.25">
      <c r="A52" s="8">
        <v>44119</v>
      </c>
      <c r="B52" s="48">
        <v>3.1760000000000002</v>
      </c>
      <c r="C52" s="48">
        <v>3.47</v>
      </c>
      <c r="D52" s="48">
        <v>3.0760000000000001</v>
      </c>
      <c r="E52" s="48">
        <v>3.4</v>
      </c>
      <c r="F52" s="48">
        <v>3.4</v>
      </c>
      <c r="G52">
        <v>3605700</v>
      </c>
      <c r="H52" s="48">
        <f>IF(tbl_RIOT[[#This Row],[Date]]=$A$5, $F52, EMA_Beta*$H51 + (1-EMA_Beta)*$F52)</f>
        <v>3.0355836707507917</v>
      </c>
      <c r="I52" s="46">
        <f ca="1">IF(tbl_RIOT[[#This Row],[RS]]= "", "", 100-(100/(1+tbl_RIOT[[#This Row],[RS]])))</f>
        <v>71.686746987951793</v>
      </c>
      <c r="J52" s="48">
        <f ca="1">IF(ROW($N52)-4&lt;BB_Periods, "", AVERAGE(INDIRECT(ADDRESS(ROW($F52)-RSI_Periods +1, MATCH("Adj Close", Price_Header,0))): INDIRECT(ADDRESS(ROW($F52),MATCH("Adj Close", Price_Header,0)))))</f>
        <v>2.9224999999999999</v>
      </c>
      <c r="K52" s="48">
        <f ca="1">IF(tbl_RIOT[[#This Row],[BB_Mean]]="", "", tbl_RIOT[[#This Row],[BB_Mean]]+(BB_Width*tbl_RIOT[[#This Row],[BB_Stdev]]))</f>
        <v>3.594795150384686</v>
      </c>
      <c r="L52" s="48">
        <f ca="1">IF(tbl_RIOT[[#This Row],[BB_Mean]]="", "", tbl_RIOT[[#This Row],[BB_Mean]]-(BB_Width*tbl_RIOT[[#This Row],[BB_Stdev]]))</f>
        <v>2.2502048496153138</v>
      </c>
      <c r="M52" s="46">
        <f>IF(ROW(tbl_RIOT[[#This Row],[Adj Close]])=5, 0, $F52-$F51)</f>
        <v>0.12000000000000011</v>
      </c>
      <c r="N52" s="46">
        <f>MAX(tbl_RIOT[[#This Row],[Move]],0)</f>
        <v>0.12000000000000011</v>
      </c>
      <c r="O52" s="46">
        <f>MAX(-tbl_RIOT[[#This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8.4999999999999992E-2</v>
      </c>
      <c r="Q52" s="46">
        <f ca="1">IF(ROW($O52)-5&lt;RSI_Periods, "", AVERAGE(INDIRECT(ADDRESS(ROW($O52)-RSI_Periods +1, MATCH("Downmove", Price_Header,0))): INDIRECT(ADDRESS(ROW($O52),MATCH("Downmove", Price_Header,0)))))</f>
        <v>3.3571428571428585E-2</v>
      </c>
      <c r="R52" s="46">
        <f ca="1">IF(tbl_RIOT[[#This Row],[Avg_Upmove]]="", "", tbl_RIOT[[#This Row],[Avg_Upmove]]/tbl_RIOT[[#This Row],[Avg_Downmove]])</f>
        <v>2.5319148936170199</v>
      </c>
      <c r="S52" s="48">
        <f ca="1">IF(ROW($N52)-4&lt;BB_Periods, "", _xlfn.STDEV.S(INDIRECT(ADDRESS(ROW($F52)-RSI_Periods +1, MATCH("Adj Close", Price_Header,0))): INDIRECT(ADDRESS(ROW($F52),MATCH("Adj Close", Price_Header,0)))))</f>
        <v>0.33614757519234312</v>
      </c>
    </row>
    <row r="53" spans="1:19" x14ac:dyDescent="0.25">
      <c r="A53" s="8">
        <v>44120</v>
      </c>
      <c r="B53" s="48">
        <v>3.37</v>
      </c>
      <c r="C53" s="48">
        <v>3.37</v>
      </c>
      <c r="D53" s="48">
        <v>3.11</v>
      </c>
      <c r="E53" s="48">
        <v>3.11</v>
      </c>
      <c r="F53" s="48">
        <v>3.11</v>
      </c>
      <c r="G53">
        <v>4208700</v>
      </c>
      <c r="H53" s="48">
        <f>IF(tbl_RIOT[[#This Row],[Date]]=$A$5, $F53, EMA_Beta*$H52 + (1-EMA_Beta)*$F53)</f>
        <v>3.0430253036757127</v>
      </c>
      <c r="I53" s="46">
        <f ca="1">IF(tbl_RIOT[[#This Row],[RS]]= "", "", 100-(100/(1+tbl_RIOT[[#This Row],[RS]])))</f>
        <v>59.788359788359784</v>
      </c>
      <c r="J53" s="48">
        <f ca="1">IF(ROW($N53)-4&lt;BB_Periods, "", AVERAGE(INDIRECT(ADDRESS(ROW($F53)-RSI_Periods +1, MATCH("Adj Close", Price_Header,0))): INDIRECT(ADDRESS(ROW($F53),MATCH("Adj Close", Price_Header,0)))))</f>
        <v>2.9489285714285711</v>
      </c>
      <c r="K53" s="48">
        <f ca="1">IF(tbl_RIOT[[#This Row],[BB_Mean]]="", "", tbl_RIOT[[#This Row],[BB_Mean]]+(BB_Width*tbl_RIOT[[#This Row],[BB_Stdev]]))</f>
        <v>3.6194069146964307</v>
      </c>
      <c r="L53" s="48">
        <f ca="1">IF(tbl_RIOT[[#This Row],[BB_Mean]]="", "", tbl_RIOT[[#This Row],[BB_Mean]]-(BB_Width*tbl_RIOT[[#This Row],[BB_Stdev]]))</f>
        <v>2.2784502281607115</v>
      </c>
      <c r="M53" s="46">
        <f>IF(ROW(tbl_RIOT[[#This Row],[Adj Close]])=5, 0, $F53-$F52)</f>
        <v>-0.29000000000000004</v>
      </c>
      <c r="N53" s="46">
        <f>MAX(tbl_RIOT[[#This Row],[Move]],0)</f>
        <v>0</v>
      </c>
      <c r="O53" s="46">
        <f>MAX(-tbl_RIOT[[#This Row],[Move]],0)</f>
        <v>0.29000000000000004</v>
      </c>
      <c r="P53" s="46">
        <f ca="1">IF(ROW($N53)-5&lt;RSI_Periods, "", AVERAGE(INDIRECT(ADDRESS(ROW($N53)-RSI_Periods +1, MATCH("Upmove", Price_Header,0))): INDIRECT(ADDRESS(ROW($N53),MATCH("Upmove", Price_Header,0)))))</f>
        <v>8.0714285714285711E-2</v>
      </c>
      <c r="Q53" s="46">
        <f ca="1">IF(ROW($O53)-5&lt;RSI_Periods, "", AVERAGE(INDIRECT(ADDRESS(ROW($O53)-RSI_Periods +1, MATCH("Downmove", Price_Header,0))): INDIRECT(ADDRESS(ROW($O53),MATCH("Downmove", Price_Header,0)))))</f>
        <v>5.4285714285714305E-2</v>
      </c>
      <c r="R53" s="46">
        <f ca="1">IF(tbl_RIOT[[#This Row],[Avg_Upmove]]="", "", tbl_RIOT[[#This Row],[Avg_Upmove]]/tbl_RIOT[[#This Row],[Avg_Downmove]])</f>
        <v>1.4868421052631573</v>
      </c>
      <c r="S53" s="48">
        <f ca="1">IF(ROW($N53)-4&lt;BB_Periods, "", _xlfn.STDEV.S(INDIRECT(ADDRESS(ROW($F53)-RSI_Periods +1, MATCH("Adj Close", Price_Header,0))): INDIRECT(ADDRESS(ROW($F53),MATCH("Adj Close", Price_Header,0)))))</f>
        <v>0.33523917163392986</v>
      </c>
    </row>
    <row r="54" spans="1:19" x14ac:dyDescent="0.25">
      <c r="A54" s="8">
        <v>44123</v>
      </c>
      <c r="B54" s="48">
        <v>3.32</v>
      </c>
      <c r="C54" s="48">
        <v>3.55</v>
      </c>
      <c r="D54" s="48">
        <v>3.25</v>
      </c>
      <c r="E54" s="48">
        <v>3.3</v>
      </c>
      <c r="F54" s="48">
        <v>3.3</v>
      </c>
      <c r="G54">
        <v>8712127</v>
      </c>
      <c r="H54" s="48">
        <f>IF(tbl_RIOT[[#This Row],[Date]]=$A$5, $F54, EMA_Beta*$H53 + (1-EMA_Beta)*$F54)</f>
        <v>3.0687227733081417</v>
      </c>
      <c r="I54" s="46">
        <f ca="1">IF(tbl_RIOT[[#This Row],[RS]]= "", "", 100-(100/(1+tbl_RIOT[[#This Row],[RS]])))</f>
        <v>63.106796116504853</v>
      </c>
      <c r="J54" s="48">
        <f ca="1">IF(ROW($N54)-4&lt;BB_Periods, "", AVERAGE(INDIRECT(ADDRESS(ROW($F54)-RSI_Periods +1, MATCH("Adj Close", Price_Header,0))): INDIRECT(ADDRESS(ROW($F54),MATCH("Adj Close", Price_Header,0)))))</f>
        <v>2.9874999999999998</v>
      </c>
      <c r="K54" s="48">
        <f ca="1">IF(tbl_RIOT[[#This Row],[BB_Mean]]="", "", tbl_RIOT[[#This Row],[BB_Mean]]+(BB_Width*tbl_RIOT[[#This Row],[BB_Stdev]]))</f>
        <v>3.6731187547924034</v>
      </c>
      <c r="L54" s="48">
        <f ca="1">IF(tbl_RIOT[[#This Row],[BB_Mean]]="", "", tbl_RIOT[[#This Row],[BB_Mean]]-(BB_Width*tbl_RIOT[[#This Row],[BB_Stdev]]))</f>
        <v>2.3018812452075963</v>
      </c>
      <c r="M54" s="46">
        <f>IF(ROW(tbl_RIOT[[#This Row],[Adj Close]])=5, 0, $F54-$F53)</f>
        <v>0.18999999999999995</v>
      </c>
      <c r="N54" s="46">
        <f>MAX(tbl_RIOT[[#This Row],[Move]],0)</f>
        <v>0.18999999999999995</v>
      </c>
      <c r="O54" s="46">
        <f>MAX(-tbl_RIOT[[#This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9.2857142857142874E-2</v>
      </c>
      <c r="Q54" s="46">
        <f ca="1">IF(ROW($O54)-5&lt;RSI_Periods, "", AVERAGE(INDIRECT(ADDRESS(ROW($O54)-RSI_Periods +1, MATCH("Downmove", Price_Header,0))): INDIRECT(ADDRESS(ROW($O54),MATCH("Downmove", Price_Header,0)))))</f>
        <v>5.4285714285714305E-2</v>
      </c>
      <c r="R54" s="46">
        <f ca="1">IF(tbl_RIOT[[#This Row],[Avg_Upmove]]="", "", tbl_RIOT[[#This Row],[Avg_Upmove]]/tbl_RIOT[[#This Row],[Avg_Downmove]])</f>
        <v>1.7105263157894735</v>
      </c>
      <c r="S54" s="48">
        <f ca="1">IF(ROW($N54)-4&lt;BB_Periods, "", _xlfn.STDEV.S(INDIRECT(ADDRESS(ROW($F54)-RSI_Periods +1, MATCH("Adj Close", Price_Header,0))): INDIRECT(ADDRESS(ROW($F54),MATCH("Adj Close", Price_Header,0)))))</f>
        <v>0.34280937739620171</v>
      </c>
    </row>
    <row r="55" spans="1:19" x14ac:dyDescent="0.25">
      <c r="A55" t="s">
        <v>162</v>
      </c>
      <c r="S55">
        <f ca="1">SUBTOTAL(103,tbl_RIOT[BB_Stdev])</f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41</vt:i4>
      </vt:variant>
    </vt:vector>
  </HeadingPairs>
  <TitlesOfParts>
    <vt:vector size="64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QCOM</vt:lpstr>
      <vt:lpstr>F</vt:lpstr>
      <vt:lpstr>Dashboard</vt:lpstr>
      <vt:lpstr>Dashboard_backend</vt:lpstr>
      <vt:lpstr>Format Control</vt:lpstr>
      <vt:lpstr>New Stock</vt:lpstr>
      <vt:lpstr>AMD!Adj_Close_HD</vt:lpstr>
      <vt:lpstr>CVX!Adj_Close_HD</vt:lpstr>
      <vt:lpstr>F!Adj_Close_HD</vt:lpstr>
      <vt:lpstr>QCOM!Adj_Close_HD</vt:lpstr>
      <vt:lpstr>Adj_Close_HD</vt:lpstr>
      <vt:lpstr>BB_Periods</vt:lpstr>
      <vt:lpstr>BB_Width</vt:lpstr>
      <vt:lpstr>AMD!Date_List</vt:lpstr>
      <vt:lpstr>CVX!Date_List</vt:lpstr>
      <vt:lpstr>F!Date_List</vt:lpstr>
      <vt:lpstr>QCOM!Date_List</vt:lpstr>
      <vt:lpstr>Date_List</vt:lpstr>
      <vt:lpstr>EMA_Beta</vt:lpstr>
      <vt:lpstr>Metrics</vt:lpstr>
      <vt:lpstr>AMD!pos_header</vt:lpstr>
      <vt:lpstr>CVX!pos_header</vt:lpstr>
      <vt:lpstr>F!pos_header</vt:lpstr>
      <vt:lpstr>QCOM!pos_header</vt:lpstr>
      <vt:lpstr>pos_header</vt:lpstr>
      <vt:lpstr>AMD!Price_AAPL</vt:lpstr>
      <vt:lpstr>CVX!Price_AAPL</vt:lpstr>
      <vt:lpstr>F!Price_AAPL</vt:lpstr>
      <vt:lpstr>QCOM!Price_AAPL</vt:lpstr>
      <vt:lpstr>Price_AAPL</vt:lpstr>
      <vt:lpstr>AMD!Price_HD</vt:lpstr>
      <vt:lpstr>CVX!Price_HD</vt:lpstr>
      <vt:lpstr>F!Price_HD</vt:lpstr>
      <vt:lpstr>QCOM!Price_HD</vt:lpstr>
      <vt:lpstr>Price_HD</vt:lpstr>
      <vt:lpstr>AMD!Price_Header</vt:lpstr>
      <vt:lpstr>CVX!Price_Header</vt:lpstr>
      <vt:lpstr>F!Price_Header</vt:lpstr>
      <vt:lpstr>QCOM!Price_Header</vt:lpstr>
      <vt:lpstr>Price_Header</vt:lpstr>
      <vt:lpstr>RSI_Periods</vt:lpstr>
      <vt:lpstr>AMD!Symbol</vt:lpstr>
      <vt:lpstr>CVX!Symbol</vt:lpstr>
      <vt:lpstr>F!Symbol</vt:lpstr>
      <vt:lpstr>QCOM!Symbol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2020-10-21T01:33:01Z</dcterms:modified>
</cp:coreProperties>
</file>