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drawings/drawing3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4000" windowHeight="9735" firstSheet="5" activeTab="15"/>
  </bookViews>
  <sheets>
    <sheet name="Home" sheetId="1" r:id="rId1"/>
    <sheet name="Dashboard_Instruction" sheetId="21" r:id="rId2"/>
    <sheet name="Transactions" sheetId="2" r:id="rId3"/>
    <sheet name="Lookup" sheetId="3" r:id="rId4"/>
    <sheet name="Positions" sheetId="4" r:id="rId5"/>
    <sheet name="HD" sheetId="7" r:id="rId6"/>
    <sheet name="AAPL" sheetId="5" r:id="rId7"/>
    <sheet name="WMT" sheetId="10" r:id="rId8"/>
    <sheet name="RIOT" sheetId="11" r:id="rId9"/>
    <sheet name="IBM" sheetId="12" r:id="rId10"/>
    <sheet name="ORCL" sheetId="13" r:id="rId11"/>
    <sheet name="AKRO" sheetId="17" r:id="rId12"/>
    <sheet name="FDX" sheetId="18" r:id="rId13"/>
    <sheet name="NKLA" sheetId="19" r:id="rId14"/>
    <sheet name="SPXS" sheetId="20" r:id="rId15"/>
    <sheet name="Dashboard" sheetId="15" r:id="rId16"/>
    <sheet name="Dashboard_backend" sheetId="16" r:id="rId17"/>
  </sheets>
  <definedNames>
    <definedName name="Adj_Close_HD">tbl_HD[Adj Close]</definedName>
    <definedName name="BB_Periods">Lookup!$I$5</definedName>
    <definedName name="BB_Width">Lookup!$I$6</definedName>
    <definedName name="Date_List">tbl_HD[Date]</definedName>
    <definedName name="EMA_Beta">Lookup!$I$3</definedName>
    <definedName name="Metrics">Lookup!$E$4:$E$6</definedName>
    <definedName name="pos_header">tbl_position[#Headers]</definedName>
    <definedName name="Price_AAPL">tbl_AAPL[Adj Close]</definedName>
    <definedName name="Price_HD">tbl_HD[Adj Close]</definedName>
    <definedName name="Price_Header">tbl_HD[#Headers]</definedName>
    <definedName name="RSI_Periods">Lookup!$I$4</definedName>
    <definedName name="Symbol">tbl_symbol[Symbol]</definedName>
    <definedName name="Test">IF(#REF!="HD", Price_HD, Price_AAPL)</definedName>
    <definedName name="Total_filtered">#REF!</definedName>
    <definedName name="Transactions">Lookup!$C$4:$C$7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5" l="1"/>
  <c r="AK8" i="16" l="1"/>
  <c r="AK9" i="16"/>
  <c r="AK10" i="16"/>
  <c r="AK11" i="16"/>
  <c r="B30" i="15"/>
  <c r="H26" i="15"/>
  <c r="H24" i="15"/>
  <c r="G27" i="15"/>
  <c r="G28" i="15"/>
  <c r="G21" i="15"/>
  <c r="F25" i="15"/>
  <c r="F23" i="15"/>
  <c r="E26" i="15"/>
  <c r="E24" i="15"/>
  <c r="E21" i="15"/>
  <c r="D25" i="15"/>
  <c r="D23" i="15"/>
  <c r="C23" i="15"/>
  <c r="C25" i="15"/>
  <c r="C21" i="15"/>
  <c r="B26" i="15"/>
  <c r="B22" i="15"/>
  <c r="H30" i="15"/>
  <c r="H28" i="15"/>
  <c r="G29" i="15"/>
  <c r="G25" i="15"/>
  <c r="F22" i="15"/>
  <c r="F29" i="15"/>
  <c r="F27" i="15"/>
  <c r="E30" i="15"/>
  <c r="E28" i="15"/>
  <c r="D29" i="15"/>
  <c r="D27" i="15"/>
  <c r="C27" i="15"/>
  <c r="B24" i="15"/>
  <c r="B27" i="15"/>
  <c r="H21" i="15"/>
  <c r="H29" i="15"/>
  <c r="G22" i="15"/>
  <c r="F24" i="15"/>
  <c r="E23" i="15"/>
  <c r="E25" i="15"/>
  <c r="D26" i="15"/>
  <c r="C24" i="15"/>
  <c r="B28" i="15"/>
  <c r="H27" i="15"/>
  <c r="G23" i="15"/>
  <c r="G30" i="15"/>
  <c r="F30" i="15"/>
  <c r="E27" i="15"/>
  <c r="D28" i="15"/>
  <c r="C22" i="15"/>
  <c r="C30" i="15"/>
  <c r="B23" i="15"/>
  <c r="H25" i="15"/>
  <c r="D22" i="15"/>
  <c r="C29" i="15"/>
  <c r="B21" i="15"/>
  <c r="H23" i="15"/>
  <c r="G26" i="15"/>
  <c r="F26" i="15"/>
  <c r="F21" i="15"/>
  <c r="D24" i="15"/>
  <c r="D21" i="15"/>
  <c r="C26" i="15"/>
  <c r="B29" i="15"/>
  <c r="H22" i="15"/>
  <c r="G24" i="15"/>
  <c r="F28" i="15"/>
  <c r="E22" i="15"/>
  <c r="E29" i="15"/>
  <c r="D30" i="15"/>
  <c r="C28" i="15"/>
  <c r="B25" i="15"/>
  <c r="C11" i="16" l="1"/>
  <c r="E11" i="16" s="1"/>
  <c r="C12" i="16"/>
  <c r="E12" i="16" s="1"/>
  <c r="C13" i="16"/>
  <c r="E13" i="16" s="1"/>
  <c r="C14" i="16"/>
  <c r="U5" i="4"/>
  <c r="U6" i="4" s="1"/>
  <c r="U7" i="4" s="1"/>
  <c r="U8" i="4" s="1"/>
  <c r="U9" i="4" s="1"/>
  <c r="U10" i="4" s="1"/>
  <c r="T5" i="4"/>
  <c r="T6" i="4" s="1"/>
  <c r="T7" i="4" s="1"/>
  <c r="T8" i="4" s="1"/>
  <c r="T9" i="4" s="1"/>
  <c r="T10" i="4" s="1"/>
  <c r="S5" i="4"/>
  <c r="K5" i="4"/>
  <c r="K6" i="4"/>
  <c r="K7" i="4"/>
  <c r="K8" i="4"/>
  <c r="K9" i="4"/>
  <c r="K10" i="4"/>
  <c r="J5" i="4"/>
  <c r="J6" i="4"/>
  <c r="J7" i="4"/>
  <c r="J8" i="4"/>
  <c r="J9" i="4"/>
  <c r="J10" i="4"/>
  <c r="I5" i="4"/>
  <c r="J5" i="20"/>
  <c r="K5" i="20" s="1"/>
  <c r="J6" i="20"/>
  <c r="K6" i="20" s="1"/>
  <c r="J7" i="20"/>
  <c r="K7" i="20" s="1"/>
  <c r="J8" i="20"/>
  <c r="K8" i="20" s="1"/>
  <c r="J9" i="20"/>
  <c r="K9" i="20" s="1"/>
  <c r="J10" i="20"/>
  <c r="K10" i="20" s="1"/>
  <c r="J11" i="20"/>
  <c r="K11" i="20" s="1"/>
  <c r="J12" i="20"/>
  <c r="K12" i="20" s="1"/>
  <c r="J13" i="20"/>
  <c r="K13" i="20" s="1"/>
  <c r="J14" i="20"/>
  <c r="K14" i="20" s="1"/>
  <c r="J15" i="20"/>
  <c r="K15" i="20" s="1"/>
  <c r="J16" i="20"/>
  <c r="K16" i="20" s="1"/>
  <c r="J17" i="20"/>
  <c r="K17" i="20" s="1"/>
  <c r="J5" i="19"/>
  <c r="K5" i="19" s="1"/>
  <c r="J6" i="19"/>
  <c r="K6" i="19" s="1"/>
  <c r="J7" i="19"/>
  <c r="K7" i="19" s="1"/>
  <c r="J8" i="19"/>
  <c r="K8" i="19" s="1"/>
  <c r="J9" i="19"/>
  <c r="K9" i="19" s="1"/>
  <c r="J10" i="19"/>
  <c r="K10" i="19" s="1"/>
  <c r="J11" i="19"/>
  <c r="K11" i="19" s="1"/>
  <c r="J12" i="19"/>
  <c r="K12" i="19" s="1"/>
  <c r="J13" i="19"/>
  <c r="K13" i="19" s="1"/>
  <c r="J14" i="19"/>
  <c r="K14" i="19" s="1"/>
  <c r="J15" i="19"/>
  <c r="K15" i="19" s="1"/>
  <c r="J16" i="19"/>
  <c r="K16" i="19" s="1"/>
  <c r="J17" i="19"/>
  <c r="K17" i="19" s="1"/>
  <c r="J5" i="18"/>
  <c r="K5" i="18" s="1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5" i="19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5" i="19"/>
  <c r="Q5" i="18"/>
  <c r="P5" i="20"/>
  <c r="R5" i="20" s="1"/>
  <c r="I5" i="20" s="1"/>
  <c r="P5" i="19"/>
  <c r="R5" i="19" s="1"/>
  <c r="I5" i="19" s="1"/>
  <c r="P5" i="18"/>
  <c r="S6" i="19"/>
  <c r="S7" i="19"/>
  <c r="S8" i="19"/>
  <c r="S9" i="19"/>
  <c r="S10" i="19"/>
  <c r="S11" i="19"/>
  <c r="S12" i="19"/>
  <c r="S13" i="19"/>
  <c r="S14" i="19"/>
  <c r="S15" i="19"/>
  <c r="S16" i="19"/>
  <c r="S17" i="19"/>
  <c r="S5" i="18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P6" i="20"/>
  <c r="R6" i="20" s="1"/>
  <c r="I6" i="20" s="1"/>
  <c r="P7" i="20"/>
  <c r="R7" i="20" s="1"/>
  <c r="I7" i="20" s="1"/>
  <c r="P8" i="20"/>
  <c r="R8" i="20" s="1"/>
  <c r="I8" i="20" s="1"/>
  <c r="P9" i="20"/>
  <c r="R9" i="20" s="1"/>
  <c r="I9" i="20" s="1"/>
  <c r="P10" i="20"/>
  <c r="R10" i="20" s="1"/>
  <c r="I10" i="20" s="1"/>
  <c r="P11" i="20"/>
  <c r="R11" i="20" s="1"/>
  <c r="I11" i="20" s="1"/>
  <c r="P12" i="20"/>
  <c r="R12" i="20" s="1"/>
  <c r="I12" i="20" s="1"/>
  <c r="P13" i="20"/>
  <c r="R13" i="20" s="1"/>
  <c r="I13" i="20" s="1"/>
  <c r="P14" i="20"/>
  <c r="R14" i="20" s="1"/>
  <c r="I14" i="20" s="1"/>
  <c r="P15" i="20"/>
  <c r="R15" i="20" s="1"/>
  <c r="I15" i="20" s="1"/>
  <c r="P16" i="20"/>
  <c r="R16" i="20" s="1"/>
  <c r="I16" i="20" s="1"/>
  <c r="P17" i="20"/>
  <c r="R17" i="20" s="1"/>
  <c r="I17" i="20" s="1"/>
  <c r="P18" i="20"/>
  <c r="R18" i="20" s="1"/>
  <c r="I18" i="20" s="1"/>
  <c r="P6" i="19"/>
  <c r="R6" i="19" s="1"/>
  <c r="I6" i="19" s="1"/>
  <c r="P7" i="19"/>
  <c r="R7" i="19" s="1"/>
  <c r="I7" i="19" s="1"/>
  <c r="P8" i="19"/>
  <c r="R8" i="19" s="1"/>
  <c r="I8" i="19" s="1"/>
  <c r="P9" i="19"/>
  <c r="R9" i="19" s="1"/>
  <c r="I9" i="19" s="1"/>
  <c r="P10" i="19"/>
  <c r="R10" i="19" s="1"/>
  <c r="I10" i="19" s="1"/>
  <c r="P11" i="19"/>
  <c r="R11" i="19" s="1"/>
  <c r="I11" i="19" s="1"/>
  <c r="P12" i="19"/>
  <c r="R12" i="19" s="1"/>
  <c r="I12" i="19" s="1"/>
  <c r="P13" i="19"/>
  <c r="R13" i="19" s="1"/>
  <c r="I13" i="19" s="1"/>
  <c r="P14" i="19"/>
  <c r="R14" i="19" s="1"/>
  <c r="I14" i="19" s="1"/>
  <c r="P15" i="19"/>
  <c r="R15" i="19" s="1"/>
  <c r="I15" i="19" s="1"/>
  <c r="P16" i="19"/>
  <c r="R16" i="19" s="1"/>
  <c r="I16" i="19" s="1"/>
  <c r="P17" i="19"/>
  <c r="R17" i="19" s="1"/>
  <c r="I17" i="19" s="1"/>
  <c r="P18" i="19"/>
  <c r="R18" i="19" s="1"/>
  <c r="I18" i="19" s="1"/>
  <c r="P5" i="17"/>
  <c r="M5" i="20"/>
  <c r="N5" i="20" s="1"/>
  <c r="M6" i="20"/>
  <c r="O6" i="20" s="1"/>
  <c r="M7" i="20"/>
  <c r="O7" i="20" s="1"/>
  <c r="M8" i="20"/>
  <c r="O8" i="20" s="1"/>
  <c r="M9" i="20"/>
  <c r="N9" i="20" s="1"/>
  <c r="M10" i="20"/>
  <c r="O10" i="20" s="1"/>
  <c r="M11" i="20"/>
  <c r="O11" i="20" s="1"/>
  <c r="M12" i="20"/>
  <c r="O12" i="20" s="1"/>
  <c r="M13" i="20"/>
  <c r="N13" i="20" s="1"/>
  <c r="M14" i="20"/>
  <c r="O14" i="20" s="1"/>
  <c r="M15" i="20"/>
  <c r="O15" i="20" s="1"/>
  <c r="M16" i="20"/>
  <c r="O16" i="20" s="1"/>
  <c r="M17" i="20"/>
  <c r="N17" i="20" s="1"/>
  <c r="M18" i="20"/>
  <c r="O18" i="20" s="1"/>
  <c r="M19" i="20"/>
  <c r="O19" i="20" s="1"/>
  <c r="M20" i="20"/>
  <c r="O20" i="20" s="1"/>
  <c r="M21" i="20"/>
  <c r="N21" i="20" s="1"/>
  <c r="M22" i="20"/>
  <c r="O22" i="20" s="1"/>
  <c r="M23" i="20"/>
  <c r="O23" i="20" s="1"/>
  <c r="M24" i="20"/>
  <c r="O24" i="20" s="1"/>
  <c r="M25" i="20"/>
  <c r="N25" i="20" s="1"/>
  <c r="M26" i="20"/>
  <c r="O26" i="20" s="1"/>
  <c r="M27" i="20"/>
  <c r="O27" i="20" s="1"/>
  <c r="M28" i="20"/>
  <c r="O28" i="20" s="1"/>
  <c r="M29" i="20"/>
  <c r="N29" i="20" s="1"/>
  <c r="M30" i="20"/>
  <c r="O30" i="20" s="1"/>
  <c r="M31" i="20"/>
  <c r="O31" i="20" s="1"/>
  <c r="M32" i="20"/>
  <c r="O32" i="20" s="1"/>
  <c r="M5" i="19"/>
  <c r="N5" i="19" s="1"/>
  <c r="M6" i="19"/>
  <c r="O6" i="19" s="1"/>
  <c r="M7" i="19"/>
  <c r="O7" i="19" s="1"/>
  <c r="M8" i="19"/>
  <c r="O8" i="19" s="1"/>
  <c r="M9" i="19"/>
  <c r="N9" i="19" s="1"/>
  <c r="M10" i="19"/>
  <c r="O10" i="19" s="1"/>
  <c r="M11" i="19"/>
  <c r="O11" i="19" s="1"/>
  <c r="M12" i="19"/>
  <c r="O12" i="19" s="1"/>
  <c r="M13" i="19"/>
  <c r="N13" i="19" s="1"/>
  <c r="M14" i="19"/>
  <c r="O14" i="19" s="1"/>
  <c r="M15" i="19"/>
  <c r="O15" i="19" s="1"/>
  <c r="M16" i="19"/>
  <c r="O16" i="19" s="1"/>
  <c r="M17" i="19"/>
  <c r="N17" i="19" s="1"/>
  <c r="M18" i="19"/>
  <c r="O18" i="19" s="1"/>
  <c r="M19" i="19"/>
  <c r="O19" i="19" s="1"/>
  <c r="M20" i="19"/>
  <c r="O20" i="19" s="1"/>
  <c r="M21" i="19"/>
  <c r="N21" i="19" s="1"/>
  <c r="M22" i="19"/>
  <c r="O22" i="19" s="1"/>
  <c r="M23" i="19"/>
  <c r="O23" i="19" s="1"/>
  <c r="M24" i="19"/>
  <c r="O24" i="19" s="1"/>
  <c r="M25" i="19"/>
  <c r="N25" i="19" s="1"/>
  <c r="M26" i="19"/>
  <c r="O26" i="19" s="1"/>
  <c r="M27" i="19"/>
  <c r="O27" i="19" s="1"/>
  <c r="M28" i="19"/>
  <c r="O28" i="19" s="1"/>
  <c r="M29" i="19"/>
  <c r="N29" i="19" s="1"/>
  <c r="M30" i="19"/>
  <c r="O30" i="19" s="1"/>
  <c r="M31" i="19"/>
  <c r="O31" i="19" s="1"/>
  <c r="M32" i="19"/>
  <c r="O32" i="19" s="1"/>
  <c r="M5" i="18"/>
  <c r="N5" i="18" s="1"/>
  <c r="H5" i="20"/>
  <c r="H6" i="20"/>
  <c r="H7" i="20" s="1"/>
  <c r="H8" i="20" s="1"/>
  <c r="H9" i="20" s="1"/>
  <c r="H10" i="20" s="1"/>
  <c r="H11" i="20" s="1"/>
  <c r="H12" i="20" s="1"/>
  <c r="H13" i="20" s="1"/>
  <c r="H14" i="20" s="1"/>
  <c r="H15" i="20" s="1"/>
  <c r="H16" i="20" s="1"/>
  <c r="H17" i="20" s="1"/>
  <c r="H18" i="20" s="1"/>
  <c r="H19" i="20" s="1"/>
  <c r="H20" i="20" s="1"/>
  <c r="H21" i="20" s="1"/>
  <c r="H22" i="20" s="1"/>
  <c r="H23" i="20" s="1"/>
  <c r="H24" i="20" s="1"/>
  <c r="H25" i="20" s="1"/>
  <c r="H26" i="20" s="1"/>
  <c r="H27" i="20" s="1"/>
  <c r="H28" i="20" s="1"/>
  <c r="H29" i="20" s="1"/>
  <c r="H30" i="20" s="1"/>
  <c r="H31" i="20" s="1"/>
  <c r="H32" i="20" s="1"/>
  <c r="H5" i="19"/>
  <c r="H6" i="19" s="1"/>
  <c r="H7" i="19" s="1"/>
  <c r="H8" i="19" s="1"/>
  <c r="H9" i="19" s="1"/>
  <c r="H10" i="19" s="1"/>
  <c r="H11" i="19" s="1"/>
  <c r="H12" i="19" s="1"/>
  <c r="H13" i="19" s="1"/>
  <c r="H14" i="19" s="1"/>
  <c r="H15" i="19" s="1"/>
  <c r="H16" i="19" s="1"/>
  <c r="H17" i="19" s="1"/>
  <c r="H18" i="19" s="1"/>
  <c r="H19" i="19" s="1"/>
  <c r="H20" i="19" s="1"/>
  <c r="H21" i="19" s="1"/>
  <c r="H22" i="19" s="1"/>
  <c r="H23" i="19" s="1"/>
  <c r="H24" i="19" s="1"/>
  <c r="H25" i="19" s="1"/>
  <c r="H26" i="19" s="1"/>
  <c r="H27" i="19" s="1"/>
  <c r="H28" i="19" s="1"/>
  <c r="H29" i="19" s="1"/>
  <c r="H30" i="19" s="1"/>
  <c r="H31" i="19" s="1"/>
  <c r="H32" i="19" s="1"/>
  <c r="H5" i="18"/>
  <c r="X6" i="4"/>
  <c r="X7" i="4" s="1"/>
  <c r="X8" i="4" s="1"/>
  <c r="X9" i="4" s="1"/>
  <c r="X10" i="4" s="1"/>
  <c r="X5" i="4"/>
  <c r="S6" i="4"/>
  <c r="S7" i="4" s="1"/>
  <c r="S8" i="4" s="1"/>
  <c r="S9" i="4" s="1"/>
  <c r="S10" i="4" s="1"/>
  <c r="R5" i="4"/>
  <c r="R6" i="4" s="1"/>
  <c r="R7" i="4" s="1"/>
  <c r="R8" i="4" s="1"/>
  <c r="R9" i="4" s="1"/>
  <c r="R10" i="4" s="1"/>
  <c r="I6" i="4"/>
  <c r="I7" i="4"/>
  <c r="I8" i="4"/>
  <c r="I9" i="4"/>
  <c r="I10" i="4"/>
  <c r="H5" i="4"/>
  <c r="J6" i="18"/>
  <c r="K6" i="18" s="1"/>
  <c r="J7" i="18"/>
  <c r="K7" i="18" s="1"/>
  <c r="J8" i="18"/>
  <c r="K8" i="18" s="1"/>
  <c r="J9" i="18"/>
  <c r="K9" i="18" s="1"/>
  <c r="J10" i="18"/>
  <c r="K10" i="18" s="1"/>
  <c r="J11" i="18"/>
  <c r="K11" i="18" s="1"/>
  <c r="J12" i="18"/>
  <c r="K12" i="18" s="1"/>
  <c r="J13" i="18"/>
  <c r="K13" i="18" s="1"/>
  <c r="J14" i="18"/>
  <c r="K14" i="18" s="1"/>
  <c r="J15" i="18"/>
  <c r="K15" i="18" s="1"/>
  <c r="J16" i="18"/>
  <c r="K16" i="18" s="1"/>
  <c r="J17" i="18"/>
  <c r="K17" i="18" s="1"/>
  <c r="J5" i="17"/>
  <c r="K5" i="17" s="1"/>
  <c r="S6" i="18"/>
  <c r="S7" i="18"/>
  <c r="S8" i="18"/>
  <c r="S9" i="18"/>
  <c r="S10" i="18"/>
  <c r="S11" i="18"/>
  <c r="S12" i="18"/>
  <c r="S13" i="18"/>
  <c r="S14" i="18"/>
  <c r="S15" i="18"/>
  <c r="S16" i="18"/>
  <c r="S17" i="18"/>
  <c r="S5" i="17"/>
  <c r="Q6" i="18"/>
  <c r="Q7" i="18"/>
  <c r="Q8" i="18"/>
  <c r="Q9" i="18"/>
  <c r="Q10" i="18"/>
  <c r="Q11" i="18"/>
  <c r="Q12" i="18"/>
  <c r="Q13" i="18"/>
  <c r="Q14" i="18"/>
  <c r="Q15" i="18"/>
  <c r="Q16" i="18"/>
  <c r="Q17" i="18"/>
  <c r="Q18" i="18"/>
  <c r="Q5" i="17"/>
  <c r="P6" i="18"/>
  <c r="R6" i="18" s="1"/>
  <c r="I6" i="18" s="1"/>
  <c r="P7" i="18"/>
  <c r="R7" i="18" s="1"/>
  <c r="I7" i="18" s="1"/>
  <c r="P8" i="18"/>
  <c r="R8" i="18" s="1"/>
  <c r="I8" i="18" s="1"/>
  <c r="P9" i="18"/>
  <c r="R9" i="18" s="1"/>
  <c r="I9" i="18" s="1"/>
  <c r="P10" i="18"/>
  <c r="R10" i="18" s="1"/>
  <c r="I10" i="18" s="1"/>
  <c r="P11" i="18"/>
  <c r="R11" i="18" s="1"/>
  <c r="I11" i="18" s="1"/>
  <c r="P12" i="18"/>
  <c r="R12" i="18" s="1"/>
  <c r="I12" i="18" s="1"/>
  <c r="P13" i="18"/>
  <c r="R13" i="18" s="1"/>
  <c r="I13" i="18" s="1"/>
  <c r="P14" i="18"/>
  <c r="R14" i="18" s="1"/>
  <c r="I14" i="18" s="1"/>
  <c r="P15" i="18"/>
  <c r="R15" i="18" s="1"/>
  <c r="I15" i="18" s="1"/>
  <c r="P16" i="18"/>
  <c r="R16" i="18" s="1"/>
  <c r="I16" i="18" s="1"/>
  <c r="P17" i="18"/>
  <c r="R17" i="18" s="1"/>
  <c r="I17" i="18" s="1"/>
  <c r="P18" i="18"/>
  <c r="R18" i="18" s="1"/>
  <c r="I18" i="18" s="1"/>
  <c r="O19" i="18"/>
  <c r="O27" i="18"/>
  <c r="M6" i="18"/>
  <c r="O6" i="18" s="1"/>
  <c r="M7" i="18"/>
  <c r="N7" i="18" s="1"/>
  <c r="M8" i="18"/>
  <c r="O8" i="18" s="1"/>
  <c r="M9" i="18"/>
  <c r="O9" i="18" s="1"/>
  <c r="M10" i="18"/>
  <c r="N10" i="18" s="1"/>
  <c r="M11" i="18"/>
  <c r="N11" i="18" s="1"/>
  <c r="M12" i="18"/>
  <c r="O12" i="18" s="1"/>
  <c r="M13" i="18"/>
  <c r="N13" i="18" s="1"/>
  <c r="M14" i="18"/>
  <c r="O14" i="18" s="1"/>
  <c r="M15" i="18"/>
  <c r="N15" i="18" s="1"/>
  <c r="M16" i="18"/>
  <c r="O16" i="18" s="1"/>
  <c r="M17" i="18"/>
  <c r="O17" i="18" s="1"/>
  <c r="M18" i="18"/>
  <c r="N18" i="18" s="1"/>
  <c r="M19" i="18"/>
  <c r="N19" i="18" s="1"/>
  <c r="M20" i="18"/>
  <c r="O20" i="18" s="1"/>
  <c r="M21" i="18"/>
  <c r="N21" i="18" s="1"/>
  <c r="M22" i="18"/>
  <c r="O22" i="18" s="1"/>
  <c r="M23" i="18"/>
  <c r="N23" i="18" s="1"/>
  <c r="M24" i="18"/>
  <c r="O24" i="18" s="1"/>
  <c r="M25" i="18"/>
  <c r="O25" i="18" s="1"/>
  <c r="M26" i="18"/>
  <c r="N26" i="18" s="1"/>
  <c r="M27" i="18"/>
  <c r="N27" i="18" s="1"/>
  <c r="M28" i="18"/>
  <c r="O28" i="18" s="1"/>
  <c r="M29" i="18"/>
  <c r="N29" i="18" s="1"/>
  <c r="M30" i="18"/>
  <c r="O30" i="18" s="1"/>
  <c r="M31" i="18"/>
  <c r="N31" i="18" s="1"/>
  <c r="M32" i="18"/>
  <c r="O32" i="18" s="1"/>
  <c r="M5" i="17"/>
  <c r="O5" i="17" s="1"/>
  <c r="H6" i="18"/>
  <c r="H7" i="18" s="1"/>
  <c r="H8" i="18" s="1"/>
  <c r="H9" i="18" s="1"/>
  <c r="H10" i="18" s="1"/>
  <c r="H11" i="18" s="1"/>
  <c r="H12" i="18" s="1"/>
  <c r="H13" i="18" s="1"/>
  <c r="H14" i="18" s="1"/>
  <c r="H15" i="18" s="1"/>
  <c r="H16" i="18" s="1"/>
  <c r="H17" i="18" s="1"/>
  <c r="H18" i="18" s="1"/>
  <c r="H19" i="18" s="1"/>
  <c r="H20" i="18" s="1"/>
  <c r="H21" i="18" s="1"/>
  <c r="H22" i="18" s="1"/>
  <c r="H23" i="18" s="1"/>
  <c r="H24" i="18" s="1"/>
  <c r="H25" i="18" s="1"/>
  <c r="H26" i="18" s="1"/>
  <c r="H27" i="18" s="1"/>
  <c r="H28" i="18" s="1"/>
  <c r="H29" i="18" s="1"/>
  <c r="H30" i="18" s="1"/>
  <c r="H31" i="18" s="1"/>
  <c r="H32" i="18" s="1"/>
  <c r="H5" i="17"/>
  <c r="Q5" i="4"/>
  <c r="Q6" i="4" s="1"/>
  <c r="Q7" i="4" s="1"/>
  <c r="Q8" i="4" s="1"/>
  <c r="Q9" i="4" s="1"/>
  <c r="Q10" i="4" s="1"/>
  <c r="H6" i="4"/>
  <c r="H7" i="4"/>
  <c r="H8" i="4"/>
  <c r="H9" i="4"/>
  <c r="H10" i="4"/>
  <c r="G5" i="4"/>
  <c r="J6" i="17"/>
  <c r="K6" i="17" s="1"/>
  <c r="J7" i="17"/>
  <c r="K7" i="17" s="1"/>
  <c r="J8" i="17"/>
  <c r="K8" i="17" s="1"/>
  <c r="J9" i="17"/>
  <c r="K9" i="17" s="1"/>
  <c r="J10" i="17"/>
  <c r="K10" i="17" s="1"/>
  <c r="J11" i="17"/>
  <c r="K11" i="17" s="1"/>
  <c r="J12" i="17"/>
  <c r="K12" i="17" s="1"/>
  <c r="J13" i="17"/>
  <c r="K13" i="17" s="1"/>
  <c r="J14" i="17"/>
  <c r="K14" i="17" s="1"/>
  <c r="J15" i="17"/>
  <c r="K15" i="17" s="1"/>
  <c r="J16" i="17"/>
  <c r="K16" i="17" s="1"/>
  <c r="J17" i="17"/>
  <c r="K17" i="17" s="1"/>
  <c r="J5" i="13"/>
  <c r="K5" i="13" s="1"/>
  <c r="S6" i="17"/>
  <c r="S7" i="17"/>
  <c r="S8" i="17"/>
  <c r="S9" i="17"/>
  <c r="S10" i="17"/>
  <c r="S11" i="17"/>
  <c r="S12" i="17"/>
  <c r="S13" i="17"/>
  <c r="S14" i="17"/>
  <c r="S15" i="17"/>
  <c r="S16" i="17"/>
  <c r="S17" i="17"/>
  <c r="S5" i="13"/>
  <c r="Q6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5" i="13"/>
  <c r="P6" i="17"/>
  <c r="R6" i="17" s="1"/>
  <c r="I6" i="17" s="1"/>
  <c r="P7" i="17"/>
  <c r="R7" i="17" s="1"/>
  <c r="I7" i="17" s="1"/>
  <c r="P8" i="17"/>
  <c r="R8" i="17" s="1"/>
  <c r="I8" i="17" s="1"/>
  <c r="P9" i="17"/>
  <c r="R9" i="17" s="1"/>
  <c r="I9" i="17" s="1"/>
  <c r="P10" i="17"/>
  <c r="R10" i="17" s="1"/>
  <c r="I10" i="17" s="1"/>
  <c r="P11" i="17"/>
  <c r="R11" i="17" s="1"/>
  <c r="I11" i="17" s="1"/>
  <c r="P12" i="17"/>
  <c r="R12" i="17" s="1"/>
  <c r="I12" i="17" s="1"/>
  <c r="P13" i="17"/>
  <c r="R13" i="17" s="1"/>
  <c r="I13" i="17" s="1"/>
  <c r="P14" i="17"/>
  <c r="R14" i="17" s="1"/>
  <c r="I14" i="17" s="1"/>
  <c r="P15" i="17"/>
  <c r="R15" i="17" s="1"/>
  <c r="I15" i="17" s="1"/>
  <c r="P16" i="17"/>
  <c r="R16" i="17" s="1"/>
  <c r="I16" i="17" s="1"/>
  <c r="P17" i="17"/>
  <c r="R17" i="17" s="1"/>
  <c r="I17" i="17" s="1"/>
  <c r="P18" i="17"/>
  <c r="R18" i="17" s="1"/>
  <c r="I18" i="17" s="1"/>
  <c r="P5" i="13"/>
  <c r="R5" i="13" s="1"/>
  <c r="I5" i="13" s="1"/>
  <c r="M6" i="17"/>
  <c r="O6" i="17" s="1"/>
  <c r="M7" i="17"/>
  <c r="O7" i="17" s="1"/>
  <c r="M8" i="17"/>
  <c r="O8" i="17" s="1"/>
  <c r="M9" i="17"/>
  <c r="O9" i="17" s="1"/>
  <c r="M10" i="17"/>
  <c r="O10" i="17" s="1"/>
  <c r="M11" i="17"/>
  <c r="O11" i="17" s="1"/>
  <c r="M12" i="17"/>
  <c r="O12" i="17" s="1"/>
  <c r="M13" i="17"/>
  <c r="O13" i="17" s="1"/>
  <c r="M14" i="17"/>
  <c r="O14" i="17" s="1"/>
  <c r="M15" i="17"/>
  <c r="O15" i="17" s="1"/>
  <c r="M16" i="17"/>
  <c r="O16" i="17" s="1"/>
  <c r="M17" i="17"/>
  <c r="O17" i="17" s="1"/>
  <c r="M18" i="17"/>
  <c r="O18" i="17" s="1"/>
  <c r="M19" i="17"/>
  <c r="O19" i="17" s="1"/>
  <c r="M20" i="17"/>
  <c r="O20" i="17" s="1"/>
  <c r="M21" i="17"/>
  <c r="O21" i="17" s="1"/>
  <c r="M22" i="17"/>
  <c r="O22" i="17" s="1"/>
  <c r="M23" i="17"/>
  <c r="O23" i="17" s="1"/>
  <c r="M24" i="17"/>
  <c r="O24" i="17" s="1"/>
  <c r="M25" i="17"/>
  <c r="O25" i="17" s="1"/>
  <c r="M26" i="17"/>
  <c r="O26" i="17" s="1"/>
  <c r="M27" i="17"/>
  <c r="O27" i="17" s="1"/>
  <c r="M28" i="17"/>
  <c r="O28" i="17" s="1"/>
  <c r="M29" i="17"/>
  <c r="O29" i="17" s="1"/>
  <c r="M30" i="17"/>
  <c r="O30" i="17" s="1"/>
  <c r="M31" i="17"/>
  <c r="O31" i="17" s="1"/>
  <c r="M32" i="17"/>
  <c r="O32" i="17" s="1"/>
  <c r="M5" i="13"/>
  <c r="O5" i="13" s="1"/>
  <c r="H6" i="17"/>
  <c r="H7" i="17" s="1"/>
  <c r="H8" i="17" s="1"/>
  <c r="H9" i="17" s="1"/>
  <c r="H10" i="17" s="1"/>
  <c r="H11" i="17" s="1"/>
  <c r="H12" i="17" s="1"/>
  <c r="H13" i="17" s="1"/>
  <c r="H14" i="17" s="1"/>
  <c r="H15" i="17" s="1"/>
  <c r="H16" i="17" s="1"/>
  <c r="H17" i="17" s="1"/>
  <c r="H18" i="17" s="1"/>
  <c r="H19" i="17" s="1"/>
  <c r="H20" i="17" s="1"/>
  <c r="H21" i="17" s="1"/>
  <c r="H22" i="17" s="1"/>
  <c r="H23" i="17" s="1"/>
  <c r="H24" i="17" s="1"/>
  <c r="H25" i="17" s="1"/>
  <c r="H26" i="17" s="1"/>
  <c r="H27" i="17" s="1"/>
  <c r="H28" i="17" s="1"/>
  <c r="H29" i="17" s="1"/>
  <c r="H30" i="17" s="1"/>
  <c r="H31" i="17" s="1"/>
  <c r="H32" i="17" s="1"/>
  <c r="H5" i="13"/>
  <c r="H6" i="13" s="1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N29" i="13" s="1"/>
  <c r="M30" i="13"/>
  <c r="M31" i="13"/>
  <c r="N31" i="13" s="1"/>
  <c r="M32" i="13"/>
  <c r="N32" i="13" s="1"/>
  <c r="N30" i="13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N29" i="12" s="1"/>
  <c r="M30" i="12"/>
  <c r="M31" i="12"/>
  <c r="N31" i="12" s="1"/>
  <c r="M32" i="12"/>
  <c r="N32" i="12" s="1"/>
  <c r="H6" i="12"/>
  <c r="H7" i="12" s="1"/>
  <c r="H8" i="12" s="1"/>
  <c r="H9" i="12" s="1"/>
  <c r="H10" i="12" s="1"/>
  <c r="H11" i="12" s="1"/>
  <c r="H12" i="12" s="1"/>
  <c r="H13" i="12" s="1"/>
  <c r="H14" i="12" s="1"/>
  <c r="H15" i="12" s="1"/>
  <c r="H16" i="12" s="1"/>
  <c r="H17" i="12" s="1"/>
  <c r="H18" i="12" s="1"/>
  <c r="H19" i="12" s="1"/>
  <c r="H20" i="12" s="1"/>
  <c r="H21" i="12" s="1"/>
  <c r="H22" i="12" s="1"/>
  <c r="H23" i="12" s="1"/>
  <c r="H24" i="12" s="1"/>
  <c r="H25" i="12" s="1"/>
  <c r="H26" i="12" s="1"/>
  <c r="H27" i="12" s="1"/>
  <c r="H28" i="12" s="1"/>
  <c r="H29" i="12" s="1"/>
  <c r="H30" i="12" s="1"/>
  <c r="H31" i="12" s="1"/>
  <c r="H32" i="12" s="1"/>
  <c r="N30" i="12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N29" i="11" s="1"/>
  <c r="M30" i="11"/>
  <c r="N30" i="11" s="1"/>
  <c r="M31" i="11"/>
  <c r="N31" i="11" s="1"/>
  <c r="M32" i="11"/>
  <c r="N32" i="11" s="1"/>
  <c r="H6" i="11"/>
  <c r="H7" i="11"/>
  <c r="H8" i="11" s="1"/>
  <c r="H9" i="11" s="1"/>
  <c r="H10" i="11" s="1"/>
  <c r="H11" i="11" s="1"/>
  <c r="H12" i="11" s="1"/>
  <c r="H13" i="11" s="1"/>
  <c r="H14" i="11" s="1"/>
  <c r="H15" i="11" s="1"/>
  <c r="H16" i="11" s="1"/>
  <c r="H17" i="11" s="1"/>
  <c r="H18" i="11" s="1"/>
  <c r="H19" i="11" s="1"/>
  <c r="H20" i="11" s="1"/>
  <c r="H21" i="11" s="1"/>
  <c r="H22" i="11" s="1"/>
  <c r="H23" i="11" s="1"/>
  <c r="H24" i="11" s="1"/>
  <c r="H25" i="11" s="1"/>
  <c r="H26" i="11" s="1"/>
  <c r="H27" i="11" s="1"/>
  <c r="H28" i="11" s="1"/>
  <c r="H29" i="11" s="1"/>
  <c r="H30" i="11" s="1"/>
  <c r="H31" i="11" s="1"/>
  <c r="H32" i="11" s="1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N29" i="10" s="1"/>
  <c r="M30" i="10"/>
  <c r="M31" i="10"/>
  <c r="M32" i="10"/>
  <c r="O32" i="10" s="1"/>
  <c r="H6" i="10"/>
  <c r="H7" i="10" s="1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N30" i="10"/>
  <c r="N31" i="10"/>
  <c r="M31" i="5"/>
  <c r="N31" i="5" s="1"/>
  <c r="M32" i="5"/>
  <c r="N32" i="5" s="1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N29" i="5" s="1"/>
  <c r="M30" i="5"/>
  <c r="N30" i="5" s="1"/>
  <c r="H6" i="5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B7" i="4"/>
  <c r="C7" i="4"/>
  <c r="D7" i="4"/>
  <c r="E7" i="4"/>
  <c r="F7" i="4"/>
  <c r="G7" i="4"/>
  <c r="B8" i="4"/>
  <c r="C8" i="4"/>
  <c r="D8" i="4"/>
  <c r="E8" i="4"/>
  <c r="F8" i="4"/>
  <c r="G8" i="4"/>
  <c r="B9" i="4"/>
  <c r="C9" i="4"/>
  <c r="D9" i="4"/>
  <c r="E9" i="4"/>
  <c r="F9" i="4"/>
  <c r="G9" i="4"/>
  <c r="B10" i="4"/>
  <c r="C10" i="4"/>
  <c r="D10" i="4"/>
  <c r="E10" i="4"/>
  <c r="F10" i="4"/>
  <c r="G10" i="4"/>
  <c r="M32" i="7"/>
  <c r="N32" i="7" s="1"/>
  <c r="H6" i="7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N29" i="7" s="1"/>
  <c r="M30" i="7"/>
  <c r="N30" i="7" s="1"/>
  <c r="M31" i="7"/>
  <c r="N31" i="7" s="1"/>
  <c r="H29" i="2"/>
  <c r="I29" i="2"/>
  <c r="N29" i="2" s="1"/>
  <c r="J29" i="2"/>
  <c r="K29" i="2"/>
  <c r="L29" i="2"/>
  <c r="M29" i="2"/>
  <c r="O29" i="2" s="1"/>
  <c r="P29" i="2"/>
  <c r="Q29" i="2"/>
  <c r="R29" i="2"/>
  <c r="S29" i="2"/>
  <c r="H30" i="2"/>
  <c r="I30" i="2"/>
  <c r="J30" i="2"/>
  <c r="K30" i="2"/>
  <c r="L30" i="2"/>
  <c r="M30" i="2"/>
  <c r="O30" i="2" s="1"/>
  <c r="P30" i="2"/>
  <c r="Q30" i="2"/>
  <c r="R30" i="2"/>
  <c r="S30" i="2"/>
  <c r="H31" i="2"/>
  <c r="I31" i="2"/>
  <c r="J31" i="2"/>
  <c r="K31" i="2"/>
  <c r="L31" i="2"/>
  <c r="M31" i="2"/>
  <c r="P31" i="2"/>
  <c r="Q31" i="2"/>
  <c r="R31" i="2"/>
  <c r="S31" i="2"/>
  <c r="H32" i="2"/>
  <c r="I32" i="2"/>
  <c r="J32" i="2"/>
  <c r="K32" i="2"/>
  <c r="L32" i="2"/>
  <c r="M32" i="2"/>
  <c r="P32" i="2"/>
  <c r="Q32" i="2"/>
  <c r="R32" i="2"/>
  <c r="S32" i="2"/>
  <c r="H33" i="2"/>
  <c r="I33" i="2"/>
  <c r="J33" i="2"/>
  <c r="K33" i="2"/>
  <c r="L33" i="2"/>
  <c r="M33" i="2"/>
  <c r="P33" i="2"/>
  <c r="Q33" i="2"/>
  <c r="R33" i="2"/>
  <c r="S33" i="2"/>
  <c r="H34" i="2"/>
  <c r="I34" i="2"/>
  <c r="J34" i="2"/>
  <c r="K34" i="2"/>
  <c r="L34" i="2"/>
  <c r="M34" i="2"/>
  <c r="P34" i="2"/>
  <c r="Q34" i="2"/>
  <c r="R34" i="2"/>
  <c r="S34" i="2"/>
  <c r="H35" i="2"/>
  <c r="I35" i="2"/>
  <c r="J35" i="2"/>
  <c r="K35" i="2"/>
  <c r="L35" i="2"/>
  <c r="M35" i="2"/>
  <c r="P35" i="2"/>
  <c r="Q35" i="2"/>
  <c r="R35" i="2"/>
  <c r="S35" i="2"/>
  <c r="H36" i="2"/>
  <c r="I36" i="2"/>
  <c r="J36" i="2"/>
  <c r="K36" i="2"/>
  <c r="L36" i="2"/>
  <c r="M36" i="2"/>
  <c r="P36" i="2"/>
  <c r="Q36" i="2"/>
  <c r="R36" i="2"/>
  <c r="S36" i="2"/>
  <c r="H37" i="2"/>
  <c r="I37" i="2"/>
  <c r="J37" i="2"/>
  <c r="K37" i="2"/>
  <c r="L37" i="2"/>
  <c r="M37" i="2"/>
  <c r="P37" i="2"/>
  <c r="Q37" i="2"/>
  <c r="R37" i="2"/>
  <c r="S37" i="2"/>
  <c r="H38" i="2"/>
  <c r="I38" i="2"/>
  <c r="J38" i="2"/>
  <c r="K38" i="2"/>
  <c r="L38" i="2"/>
  <c r="M38" i="2"/>
  <c r="P38" i="2"/>
  <c r="Q38" i="2"/>
  <c r="R38" i="2"/>
  <c r="S38" i="2"/>
  <c r="H39" i="2"/>
  <c r="I39" i="2"/>
  <c r="J39" i="2"/>
  <c r="K39" i="2"/>
  <c r="L39" i="2"/>
  <c r="M39" i="2"/>
  <c r="P39" i="2"/>
  <c r="Q39" i="2"/>
  <c r="R39" i="2"/>
  <c r="S39" i="2"/>
  <c r="H40" i="2"/>
  <c r="I40" i="2"/>
  <c r="J40" i="2"/>
  <c r="K40" i="2"/>
  <c r="L40" i="2"/>
  <c r="M40" i="2"/>
  <c r="P40" i="2"/>
  <c r="Q40" i="2"/>
  <c r="R40" i="2"/>
  <c r="S40" i="2"/>
  <c r="H41" i="2"/>
  <c r="I41" i="2"/>
  <c r="J41" i="2"/>
  <c r="K41" i="2"/>
  <c r="L41" i="2"/>
  <c r="M41" i="2"/>
  <c r="P41" i="2"/>
  <c r="Q41" i="2"/>
  <c r="R41" i="2"/>
  <c r="S41" i="2"/>
  <c r="H42" i="2"/>
  <c r="I42" i="2"/>
  <c r="J42" i="2"/>
  <c r="K42" i="2"/>
  <c r="L42" i="2"/>
  <c r="M42" i="2"/>
  <c r="P42" i="2"/>
  <c r="Q42" i="2"/>
  <c r="R42" i="2"/>
  <c r="S42" i="2"/>
  <c r="H43" i="2"/>
  <c r="I43" i="2"/>
  <c r="J43" i="2"/>
  <c r="K43" i="2"/>
  <c r="L43" i="2"/>
  <c r="M43" i="2"/>
  <c r="P43" i="2"/>
  <c r="Q43" i="2"/>
  <c r="R43" i="2"/>
  <c r="S43" i="2"/>
  <c r="H20" i="2"/>
  <c r="I20" i="2"/>
  <c r="J20" i="2"/>
  <c r="K20" i="2"/>
  <c r="L20" i="2"/>
  <c r="M20" i="2"/>
  <c r="P20" i="2"/>
  <c r="Q20" i="2"/>
  <c r="R20" i="2"/>
  <c r="S20" i="2"/>
  <c r="H21" i="2"/>
  <c r="I21" i="2"/>
  <c r="J21" i="2"/>
  <c r="K21" i="2"/>
  <c r="L21" i="2"/>
  <c r="M21" i="2"/>
  <c r="P21" i="2"/>
  <c r="Q21" i="2"/>
  <c r="R21" i="2"/>
  <c r="S21" i="2"/>
  <c r="H22" i="2"/>
  <c r="I22" i="2"/>
  <c r="J22" i="2"/>
  <c r="K22" i="2"/>
  <c r="L22" i="2"/>
  <c r="M22" i="2"/>
  <c r="P22" i="2"/>
  <c r="Q22" i="2"/>
  <c r="R22" i="2"/>
  <c r="S22" i="2"/>
  <c r="H23" i="2"/>
  <c r="I23" i="2"/>
  <c r="J23" i="2"/>
  <c r="K23" i="2"/>
  <c r="L23" i="2"/>
  <c r="M23" i="2"/>
  <c r="P23" i="2"/>
  <c r="Q23" i="2"/>
  <c r="R23" i="2"/>
  <c r="S23" i="2"/>
  <c r="H24" i="2"/>
  <c r="I24" i="2"/>
  <c r="J24" i="2"/>
  <c r="K24" i="2"/>
  <c r="L24" i="2"/>
  <c r="M24" i="2"/>
  <c r="P24" i="2"/>
  <c r="Q24" i="2"/>
  <c r="R24" i="2"/>
  <c r="S24" i="2"/>
  <c r="H25" i="2"/>
  <c r="I25" i="2"/>
  <c r="J25" i="2"/>
  <c r="K25" i="2"/>
  <c r="L25" i="2"/>
  <c r="M25" i="2"/>
  <c r="P25" i="2"/>
  <c r="Q25" i="2"/>
  <c r="R25" i="2"/>
  <c r="S25" i="2"/>
  <c r="H26" i="2"/>
  <c r="I26" i="2"/>
  <c r="J26" i="2"/>
  <c r="K26" i="2"/>
  <c r="L26" i="2"/>
  <c r="M26" i="2"/>
  <c r="P26" i="2"/>
  <c r="Q26" i="2"/>
  <c r="R26" i="2"/>
  <c r="S26" i="2"/>
  <c r="H27" i="2"/>
  <c r="I27" i="2"/>
  <c r="J27" i="2"/>
  <c r="K27" i="2"/>
  <c r="L27" i="2"/>
  <c r="M27" i="2"/>
  <c r="P27" i="2"/>
  <c r="Q27" i="2"/>
  <c r="R27" i="2"/>
  <c r="S27" i="2"/>
  <c r="H28" i="2"/>
  <c r="I28" i="2"/>
  <c r="J28" i="2"/>
  <c r="K28" i="2"/>
  <c r="L28" i="2"/>
  <c r="M28" i="2"/>
  <c r="P28" i="2"/>
  <c r="Q28" i="2"/>
  <c r="R28" i="2"/>
  <c r="S28" i="2"/>
  <c r="H44" i="2"/>
  <c r="I44" i="2"/>
  <c r="J44" i="2"/>
  <c r="K44" i="2"/>
  <c r="L44" i="2"/>
  <c r="M44" i="2"/>
  <c r="P44" i="2"/>
  <c r="Q44" i="2"/>
  <c r="R44" i="2"/>
  <c r="S44" i="2"/>
  <c r="M5" i="2"/>
  <c r="L5" i="2"/>
  <c r="K5" i="2"/>
  <c r="J23" i="20"/>
  <c r="J23" i="19"/>
  <c r="S20" i="20"/>
  <c r="S26" i="19"/>
  <c r="J30" i="18"/>
  <c r="S22" i="18"/>
  <c r="J20" i="17"/>
  <c r="S30" i="17"/>
  <c r="Q31" i="17"/>
  <c r="S32" i="12"/>
  <c r="S32" i="10"/>
  <c r="S32" i="7"/>
  <c r="S29" i="7"/>
  <c r="J28" i="20"/>
  <c r="S25" i="19"/>
  <c r="J21" i="17"/>
  <c r="S30" i="12"/>
  <c r="D11" i="16"/>
  <c r="J27" i="20"/>
  <c r="J24" i="19"/>
  <c r="S32" i="20"/>
  <c r="J21" i="18"/>
  <c r="S25" i="18"/>
  <c r="J29" i="17"/>
  <c r="S19" i="17"/>
  <c r="Q22" i="17"/>
  <c r="J31" i="13"/>
  <c r="S31" i="10"/>
  <c r="J29" i="18"/>
  <c r="S25" i="17"/>
  <c r="S32" i="11"/>
  <c r="J25" i="20"/>
  <c r="J29" i="19"/>
  <c r="S19" i="20"/>
  <c r="S18" i="19"/>
  <c r="J22" i="18"/>
  <c r="S28" i="18"/>
  <c r="J26" i="17"/>
  <c r="S22" i="17"/>
  <c r="Q23" i="17"/>
  <c r="S29" i="12"/>
  <c r="S29" i="10"/>
  <c r="J29" i="7"/>
  <c r="S21" i="20"/>
  <c r="J23" i="18"/>
  <c r="Q30" i="17"/>
  <c r="S30" i="7"/>
  <c r="J19" i="20"/>
  <c r="J27" i="19"/>
  <c r="S24" i="20"/>
  <c r="S28" i="19"/>
  <c r="S21" i="18"/>
  <c r="J25" i="17"/>
  <c r="S29" i="17"/>
  <c r="Q24" i="17"/>
  <c r="J32" i="13"/>
  <c r="S32" i="5"/>
  <c r="J29" i="10"/>
  <c r="D13" i="16"/>
  <c r="J26" i="18"/>
  <c r="J32" i="10"/>
  <c r="J31" i="20"/>
  <c r="S28" i="20"/>
  <c r="J28" i="18"/>
  <c r="J19" i="17"/>
  <c r="Q20" i="17"/>
  <c r="S31" i="7"/>
  <c r="Q27" i="17"/>
  <c r="J26" i="20"/>
  <c r="S23" i="20"/>
  <c r="J20" i="18"/>
  <c r="S21" i="17"/>
  <c r="Q25" i="17"/>
  <c r="J29" i="11"/>
  <c r="J30" i="20"/>
  <c r="J32" i="17"/>
  <c r="Q28" i="17"/>
  <c r="Q21" i="17"/>
  <c r="S31" i="19"/>
  <c r="S20" i="17"/>
  <c r="J18" i="20"/>
  <c r="J18" i="19"/>
  <c r="S26" i="20"/>
  <c r="S19" i="19"/>
  <c r="J27" i="18"/>
  <c r="S31" i="18"/>
  <c r="J31" i="17"/>
  <c r="S32" i="17"/>
  <c r="S30" i="13"/>
  <c r="S30" i="11"/>
  <c r="J30" i="5"/>
  <c r="S29" i="11"/>
  <c r="J31" i="7"/>
  <c r="J28" i="19"/>
  <c r="S32" i="19"/>
  <c r="J27" i="17"/>
  <c r="J30" i="11"/>
  <c r="J21" i="20"/>
  <c r="J25" i="19"/>
  <c r="S29" i="20"/>
  <c r="S24" i="19"/>
  <c r="J18" i="18"/>
  <c r="S20" i="18"/>
  <c r="J22" i="17"/>
  <c r="S18" i="17"/>
  <c r="Q19" i="17"/>
  <c r="J29" i="12"/>
  <c r="J31" i="5"/>
  <c r="J32" i="18"/>
  <c r="S24" i="17"/>
  <c r="S30" i="5"/>
  <c r="J24" i="20"/>
  <c r="J20" i="19"/>
  <c r="S18" i="20"/>
  <c r="S20" i="19"/>
  <c r="J19" i="18"/>
  <c r="S30" i="18"/>
  <c r="J23" i="17"/>
  <c r="S31" i="17"/>
  <c r="Q32" i="17"/>
  <c r="S31" i="12"/>
  <c r="J31" i="10"/>
  <c r="J29" i="20"/>
  <c r="S31" i="20"/>
  <c r="S18" i="18"/>
  <c r="J30" i="13"/>
  <c r="J32" i="11"/>
  <c r="J30" i="19"/>
  <c r="S26" i="17"/>
  <c r="J31" i="19"/>
  <c r="S30" i="19"/>
  <c r="S26" i="18"/>
  <c r="S23" i="17"/>
  <c r="J31" i="12"/>
  <c r="S23" i="18"/>
  <c r="J32" i="7"/>
  <c r="J26" i="19"/>
  <c r="S27" i="19"/>
  <c r="S32" i="18"/>
  <c r="S29" i="13"/>
  <c r="J29" i="5"/>
  <c r="S22" i="19"/>
  <c r="J32" i="12"/>
  <c r="D14" i="16"/>
  <c r="J21" i="19"/>
  <c r="S25" i="20"/>
  <c r="S29" i="19"/>
  <c r="J24" i="18"/>
  <c r="S27" i="18"/>
  <c r="J18" i="17"/>
  <c r="S28" i="17"/>
  <c r="J30" i="12"/>
  <c r="S30" i="10"/>
  <c r="J30" i="7"/>
  <c r="S29" i="5"/>
  <c r="J32" i="20"/>
  <c r="S22" i="20"/>
  <c r="S19" i="18"/>
  <c r="Q29" i="17"/>
  <c r="J32" i="5"/>
  <c r="J22" i="20"/>
  <c r="J22" i="19"/>
  <c r="S30" i="20"/>
  <c r="S23" i="19"/>
  <c r="J31" i="18"/>
  <c r="S24" i="18"/>
  <c r="J28" i="17"/>
  <c r="J29" i="13"/>
  <c r="J31" i="11"/>
  <c r="S27" i="20"/>
  <c r="J30" i="17"/>
  <c r="S32" i="13"/>
  <c r="D12" i="16"/>
  <c r="J20" i="20"/>
  <c r="J32" i="19"/>
  <c r="S21" i="19"/>
  <c r="J25" i="18"/>
  <c r="S29" i="18"/>
  <c r="J24" i="17"/>
  <c r="S27" i="17"/>
  <c r="Q26" i="17"/>
  <c r="S31" i="13"/>
  <c r="S31" i="11"/>
  <c r="S31" i="5"/>
  <c r="J19" i="19"/>
  <c r="J30" i="10"/>
  <c r="O11" i="18" l="1"/>
  <c r="N31" i="17"/>
  <c r="N23" i="17"/>
  <c r="N11" i="17"/>
  <c r="O5" i="18"/>
  <c r="N30" i="17"/>
  <c r="N26" i="17"/>
  <c r="N22" i="17"/>
  <c r="N18" i="17"/>
  <c r="N14" i="17"/>
  <c r="N10" i="17"/>
  <c r="N6" i="17"/>
  <c r="N5" i="17"/>
  <c r="O18" i="18"/>
  <c r="O25" i="19"/>
  <c r="N6" i="18"/>
  <c r="O32" i="13"/>
  <c r="N5" i="13"/>
  <c r="N29" i="17"/>
  <c r="N25" i="17"/>
  <c r="N21" i="17"/>
  <c r="N17" i="17"/>
  <c r="N13" i="17"/>
  <c r="N9" i="17"/>
  <c r="N22" i="18"/>
  <c r="N28" i="19"/>
  <c r="O9" i="19"/>
  <c r="N27" i="17"/>
  <c r="N19" i="17"/>
  <c r="N15" i="17"/>
  <c r="N7" i="17"/>
  <c r="H28" i="5"/>
  <c r="H29" i="5" s="1"/>
  <c r="H30" i="5" s="1"/>
  <c r="H31" i="5" s="1"/>
  <c r="H32" i="5" s="1"/>
  <c r="N32" i="17"/>
  <c r="N28" i="17"/>
  <c r="N24" i="17"/>
  <c r="N20" i="17"/>
  <c r="N16" i="17"/>
  <c r="N12" i="17"/>
  <c r="N8" i="17"/>
  <c r="O26" i="18"/>
  <c r="O10" i="18"/>
  <c r="N12" i="19"/>
  <c r="F11" i="16"/>
  <c r="F12" i="16"/>
  <c r="F13" i="16"/>
  <c r="E14" i="16"/>
  <c r="F14" i="16" s="1"/>
  <c r="L28" i="20"/>
  <c r="L20" i="20"/>
  <c r="L27" i="20"/>
  <c r="L19" i="20"/>
  <c r="L30" i="20"/>
  <c r="L26" i="20"/>
  <c r="L22" i="20"/>
  <c r="L18" i="20"/>
  <c r="L32" i="20"/>
  <c r="L24" i="20"/>
  <c r="L31" i="20"/>
  <c r="L23" i="20"/>
  <c r="L29" i="20"/>
  <c r="L25" i="20"/>
  <c r="L21" i="20"/>
  <c r="L16" i="20"/>
  <c r="L12" i="20"/>
  <c r="L15" i="20"/>
  <c r="L11" i="20"/>
  <c r="L7" i="20"/>
  <c r="L14" i="20"/>
  <c r="L10" i="20"/>
  <c r="L6" i="20"/>
  <c r="L8" i="20"/>
  <c r="L17" i="20"/>
  <c r="L13" i="20"/>
  <c r="L9" i="20"/>
  <c r="L5" i="20"/>
  <c r="L16" i="19"/>
  <c r="L12" i="19"/>
  <c r="L8" i="19"/>
  <c r="L32" i="19"/>
  <c r="L24" i="19"/>
  <c r="L27" i="19"/>
  <c r="L30" i="19"/>
  <c r="L26" i="19"/>
  <c r="L22" i="19"/>
  <c r="L18" i="19"/>
  <c r="L28" i="19"/>
  <c r="L20" i="19"/>
  <c r="L31" i="19"/>
  <c r="L23" i="19"/>
  <c r="L19" i="19"/>
  <c r="L29" i="19"/>
  <c r="L25" i="19"/>
  <c r="L21" i="19"/>
  <c r="L15" i="19"/>
  <c r="L11" i="19"/>
  <c r="L7" i="19"/>
  <c r="L14" i="19"/>
  <c r="L10" i="19"/>
  <c r="L6" i="19"/>
  <c r="L17" i="19"/>
  <c r="L13" i="19"/>
  <c r="L9" i="19"/>
  <c r="L5" i="19"/>
  <c r="L5" i="18"/>
  <c r="K28" i="20"/>
  <c r="K20" i="20"/>
  <c r="K27" i="20"/>
  <c r="K19" i="20"/>
  <c r="K30" i="20"/>
  <c r="K26" i="20"/>
  <c r="K22" i="20"/>
  <c r="K18" i="20"/>
  <c r="K32" i="20"/>
  <c r="K24" i="20"/>
  <c r="K31" i="20"/>
  <c r="K23" i="20"/>
  <c r="K29" i="20"/>
  <c r="K25" i="20"/>
  <c r="K21" i="20"/>
  <c r="K32" i="19"/>
  <c r="K24" i="19"/>
  <c r="K27" i="19"/>
  <c r="K30" i="19"/>
  <c r="K26" i="19"/>
  <c r="K22" i="19"/>
  <c r="K18" i="19"/>
  <c r="K28" i="19"/>
  <c r="K20" i="19"/>
  <c r="K31" i="19"/>
  <c r="K23" i="19"/>
  <c r="K19" i="19"/>
  <c r="K29" i="19"/>
  <c r="K25" i="19"/>
  <c r="K21" i="19"/>
  <c r="N24" i="19"/>
  <c r="N8" i="19"/>
  <c r="O21" i="19"/>
  <c r="O5" i="19"/>
  <c r="N20" i="19"/>
  <c r="O17" i="19"/>
  <c r="N32" i="19"/>
  <c r="N16" i="19"/>
  <c r="O29" i="19"/>
  <c r="O13" i="19"/>
  <c r="N31" i="19"/>
  <c r="N27" i="19"/>
  <c r="N23" i="19"/>
  <c r="N19" i="19"/>
  <c r="N15" i="19"/>
  <c r="N11" i="19"/>
  <c r="N7" i="19"/>
  <c r="N30" i="19"/>
  <c r="N26" i="19"/>
  <c r="N22" i="19"/>
  <c r="N18" i="19"/>
  <c r="N14" i="19"/>
  <c r="N10" i="19"/>
  <c r="N6" i="19"/>
  <c r="N32" i="20"/>
  <c r="N28" i="20"/>
  <c r="N24" i="20"/>
  <c r="N20" i="20"/>
  <c r="N16" i="20"/>
  <c r="N12" i="20"/>
  <c r="N8" i="20"/>
  <c r="O29" i="20"/>
  <c r="O25" i="20"/>
  <c r="O21" i="20"/>
  <c r="O17" i="20"/>
  <c r="O13" i="20"/>
  <c r="O9" i="20"/>
  <c r="O5" i="20"/>
  <c r="N31" i="20"/>
  <c r="N27" i="20"/>
  <c r="N23" i="20"/>
  <c r="N19" i="20"/>
  <c r="N15" i="20"/>
  <c r="N11" i="20"/>
  <c r="N7" i="20"/>
  <c r="N30" i="20"/>
  <c r="N26" i="20"/>
  <c r="N22" i="20"/>
  <c r="N18" i="20"/>
  <c r="N14" i="20"/>
  <c r="N10" i="20"/>
  <c r="N6" i="20"/>
  <c r="R5" i="18"/>
  <c r="I5" i="18" s="1"/>
  <c r="L16" i="18"/>
  <c r="L12" i="18"/>
  <c r="L8" i="18"/>
  <c r="L32" i="18"/>
  <c r="L20" i="18"/>
  <c r="L31" i="18"/>
  <c r="L27" i="18"/>
  <c r="L23" i="18"/>
  <c r="L19" i="18"/>
  <c r="L28" i="18"/>
  <c r="L30" i="18"/>
  <c r="L26" i="18"/>
  <c r="L22" i="18"/>
  <c r="L18" i="18"/>
  <c r="L24" i="18"/>
  <c r="L29" i="18"/>
  <c r="L25" i="18"/>
  <c r="L21" i="18"/>
  <c r="L16" i="17"/>
  <c r="L15" i="18"/>
  <c r="L11" i="18"/>
  <c r="L7" i="18"/>
  <c r="L12" i="17"/>
  <c r="L14" i="18"/>
  <c r="L10" i="18"/>
  <c r="L6" i="18"/>
  <c r="L8" i="17"/>
  <c r="L17" i="18"/>
  <c r="L13" i="18"/>
  <c r="L9" i="18"/>
  <c r="L28" i="17"/>
  <c r="L31" i="17"/>
  <c r="L27" i="17"/>
  <c r="L23" i="17"/>
  <c r="L19" i="17"/>
  <c r="L20" i="17"/>
  <c r="L30" i="17"/>
  <c r="L26" i="17"/>
  <c r="L22" i="17"/>
  <c r="L18" i="17"/>
  <c r="L32" i="17"/>
  <c r="L24" i="17"/>
  <c r="L29" i="17"/>
  <c r="L25" i="17"/>
  <c r="L21" i="17"/>
  <c r="L15" i="17"/>
  <c r="L11" i="17"/>
  <c r="L7" i="17"/>
  <c r="L14" i="17"/>
  <c r="L10" i="17"/>
  <c r="L6" i="17"/>
  <c r="L17" i="17"/>
  <c r="L13" i="17"/>
  <c r="L9" i="17"/>
  <c r="L5" i="17"/>
  <c r="L32" i="13"/>
  <c r="L31" i="13"/>
  <c r="L30" i="13"/>
  <c r="L29" i="13"/>
  <c r="L5" i="13"/>
  <c r="L32" i="12"/>
  <c r="L31" i="12"/>
  <c r="L30" i="12"/>
  <c r="L29" i="12"/>
  <c r="L32" i="11"/>
  <c r="L31" i="11"/>
  <c r="L30" i="11"/>
  <c r="L29" i="11"/>
  <c r="L32" i="10"/>
  <c r="L31" i="10"/>
  <c r="L30" i="10"/>
  <c r="L29" i="10"/>
  <c r="L32" i="5"/>
  <c r="L31" i="5"/>
  <c r="L30" i="5"/>
  <c r="L29" i="5"/>
  <c r="K32" i="18"/>
  <c r="K20" i="18"/>
  <c r="K31" i="18"/>
  <c r="K27" i="18"/>
  <c r="K23" i="18"/>
  <c r="K19" i="18"/>
  <c r="K28" i="18"/>
  <c r="K30" i="18"/>
  <c r="K26" i="18"/>
  <c r="K22" i="18"/>
  <c r="K18" i="18"/>
  <c r="K24" i="18"/>
  <c r="K29" i="18"/>
  <c r="K25" i="18"/>
  <c r="K21" i="18"/>
  <c r="K28" i="17"/>
  <c r="K31" i="17"/>
  <c r="K27" i="17"/>
  <c r="K23" i="17"/>
  <c r="K19" i="17"/>
  <c r="K20" i="17"/>
  <c r="K30" i="17"/>
  <c r="K26" i="17"/>
  <c r="K22" i="17"/>
  <c r="K18" i="17"/>
  <c r="K32" i="17"/>
  <c r="K24" i="17"/>
  <c r="K29" i="17"/>
  <c r="K25" i="17"/>
  <c r="K21" i="17"/>
  <c r="K32" i="13"/>
  <c r="K31" i="13"/>
  <c r="K30" i="13"/>
  <c r="K29" i="13"/>
  <c r="K32" i="12"/>
  <c r="K31" i="12"/>
  <c r="K30" i="12"/>
  <c r="K29" i="12"/>
  <c r="K32" i="11"/>
  <c r="K31" i="11"/>
  <c r="K30" i="11"/>
  <c r="K29" i="11"/>
  <c r="K32" i="10"/>
  <c r="K31" i="10"/>
  <c r="K30" i="10"/>
  <c r="K29" i="10"/>
  <c r="K32" i="5"/>
  <c r="K31" i="5"/>
  <c r="K30" i="5"/>
  <c r="K29" i="5"/>
  <c r="L32" i="7"/>
  <c r="L31" i="7"/>
  <c r="L30" i="7"/>
  <c r="L29" i="7"/>
  <c r="K32" i="7"/>
  <c r="K31" i="7"/>
  <c r="K30" i="7"/>
  <c r="K29" i="7"/>
  <c r="N30" i="18"/>
  <c r="N14" i="18"/>
  <c r="O31" i="18"/>
  <c r="O23" i="18"/>
  <c r="O15" i="18"/>
  <c r="O7" i="18"/>
  <c r="N25" i="18"/>
  <c r="N17" i="18"/>
  <c r="N9" i="18"/>
  <c r="N32" i="18"/>
  <c r="N28" i="18"/>
  <c r="N24" i="18"/>
  <c r="N20" i="18"/>
  <c r="N16" i="18"/>
  <c r="N12" i="18"/>
  <c r="N8" i="18"/>
  <c r="O29" i="18"/>
  <c r="O21" i="18"/>
  <c r="O13" i="18"/>
  <c r="R5" i="17"/>
  <c r="I5" i="17" s="1"/>
  <c r="O29" i="13"/>
  <c r="O30" i="13"/>
  <c r="O31" i="13"/>
  <c r="O29" i="12"/>
  <c r="O30" i="12"/>
  <c r="O31" i="12"/>
  <c r="O32" i="12"/>
  <c r="O29" i="11"/>
  <c r="O30" i="11"/>
  <c r="O31" i="11"/>
  <c r="O32" i="11"/>
  <c r="O29" i="10"/>
  <c r="O30" i="10"/>
  <c r="N32" i="10"/>
  <c r="O31" i="10"/>
  <c r="O29" i="5"/>
  <c r="O30" i="5"/>
  <c r="O31" i="5"/>
  <c r="O32" i="5"/>
  <c r="H31" i="7"/>
  <c r="H32" i="7" s="1"/>
  <c r="O29" i="7"/>
  <c r="O30" i="7"/>
  <c r="O31" i="7"/>
  <c r="O32" i="7"/>
  <c r="N30" i="2"/>
  <c r="N31" i="2"/>
  <c r="N32" i="2"/>
  <c r="O31" i="2"/>
  <c r="O33" i="2"/>
  <c r="N33" i="2"/>
  <c r="O32" i="2"/>
  <c r="O34" i="2"/>
  <c r="O39" i="2"/>
  <c r="N34" i="2"/>
  <c r="O35" i="2"/>
  <c r="N35" i="2"/>
  <c r="O36" i="2"/>
  <c r="N36" i="2"/>
  <c r="O37" i="2"/>
  <c r="N40" i="2"/>
  <c r="O38" i="2"/>
  <c r="N38" i="2"/>
  <c r="N37" i="2"/>
  <c r="N39" i="2"/>
  <c r="O40" i="2"/>
  <c r="O20" i="2"/>
  <c r="O41" i="2"/>
  <c r="N41" i="2"/>
  <c r="O42" i="2"/>
  <c r="N42" i="2"/>
  <c r="O43" i="2"/>
  <c r="N43" i="2"/>
  <c r="O21" i="2"/>
  <c r="N20" i="2"/>
  <c r="N23" i="2"/>
  <c r="O22" i="2"/>
  <c r="N21" i="2"/>
  <c r="O24" i="2"/>
  <c r="N22" i="2"/>
  <c r="O25" i="2"/>
  <c r="O23" i="2"/>
  <c r="N24" i="2"/>
  <c r="N27" i="2"/>
  <c r="O26" i="2"/>
  <c r="N25" i="2"/>
  <c r="O28" i="2"/>
  <c r="N28" i="2"/>
  <c r="O27" i="2"/>
  <c r="N26" i="2"/>
  <c r="N44" i="2"/>
  <c r="O44" i="2"/>
  <c r="AK5" i="16"/>
  <c r="AH6" i="16"/>
  <c r="AK6" i="16" s="1"/>
  <c r="Q30" i="19"/>
  <c r="P21" i="19"/>
  <c r="P19" i="20"/>
  <c r="P25" i="20"/>
  <c r="Q19" i="18"/>
  <c r="P30" i="18"/>
  <c r="Q32" i="19"/>
  <c r="Q23" i="18"/>
  <c r="P28" i="17"/>
  <c r="Q21" i="19"/>
  <c r="P27" i="19"/>
  <c r="P20" i="20"/>
  <c r="P23" i="18"/>
  <c r="Q32" i="18"/>
  <c r="P30" i="20"/>
  <c r="P24" i="17"/>
  <c r="P21" i="17"/>
  <c r="P23" i="19"/>
  <c r="Q25" i="20"/>
  <c r="Q27" i="20"/>
  <c r="Q22" i="18"/>
  <c r="Q31" i="18"/>
  <c r="Q20" i="19"/>
  <c r="P19" i="18"/>
  <c r="Q31" i="19"/>
  <c r="Q24" i="18"/>
  <c r="Q29" i="20"/>
  <c r="P31" i="19"/>
  <c r="P24" i="20"/>
  <c r="Q19" i="19"/>
  <c r="P31" i="20"/>
  <c r="Q20" i="20"/>
  <c r="P27" i="17"/>
  <c r="Q23" i="19"/>
  <c r="P30" i="19"/>
  <c r="P29" i="20"/>
  <c r="P27" i="20"/>
  <c r="P21" i="18"/>
  <c r="P29" i="18"/>
  <c r="P32" i="19"/>
  <c r="P27" i="18"/>
  <c r="P25" i="17"/>
  <c r="P28" i="19"/>
  <c r="Q23" i="20"/>
  <c r="Q28" i="20"/>
  <c r="Q26" i="18"/>
  <c r="Q22" i="19"/>
  <c r="P32" i="20"/>
  <c r="P19" i="17"/>
  <c r="Q29" i="19"/>
  <c r="P19" i="19"/>
  <c r="P23" i="20"/>
  <c r="Q31" i="20"/>
  <c r="Q21" i="18"/>
  <c r="P31" i="18"/>
  <c r="P22" i="19"/>
  <c r="P20" i="18"/>
  <c r="P32" i="18"/>
  <c r="P23" i="17"/>
  <c r="P24" i="19"/>
  <c r="Q32" i="20"/>
  <c r="P20" i="19"/>
  <c r="P26" i="17"/>
  <c r="P29" i="19"/>
  <c r="P21" i="20"/>
  <c r="P31" i="17"/>
  <c r="Q27" i="18"/>
  <c r="Q26" i="20"/>
  <c r="Q30" i="18"/>
  <c r="P30" i="17"/>
  <c r="Q19" i="20"/>
  <c r="Q29" i="18"/>
  <c r="P25" i="18"/>
  <c r="P32" i="17"/>
  <c r="Q25" i="19"/>
  <c r="P26" i="19"/>
  <c r="Q21" i="20"/>
  <c r="P24" i="18"/>
  <c r="P26" i="18"/>
  <c r="P22" i="20"/>
  <c r="Q28" i="19"/>
  <c r="P28" i="20"/>
  <c r="Q25" i="18"/>
  <c r="Q20" i="18"/>
  <c r="Q26" i="19"/>
  <c r="Q22" i="20"/>
  <c r="P28" i="18"/>
  <c r="Q24" i="20"/>
  <c r="Q30" i="20"/>
  <c r="Q27" i="19"/>
  <c r="Q24" i="19"/>
  <c r="P22" i="18"/>
  <c r="P20" i="17"/>
  <c r="Q28" i="18"/>
  <c r="P29" i="17"/>
  <c r="P26" i="20"/>
  <c r="P25" i="19"/>
  <c r="P22" i="17"/>
  <c r="R22" i="17" l="1"/>
  <c r="I22" i="17" s="1"/>
  <c r="R31" i="17"/>
  <c r="I31" i="17" s="1"/>
  <c r="R21" i="17"/>
  <c r="I21" i="17" s="1"/>
  <c r="R20" i="17"/>
  <c r="I20" i="17" s="1"/>
  <c r="R26" i="17"/>
  <c r="I26" i="17" s="1"/>
  <c r="R19" i="17"/>
  <c r="I19" i="17" s="1"/>
  <c r="R24" i="17"/>
  <c r="I24" i="17" s="1"/>
  <c r="R25" i="17"/>
  <c r="I25" i="17" s="1"/>
  <c r="R28" i="17"/>
  <c r="I28" i="17" s="1"/>
  <c r="R30" i="17"/>
  <c r="I30" i="17" s="1"/>
  <c r="R23" i="17"/>
  <c r="I23" i="17" s="1"/>
  <c r="R29" i="17"/>
  <c r="I29" i="17" s="1"/>
  <c r="R32" i="17"/>
  <c r="I32" i="17" s="1"/>
  <c r="R27" i="17"/>
  <c r="I27" i="17" s="1"/>
  <c r="R25" i="19"/>
  <c r="I25" i="19" s="1"/>
  <c r="R27" i="19"/>
  <c r="I27" i="19" s="1"/>
  <c r="R26" i="19"/>
  <c r="I26" i="19" s="1"/>
  <c r="R32" i="19"/>
  <c r="I32" i="19" s="1"/>
  <c r="R29" i="19"/>
  <c r="I29" i="19" s="1"/>
  <c r="R31" i="19"/>
  <c r="I31" i="19" s="1"/>
  <c r="R30" i="19"/>
  <c r="I30" i="19" s="1"/>
  <c r="R20" i="19"/>
  <c r="I20" i="19" s="1"/>
  <c r="R19" i="19"/>
  <c r="I19" i="19" s="1"/>
  <c r="R24" i="19"/>
  <c r="I24" i="19" s="1"/>
  <c r="R21" i="19"/>
  <c r="I21" i="19" s="1"/>
  <c r="R22" i="19"/>
  <c r="I22" i="19" s="1"/>
  <c r="R23" i="19"/>
  <c r="I23" i="19" s="1"/>
  <c r="R28" i="19"/>
  <c r="I28" i="19" s="1"/>
  <c r="R21" i="20"/>
  <c r="I21" i="20" s="1"/>
  <c r="R26" i="20"/>
  <c r="I26" i="20" s="1"/>
  <c r="R27" i="20"/>
  <c r="I27" i="20" s="1"/>
  <c r="R32" i="20"/>
  <c r="I32" i="20" s="1"/>
  <c r="R25" i="20"/>
  <c r="I25" i="20" s="1"/>
  <c r="R30" i="20"/>
  <c r="I30" i="20" s="1"/>
  <c r="R31" i="20"/>
  <c r="I31" i="20" s="1"/>
  <c r="R20" i="20"/>
  <c r="I20" i="20" s="1"/>
  <c r="R29" i="20"/>
  <c r="I29" i="20" s="1"/>
  <c r="R22" i="20"/>
  <c r="I22" i="20" s="1"/>
  <c r="R23" i="20"/>
  <c r="I23" i="20" s="1"/>
  <c r="R28" i="20"/>
  <c r="I28" i="20" s="1"/>
  <c r="R19" i="20"/>
  <c r="I19" i="20" s="1"/>
  <c r="R24" i="20"/>
  <c r="I24" i="20" s="1"/>
  <c r="R31" i="18"/>
  <c r="I31" i="18" s="1"/>
  <c r="R32" i="18"/>
  <c r="I32" i="18" s="1"/>
  <c r="R30" i="18"/>
  <c r="I30" i="18" s="1"/>
  <c r="R29" i="18"/>
  <c r="I29" i="18" s="1"/>
  <c r="R26" i="18"/>
  <c r="I26" i="18" s="1"/>
  <c r="R27" i="18"/>
  <c r="I27" i="18" s="1"/>
  <c r="R28" i="18"/>
  <c r="I28" i="18" s="1"/>
  <c r="R22" i="18"/>
  <c r="I22" i="18" s="1"/>
  <c r="R21" i="18"/>
  <c r="I21" i="18" s="1"/>
  <c r="R19" i="18"/>
  <c r="I19" i="18" s="1"/>
  <c r="R20" i="18"/>
  <c r="I20" i="18" s="1"/>
  <c r="R25" i="18"/>
  <c r="I25" i="18" s="1"/>
  <c r="R23" i="18"/>
  <c r="I23" i="18" s="1"/>
  <c r="R24" i="18"/>
  <c r="I24" i="18" s="1"/>
  <c r="U2" i="16"/>
  <c r="T14" i="16"/>
  <c r="V17" i="16"/>
  <c r="Z15" i="16"/>
  <c r="Y18" i="16"/>
  <c r="U11" i="16"/>
  <c r="W15" i="16"/>
  <c r="V6" i="16"/>
  <c r="V16" i="16"/>
  <c r="V7" i="16"/>
  <c r="T17" i="16"/>
  <c r="U5" i="16"/>
  <c r="W11" i="16"/>
  <c r="U6" i="16"/>
  <c r="AA16" i="16"/>
  <c r="V8" i="16"/>
  <c r="U13" i="16"/>
  <c r="W12" i="16"/>
  <c r="V10" i="16"/>
  <c r="AA17" i="16"/>
  <c r="T18" i="16"/>
  <c r="U15" i="16"/>
  <c r="W13" i="16"/>
  <c r="U8" i="16"/>
  <c r="Y16" i="16"/>
  <c r="W16" i="16"/>
  <c r="T9" i="16"/>
  <c r="AA18" i="16"/>
  <c r="T13" i="16"/>
  <c r="V18" i="16"/>
  <c r="T7" i="16"/>
  <c r="Y15" i="16"/>
  <c r="W14" i="16"/>
  <c r="U17" i="16"/>
  <c r="W17" i="16"/>
  <c r="V9" i="16"/>
  <c r="AA15" i="16"/>
  <c r="T5" i="16"/>
  <c r="V15" i="16"/>
  <c r="U10" i="16"/>
  <c r="T16" i="16"/>
  <c r="U12" i="16"/>
  <c r="V11" i="16"/>
  <c r="T10" i="16"/>
  <c r="T12" i="16"/>
  <c r="U7" i="16"/>
  <c r="V14" i="16"/>
  <c r="T15" i="16"/>
  <c r="V12" i="16"/>
  <c r="Z17" i="16"/>
  <c r="T11" i="16"/>
  <c r="V13" i="16"/>
  <c r="U14" i="16"/>
  <c r="T6" i="16"/>
  <c r="Z18" i="16"/>
  <c r="Y17" i="16"/>
  <c r="U16" i="16"/>
  <c r="W18" i="16"/>
  <c r="T8" i="16"/>
  <c r="Z16" i="16"/>
  <c r="U18" i="16"/>
  <c r="U9" i="16"/>
  <c r="V5" i="16"/>
  <c r="AB11" i="16" l="1"/>
  <c r="AB14" i="16"/>
  <c r="AB12" i="16"/>
  <c r="AB13" i="16"/>
  <c r="AB15" i="16"/>
  <c r="AB16" i="16"/>
  <c r="AB17" i="16"/>
  <c r="AB18" i="16"/>
  <c r="AB5" i="16"/>
  <c r="AB10" i="16"/>
  <c r="AB9" i="16"/>
  <c r="AB8" i="16"/>
  <c r="AB7" i="16"/>
  <c r="AB6" i="16"/>
  <c r="K7" i="16"/>
  <c r="K8" i="16" s="1"/>
  <c r="K9" i="16" s="1"/>
  <c r="K10" i="16" s="1"/>
  <c r="K6" i="16"/>
  <c r="L5" i="16"/>
  <c r="L6" i="16" s="1"/>
  <c r="L7" i="16" s="1"/>
  <c r="L8" i="16" s="1"/>
  <c r="L9" i="16" s="1"/>
  <c r="L10" i="16" s="1"/>
  <c r="C6" i="16"/>
  <c r="C7" i="16"/>
  <c r="C8" i="16"/>
  <c r="C9" i="16"/>
  <c r="C10" i="16"/>
  <c r="C5" i="16"/>
  <c r="D5" i="16"/>
  <c r="D10" i="16"/>
  <c r="D7" i="16"/>
  <c r="D9" i="16"/>
  <c r="D6" i="16"/>
  <c r="D8" i="16"/>
  <c r="J6" i="13" l="1"/>
  <c r="J7" i="13"/>
  <c r="J8" i="13"/>
  <c r="J9" i="13"/>
  <c r="J10" i="13"/>
  <c r="J11" i="13"/>
  <c r="J12" i="13"/>
  <c r="J13" i="13"/>
  <c r="J14" i="13"/>
  <c r="J15" i="13"/>
  <c r="J16" i="13"/>
  <c r="J17" i="13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5" i="7"/>
  <c r="S6" i="13"/>
  <c r="S7" i="13"/>
  <c r="S8" i="13"/>
  <c r="S9" i="13"/>
  <c r="S10" i="13"/>
  <c r="S11" i="13"/>
  <c r="S12" i="13"/>
  <c r="S13" i="13"/>
  <c r="S14" i="13"/>
  <c r="S15" i="13"/>
  <c r="S16" i="13"/>
  <c r="S17" i="13"/>
  <c r="S5" i="12"/>
  <c r="S6" i="12"/>
  <c r="S7" i="12"/>
  <c r="S8" i="12"/>
  <c r="S9" i="12"/>
  <c r="S10" i="12"/>
  <c r="S11" i="12"/>
  <c r="S12" i="12"/>
  <c r="S13" i="12"/>
  <c r="S14" i="12"/>
  <c r="S15" i="12"/>
  <c r="S16" i="12"/>
  <c r="S17" i="12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5" i="5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5" i="10"/>
  <c r="P6" i="13"/>
  <c r="R6" i="13" s="1"/>
  <c r="I6" i="13" s="1"/>
  <c r="P7" i="13"/>
  <c r="R7" i="13" s="1"/>
  <c r="I7" i="13" s="1"/>
  <c r="P8" i="13"/>
  <c r="R8" i="13" s="1"/>
  <c r="I8" i="13" s="1"/>
  <c r="P9" i="13"/>
  <c r="R9" i="13" s="1"/>
  <c r="I9" i="13" s="1"/>
  <c r="P10" i="13"/>
  <c r="R10" i="13" s="1"/>
  <c r="I10" i="13" s="1"/>
  <c r="P11" i="13"/>
  <c r="R11" i="13" s="1"/>
  <c r="I11" i="13" s="1"/>
  <c r="P12" i="13"/>
  <c r="R12" i="13" s="1"/>
  <c r="I12" i="13" s="1"/>
  <c r="P13" i="13"/>
  <c r="R13" i="13" s="1"/>
  <c r="I13" i="13" s="1"/>
  <c r="P14" i="13"/>
  <c r="R14" i="13" s="1"/>
  <c r="I14" i="13" s="1"/>
  <c r="P15" i="13"/>
  <c r="R15" i="13" s="1"/>
  <c r="I15" i="13" s="1"/>
  <c r="P16" i="13"/>
  <c r="R16" i="13" s="1"/>
  <c r="I16" i="13" s="1"/>
  <c r="P17" i="13"/>
  <c r="R17" i="13" s="1"/>
  <c r="I17" i="13" s="1"/>
  <c r="P18" i="13"/>
  <c r="R18" i="13" s="1"/>
  <c r="I18" i="13" s="1"/>
  <c r="P5" i="12"/>
  <c r="R5" i="12" s="1"/>
  <c r="I5" i="12" s="1"/>
  <c r="P6" i="12"/>
  <c r="R6" i="12" s="1"/>
  <c r="I6" i="12" s="1"/>
  <c r="P7" i="12"/>
  <c r="R7" i="12" s="1"/>
  <c r="I7" i="12" s="1"/>
  <c r="P8" i="12"/>
  <c r="R8" i="12" s="1"/>
  <c r="I8" i="12" s="1"/>
  <c r="P9" i="12"/>
  <c r="R9" i="12" s="1"/>
  <c r="I9" i="12" s="1"/>
  <c r="P10" i="12"/>
  <c r="R10" i="12" s="1"/>
  <c r="I10" i="12" s="1"/>
  <c r="P11" i="12"/>
  <c r="R11" i="12" s="1"/>
  <c r="I11" i="12" s="1"/>
  <c r="P12" i="12"/>
  <c r="R12" i="12" s="1"/>
  <c r="I12" i="12" s="1"/>
  <c r="P13" i="12"/>
  <c r="R13" i="12" s="1"/>
  <c r="I13" i="12" s="1"/>
  <c r="P14" i="12"/>
  <c r="R14" i="12" s="1"/>
  <c r="I14" i="12" s="1"/>
  <c r="P15" i="12"/>
  <c r="R15" i="12" s="1"/>
  <c r="I15" i="12" s="1"/>
  <c r="P16" i="12"/>
  <c r="R16" i="12" s="1"/>
  <c r="I16" i="12" s="1"/>
  <c r="P17" i="12"/>
  <c r="R17" i="12" s="1"/>
  <c r="I17" i="12" s="1"/>
  <c r="P18" i="12"/>
  <c r="R18" i="12" s="1"/>
  <c r="I18" i="12" s="1"/>
  <c r="P5" i="11"/>
  <c r="R5" i="11" s="1"/>
  <c r="I5" i="11" s="1"/>
  <c r="P6" i="11"/>
  <c r="R6" i="11" s="1"/>
  <c r="I6" i="11" s="1"/>
  <c r="P7" i="11"/>
  <c r="R7" i="11" s="1"/>
  <c r="I7" i="11" s="1"/>
  <c r="P8" i="11"/>
  <c r="R8" i="11" s="1"/>
  <c r="I8" i="11" s="1"/>
  <c r="P9" i="11"/>
  <c r="R9" i="11" s="1"/>
  <c r="I9" i="11" s="1"/>
  <c r="P10" i="11"/>
  <c r="R10" i="11" s="1"/>
  <c r="I10" i="11" s="1"/>
  <c r="P11" i="11"/>
  <c r="R11" i="11" s="1"/>
  <c r="I11" i="11" s="1"/>
  <c r="P12" i="11"/>
  <c r="R12" i="11" s="1"/>
  <c r="I12" i="11" s="1"/>
  <c r="P13" i="11"/>
  <c r="R13" i="11" s="1"/>
  <c r="I13" i="11" s="1"/>
  <c r="P14" i="11"/>
  <c r="R14" i="11" s="1"/>
  <c r="I14" i="11" s="1"/>
  <c r="P15" i="11"/>
  <c r="R15" i="11" s="1"/>
  <c r="I15" i="11" s="1"/>
  <c r="P16" i="11"/>
  <c r="R16" i="11" s="1"/>
  <c r="I16" i="11" s="1"/>
  <c r="P17" i="11"/>
  <c r="R17" i="11" s="1"/>
  <c r="I17" i="11" s="1"/>
  <c r="P18" i="11"/>
  <c r="R18" i="11" s="1"/>
  <c r="I18" i="11" s="1"/>
  <c r="P5" i="10"/>
  <c r="N6" i="13"/>
  <c r="O7" i="13"/>
  <c r="O8" i="13"/>
  <c r="O9" i="13"/>
  <c r="N10" i="13"/>
  <c r="O11" i="13"/>
  <c r="O12" i="13"/>
  <c r="O13" i="13"/>
  <c r="N14" i="13"/>
  <c r="O15" i="13"/>
  <c r="O16" i="13"/>
  <c r="O17" i="13"/>
  <c r="N18" i="13"/>
  <c r="O19" i="13"/>
  <c r="O20" i="13"/>
  <c r="O21" i="13"/>
  <c r="N22" i="13"/>
  <c r="O23" i="13"/>
  <c r="O24" i="13"/>
  <c r="O25" i="13"/>
  <c r="N26" i="13"/>
  <c r="O27" i="13"/>
  <c r="O28" i="13"/>
  <c r="M5" i="12"/>
  <c r="O5" i="12" s="1"/>
  <c r="N6" i="12"/>
  <c r="O7" i="12"/>
  <c r="O8" i="12"/>
  <c r="O9" i="12"/>
  <c r="N10" i="12"/>
  <c r="O11" i="12"/>
  <c r="O12" i="12"/>
  <c r="O13" i="12"/>
  <c r="N14" i="12"/>
  <c r="O15" i="12"/>
  <c r="O16" i="12"/>
  <c r="O17" i="12"/>
  <c r="N18" i="12"/>
  <c r="O19" i="12"/>
  <c r="O20" i="12"/>
  <c r="O21" i="12"/>
  <c r="N22" i="12"/>
  <c r="O23" i="12"/>
  <c r="O24" i="12"/>
  <c r="O25" i="12"/>
  <c r="N26" i="12"/>
  <c r="O27" i="12"/>
  <c r="O28" i="12"/>
  <c r="M5" i="11"/>
  <c r="O5" i="11" s="1"/>
  <c r="N6" i="11"/>
  <c r="O7" i="11"/>
  <c r="O8" i="11"/>
  <c r="O9" i="11"/>
  <c r="N10" i="11"/>
  <c r="O11" i="11"/>
  <c r="O12" i="11"/>
  <c r="O13" i="11"/>
  <c r="N14" i="11"/>
  <c r="O15" i="11"/>
  <c r="O16" i="11"/>
  <c r="O17" i="11"/>
  <c r="N18" i="11"/>
  <c r="O19" i="11"/>
  <c r="O20" i="11"/>
  <c r="O21" i="11"/>
  <c r="N22" i="11"/>
  <c r="O23" i="11"/>
  <c r="O24" i="11"/>
  <c r="O25" i="11"/>
  <c r="N26" i="11"/>
  <c r="O27" i="11"/>
  <c r="O28" i="11"/>
  <c r="M5" i="5"/>
  <c r="H5" i="12"/>
  <c r="H5" i="11"/>
  <c r="H5" i="10"/>
  <c r="S21" i="13"/>
  <c r="S24" i="13"/>
  <c r="J22" i="13"/>
  <c r="S23" i="11"/>
  <c r="S24" i="11"/>
  <c r="S26" i="13"/>
  <c r="J19" i="13"/>
  <c r="S21" i="11"/>
  <c r="J21" i="11"/>
  <c r="S22" i="13"/>
  <c r="S21" i="12"/>
  <c r="J20" i="13"/>
  <c r="S20" i="13"/>
  <c r="J21" i="12"/>
  <c r="J26" i="12"/>
  <c r="Y12" i="16" s="1"/>
  <c r="S23" i="13"/>
  <c r="J19" i="12"/>
  <c r="S18" i="12"/>
  <c r="S28" i="11"/>
  <c r="S22" i="12"/>
  <c r="J22" i="11"/>
  <c r="J23" i="12"/>
  <c r="J18" i="13"/>
  <c r="S23" i="12"/>
  <c r="J24" i="11"/>
  <c r="S24" i="12"/>
  <c r="J26" i="11"/>
  <c r="J28" i="11"/>
  <c r="S19" i="12"/>
  <c r="S27" i="11"/>
  <c r="J20" i="12"/>
  <c r="J22" i="12"/>
  <c r="S28" i="12"/>
  <c r="S20" i="12"/>
  <c r="J25" i="11"/>
  <c r="J19" i="11"/>
  <c r="J28" i="12"/>
  <c r="Y14" i="16" s="1"/>
  <c r="J18" i="12"/>
  <c r="J27" i="12"/>
  <c r="Y13" i="16" s="1"/>
  <c r="S28" i="13"/>
  <c r="S25" i="11"/>
  <c r="S25" i="12"/>
  <c r="S22" i="11"/>
  <c r="J25" i="13"/>
  <c r="J23" i="11"/>
  <c r="S19" i="11"/>
  <c r="S27" i="12"/>
  <c r="J23" i="13"/>
  <c r="J24" i="12"/>
  <c r="S26" i="11"/>
  <c r="S27" i="13"/>
  <c r="S25" i="13"/>
  <c r="J20" i="11"/>
  <c r="J24" i="13"/>
  <c r="S26" i="12"/>
  <c r="J27" i="11"/>
  <c r="J28" i="13"/>
  <c r="S19" i="13"/>
  <c r="S20" i="11"/>
  <c r="J26" i="13"/>
  <c r="S18" i="11"/>
  <c r="J18" i="11"/>
  <c r="S18" i="13"/>
  <c r="J27" i="13"/>
  <c r="J21" i="13"/>
  <c r="J25" i="12"/>
  <c r="Y11" i="16" s="1"/>
  <c r="L22" i="13" l="1"/>
  <c r="L27" i="13"/>
  <c r="L25" i="13"/>
  <c r="L19" i="13"/>
  <c r="L23" i="13"/>
  <c r="L20" i="13"/>
  <c r="L26" i="13"/>
  <c r="L28" i="13"/>
  <c r="L24" i="13"/>
  <c r="L21" i="13"/>
  <c r="L18" i="13"/>
  <c r="K17" i="13"/>
  <c r="L17" i="13"/>
  <c r="K13" i="13"/>
  <c r="L13" i="13"/>
  <c r="K9" i="13"/>
  <c r="L9" i="13"/>
  <c r="K16" i="13"/>
  <c r="L16" i="13"/>
  <c r="K12" i="13"/>
  <c r="L12" i="13"/>
  <c r="K8" i="13"/>
  <c r="L8" i="13"/>
  <c r="K15" i="13"/>
  <c r="L15" i="13"/>
  <c r="K11" i="13"/>
  <c r="L11" i="13"/>
  <c r="K7" i="13"/>
  <c r="L7" i="13"/>
  <c r="K14" i="13"/>
  <c r="L14" i="13"/>
  <c r="K10" i="13"/>
  <c r="L10" i="13"/>
  <c r="K6" i="13"/>
  <c r="L6" i="13"/>
  <c r="L22" i="12"/>
  <c r="L26" i="12"/>
  <c r="L21" i="12"/>
  <c r="L25" i="12"/>
  <c r="L23" i="12"/>
  <c r="L27" i="12"/>
  <c r="L20" i="12"/>
  <c r="L19" i="12"/>
  <c r="L18" i="12"/>
  <c r="L24" i="12"/>
  <c r="L28" i="12"/>
  <c r="K16" i="12"/>
  <c r="L16" i="12"/>
  <c r="K12" i="12"/>
  <c r="L12" i="12"/>
  <c r="K8" i="12"/>
  <c r="L8" i="12"/>
  <c r="K15" i="12"/>
  <c r="L15" i="12"/>
  <c r="K11" i="12"/>
  <c r="L11" i="12"/>
  <c r="K7" i="12"/>
  <c r="L7" i="12"/>
  <c r="K14" i="12"/>
  <c r="L14" i="12"/>
  <c r="K10" i="12"/>
  <c r="L10" i="12"/>
  <c r="K6" i="12"/>
  <c r="L6" i="12"/>
  <c r="K17" i="12"/>
  <c r="L17" i="12"/>
  <c r="K13" i="12"/>
  <c r="L13" i="12"/>
  <c r="K9" i="12"/>
  <c r="L9" i="12"/>
  <c r="K5" i="12"/>
  <c r="L5" i="12"/>
  <c r="L23" i="11"/>
  <c r="L19" i="11"/>
  <c r="L27" i="11"/>
  <c r="L28" i="11"/>
  <c r="L24" i="11"/>
  <c r="L22" i="11"/>
  <c r="L18" i="11"/>
  <c r="L20" i="11"/>
  <c r="L26" i="11"/>
  <c r="L25" i="11"/>
  <c r="L21" i="11"/>
  <c r="K11" i="11"/>
  <c r="L11" i="11"/>
  <c r="K14" i="11"/>
  <c r="L14" i="11"/>
  <c r="K10" i="11"/>
  <c r="L10" i="11"/>
  <c r="K6" i="11"/>
  <c r="L6" i="11"/>
  <c r="K15" i="11"/>
  <c r="L15" i="11"/>
  <c r="K7" i="11"/>
  <c r="L7" i="11"/>
  <c r="K17" i="11"/>
  <c r="L17" i="11"/>
  <c r="K13" i="11"/>
  <c r="L13" i="11"/>
  <c r="K9" i="11"/>
  <c r="L9" i="11"/>
  <c r="K5" i="11"/>
  <c r="L5" i="11"/>
  <c r="K16" i="11"/>
  <c r="L16" i="11"/>
  <c r="K12" i="11"/>
  <c r="L12" i="11"/>
  <c r="K8" i="11"/>
  <c r="L8" i="11"/>
  <c r="K22" i="13"/>
  <c r="K27" i="13"/>
  <c r="K25" i="13"/>
  <c r="K19" i="13"/>
  <c r="K23" i="13"/>
  <c r="K20" i="13"/>
  <c r="K26" i="13"/>
  <c r="K28" i="13"/>
  <c r="K24" i="13"/>
  <c r="K21" i="13"/>
  <c r="K18" i="13"/>
  <c r="K22" i="12"/>
  <c r="K26" i="12"/>
  <c r="K21" i="12"/>
  <c r="K25" i="12"/>
  <c r="K23" i="12"/>
  <c r="K27" i="12"/>
  <c r="K20" i="12"/>
  <c r="K19" i="12"/>
  <c r="K18" i="12"/>
  <c r="K24" i="12"/>
  <c r="K28" i="12"/>
  <c r="K23" i="11"/>
  <c r="K19" i="11"/>
  <c r="K27" i="11"/>
  <c r="K28" i="11"/>
  <c r="K24" i="11"/>
  <c r="K22" i="11"/>
  <c r="K18" i="11"/>
  <c r="K20" i="11"/>
  <c r="K26" i="11"/>
  <c r="K25" i="11"/>
  <c r="K21" i="11"/>
  <c r="L5" i="7"/>
  <c r="K5" i="7"/>
  <c r="S33" i="13"/>
  <c r="S33" i="12"/>
  <c r="S33" i="11"/>
  <c r="N25" i="11"/>
  <c r="N21" i="11"/>
  <c r="N17" i="11"/>
  <c r="N13" i="11"/>
  <c r="N9" i="11"/>
  <c r="N5" i="11"/>
  <c r="N25" i="12"/>
  <c r="N21" i="12"/>
  <c r="N17" i="12"/>
  <c r="N13" i="12"/>
  <c r="N9" i="12"/>
  <c r="N5" i="12"/>
  <c r="N25" i="13"/>
  <c r="N21" i="13"/>
  <c r="N17" i="13"/>
  <c r="N13" i="13"/>
  <c r="N9" i="13"/>
  <c r="O26" i="11"/>
  <c r="O22" i="11"/>
  <c r="O18" i="11"/>
  <c r="O14" i="11"/>
  <c r="O10" i="11"/>
  <c r="O6" i="11"/>
  <c r="O26" i="12"/>
  <c r="O22" i="12"/>
  <c r="O18" i="12"/>
  <c r="O14" i="12"/>
  <c r="O10" i="12"/>
  <c r="O6" i="12"/>
  <c r="O26" i="13"/>
  <c r="O22" i="13"/>
  <c r="O18" i="13"/>
  <c r="O14" i="13"/>
  <c r="O10" i="13"/>
  <c r="O6" i="13"/>
  <c r="N28" i="11"/>
  <c r="N24" i="11"/>
  <c r="N20" i="11"/>
  <c r="N16" i="11"/>
  <c r="N12" i="11"/>
  <c r="N8" i="11"/>
  <c r="N28" i="12"/>
  <c r="N24" i="12"/>
  <c r="N20" i="12"/>
  <c r="N16" i="12"/>
  <c r="N12" i="12"/>
  <c r="N8" i="12"/>
  <c r="N28" i="13"/>
  <c r="N24" i="13"/>
  <c r="N20" i="13"/>
  <c r="N16" i="13"/>
  <c r="N12" i="13"/>
  <c r="N8" i="13"/>
  <c r="N27" i="11"/>
  <c r="N23" i="11"/>
  <c r="N19" i="11"/>
  <c r="N15" i="11"/>
  <c r="N11" i="11"/>
  <c r="N7" i="11"/>
  <c r="N27" i="12"/>
  <c r="N23" i="12"/>
  <c r="N19" i="12"/>
  <c r="N15" i="12"/>
  <c r="N11" i="12"/>
  <c r="N7" i="12"/>
  <c r="N27" i="13"/>
  <c r="N23" i="13"/>
  <c r="N19" i="13"/>
  <c r="N15" i="13"/>
  <c r="N11" i="13"/>
  <c r="N7" i="13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H5" i="7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5" i="7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5" i="7"/>
  <c r="R5" i="10"/>
  <c r="I5" i="10" s="1"/>
  <c r="P6" i="10"/>
  <c r="R6" i="10" s="1"/>
  <c r="I6" i="10" s="1"/>
  <c r="P7" i="10"/>
  <c r="R7" i="10" s="1"/>
  <c r="I7" i="10" s="1"/>
  <c r="P8" i="10"/>
  <c r="R8" i="10" s="1"/>
  <c r="I8" i="10" s="1"/>
  <c r="P9" i="10"/>
  <c r="R9" i="10" s="1"/>
  <c r="I9" i="10" s="1"/>
  <c r="P10" i="10"/>
  <c r="R10" i="10" s="1"/>
  <c r="I10" i="10" s="1"/>
  <c r="P11" i="10"/>
  <c r="R11" i="10" s="1"/>
  <c r="I11" i="10" s="1"/>
  <c r="P12" i="10"/>
  <c r="R12" i="10" s="1"/>
  <c r="I12" i="10" s="1"/>
  <c r="P13" i="10"/>
  <c r="R13" i="10" s="1"/>
  <c r="I13" i="10" s="1"/>
  <c r="P14" i="10"/>
  <c r="R14" i="10" s="1"/>
  <c r="I14" i="10" s="1"/>
  <c r="P15" i="10"/>
  <c r="R15" i="10" s="1"/>
  <c r="I15" i="10" s="1"/>
  <c r="P16" i="10"/>
  <c r="R16" i="10" s="1"/>
  <c r="I16" i="10" s="1"/>
  <c r="P17" i="10"/>
  <c r="R17" i="10" s="1"/>
  <c r="I17" i="10" s="1"/>
  <c r="P18" i="10"/>
  <c r="R18" i="10" s="1"/>
  <c r="I18" i="10" s="1"/>
  <c r="P5" i="7"/>
  <c r="R5" i="7" s="1"/>
  <c r="I5" i="7" s="1"/>
  <c r="M5" i="10"/>
  <c r="O6" i="10"/>
  <c r="N7" i="10"/>
  <c r="O9" i="10"/>
  <c r="O10" i="10"/>
  <c r="N11" i="10"/>
  <c r="O13" i="10"/>
  <c r="O14" i="10"/>
  <c r="N15" i="10"/>
  <c r="O17" i="10"/>
  <c r="N18" i="10"/>
  <c r="N19" i="10"/>
  <c r="O21" i="10"/>
  <c r="O22" i="10"/>
  <c r="N23" i="10"/>
  <c r="O25" i="10"/>
  <c r="N26" i="10"/>
  <c r="N27" i="10"/>
  <c r="M5" i="7"/>
  <c r="O5" i="7" s="1"/>
  <c r="J5" i="5"/>
  <c r="L5" i="5" s="1"/>
  <c r="J6" i="5"/>
  <c r="J7" i="5"/>
  <c r="J8" i="5"/>
  <c r="J9" i="5"/>
  <c r="J10" i="5"/>
  <c r="J11" i="5"/>
  <c r="J12" i="5"/>
  <c r="J13" i="5"/>
  <c r="J14" i="5"/>
  <c r="J15" i="5"/>
  <c r="J16" i="5"/>
  <c r="J17" i="5"/>
  <c r="S6" i="5"/>
  <c r="S7" i="5"/>
  <c r="S8" i="5"/>
  <c r="S9" i="5"/>
  <c r="S10" i="5"/>
  <c r="S11" i="5"/>
  <c r="S12" i="5"/>
  <c r="S13" i="5"/>
  <c r="S14" i="5"/>
  <c r="S15" i="5"/>
  <c r="S16" i="5"/>
  <c r="S17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P5" i="5"/>
  <c r="P6" i="5"/>
  <c r="R6" i="5" s="1"/>
  <c r="I6" i="5" s="1"/>
  <c r="P7" i="5"/>
  <c r="R7" i="5" s="1"/>
  <c r="I7" i="5" s="1"/>
  <c r="P8" i="5"/>
  <c r="R8" i="5" s="1"/>
  <c r="I8" i="5" s="1"/>
  <c r="P9" i="5"/>
  <c r="R9" i="5" s="1"/>
  <c r="I9" i="5" s="1"/>
  <c r="P10" i="5"/>
  <c r="R10" i="5" s="1"/>
  <c r="I10" i="5" s="1"/>
  <c r="P11" i="5"/>
  <c r="R11" i="5" s="1"/>
  <c r="I11" i="5" s="1"/>
  <c r="P12" i="5"/>
  <c r="R12" i="5" s="1"/>
  <c r="I12" i="5" s="1"/>
  <c r="P13" i="5"/>
  <c r="R13" i="5" s="1"/>
  <c r="I13" i="5" s="1"/>
  <c r="P14" i="5"/>
  <c r="R14" i="5" s="1"/>
  <c r="I14" i="5" s="1"/>
  <c r="P15" i="5"/>
  <c r="R15" i="5" s="1"/>
  <c r="I15" i="5" s="1"/>
  <c r="P16" i="5"/>
  <c r="R16" i="5" s="1"/>
  <c r="I16" i="5" s="1"/>
  <c r="P17" i="5"/>
  <c r="R17" i="5" s="1"/>
  <c r="I17" i="5" s="1"/>
  <c r="P18" i="5"/>
  <c r="R18" i="5" s="1"/>
  <c r="I18" i="5" s="1"/>
  <c r="O5" i="5"/>
  <c r="O6" i="5"/>
  <c r="O7" i="5"/>
  <c r="O8" i="5"/>
  <c r="O9" i="5"/>
  <c r="O10" i="5"/>
  <c r="O11" i="5"/>
  <c r="O12" i="5"/>
  <c r="O13" i="5"/>
  <c r="O14" i="5"/>
  <c r="O15" i="5"/>
  <c r="N16" i="5"/>
  <c r="O17" i="5"/>
  <c r="O18" i="5"/>
  <c r="O19" i="5"/>
  <c r="O20" i="5"/>
  <c r="O21" i="5"/>
  <c r="O22" i="5"/>
  <c r="O23" i="5"/>
  <c r="N24" i="5"/>
  <c r="O25" i="5"/>
  <c r="O26" i="5"/>
  <c r="O27" i="5"/>
  <c r="O28" i="5"/>
  <c r="H5" i="5"/>
  <c r="S6" i="7"/>
  <c r="S7" i="7"/>
  <c r="S8" i="7"/>
  <c r="S9" i="7"/>
  <c r="S10" i="7"/>
  <c r="S11" i="7"/>
  <c r="S12" i="7"/>
  <c r="S13" i="7"/>
  <c r="S14" i="7"/>
  <c r="S15" i="7"/>
  <c r="S16" i="7"/>
  <c r="S17" i="7"/>
  <c r="J6" i="7"/>
  <c r="J7" i="7"/>
  <c r="J8" i="7"/>
  <c r="J9" i="7"/>
  <c r="J10" i="7"/>
  <c r="J11" i="7"/>
  <c r="J12" i="7"/>
  <c r="J13" i="7"/>
  <c r="J14" i="7"/>
  <c r="J15" i="7"/>
  <c r="J16" i="7"/>
  <c r="J17" i="7"/>
  <c r="Q6" i="7"/>
  <c r="Q7" i="7"/>
  <c r="Q8" i="7"/>
  <c r="Q9" i="7"/>
  <c r="Q10" i="7"/>
  <c r="Q11" i="7"/>
  <c r="Q12" i="7"/>
  <c r="Q13" i="7"/>
  <c r="Q14" i="7"/>
  <c r="Q15" i="7"/>
  <c r="Q16" i="7"/>
  <c r="Q17" i="7"/>
  <c r="P6" i="7"/>
  <c r="R6" i="7" s="1"/>
  <c r="I6" i="7" s="1"/>
  <c r="P7" i="7"/>
  <c r="R7" i="7" s="1"/>
  <c r="I7" i="7" s="1"/>
  <c r="P8" i="7"/>
  <c r="R8" i="7" s="1"/>
  <c r="I8" i="7" s="1"/>
  <c r="P9" i="7"/>
  <c r="R9" i="7" s="1"/>
  <c r="I9" i="7" s="1"/>
  <c r="P10" i="7"/>
  <c r="R10" i="7" s="1"/>
  <c r="I10" i="7" s="1"/>
  <c r="P11" i="7"/>
  <c r="R11" i="7" s="1"/>
  <c r="I11" i="7" s="1"/>
  <c r="P12" i="7"/>
  <c r="R12" i="7" s="1"/>
  <c r="I12" i="7" s="1"/>
  <c r="P13" i="7"/>
  <c r="R13" i="7" s="1"/>
  <c r="I13" i="7" s="1"/>
  <c r="P14" i="7"/>
  <c r="R14" i="7" s="1"/>
  <c r="I14" i="7" s="1"/>
  <c r="P15" i="7"/>
  <c r="R15" i="7" s="1"/>
  <c r="I15" i="7" s="1"/>
  <c r="P16" i="7"/>
  <c r="R16" i="7" s="1"/>
  <c r="I16" i="7" s="1"/>
  <c r="P17" i="7"/>
  <c r="R17" i="7" s="1"/>
  <c r="I17" i="7" s="1"/>
  <c r="N17" i="7"/>
  <c r="N28" i="7"/>
  <c r="N10" i="7"/>
  <c r="N6" i="7"/>
  <c r="N7" i="7"/>
  <c r="O8" i="7"/>
  <c r="N9" i="7"/>
  <c r="N11" i="7"/>
  <c r="N12" i="7"/>
  <c r="N13" i="7"/>
  <c r="N14" i="7"/>
  <c r="N15" i="7"/>
  <c r="N16" i="7"/>
  <c r="N18" i="7"/>
  <c r="N19" i="7"/>
  <c r="N20" i="7"/>
  <c r="N21" i="7"/>
  <c r="N22" i="7"/>
  <c r="N23" i="7"/>
  <c r="O24" i="7"/>
  <c r="N25" i="7"/>
  <c r="N26" i="7"/>
  <c r="N27" i="7"/>
  <c r="Q18" i="7"/>
  <c r="P18" i="7"/>
  <c r="AA12" i="16"/>
  <c r="AA13" i="16"/>
  <c r="AA14" i="16"/>
  <c r="Z12" i="16"/>
  <c r="Z13" i="16"/>
  <c r="AA11" i="16"/>
  <c r="Z14" i="16"/>
  <c r="Z11" i="16"/>
  <c r="P32" i="12"/>
  <c r="J25" i="5"/>
  <c r="J27" i="10"/>
  <c r="Q20" i="11"/>
  <c r="S24" i="10"/>
  <c r="J19" i="10"/>
  <c r="J20" i="5"/>
  <c r="J28" i="10"/>
  <c r="S28" i="5"/>
  <c r="S23" i="10"/>
  <c r="S26" i="7"/>
  <c r="Q29" i="12"/>
  <c r="Q19" i="11"/>
  <c r="S25" i="10"/>
  <c r="J24" i="10"/>
  <c r="S24" i="5"/>
  <c r="J27" i="7"/>
  <c r="P19" i="13"/>
  <c r="J21" i="7"/>
  <c r="Q31" i="12"/>
  <c r="J18" i="5"/>
  <c r="S28" i="7"/>
  <c r="P21" i="11"/>
  <c r="Q27" i="11"/>
  <c r="Q28" i="13"/>
  <c r="J18" i="10"/>
  <c r="Q32" i="12"/>
  <c r="S19" i="7"/>
  <c r="P24" i="11"/>
  <c r="J19" i="5"/>
  <c r="J22" i="5"/>
  <c r="S19" i="10"/>
  <c r="J21" i="5"/>
  <c r="S26" i="10"/>
  <c r="Q25" i="13"/>
  <c r="P19" i="12"/>
  <c r="Q30" i="13"/>
  <c r="Q30" i="11"/>
  <c r="Q24" i="11"/>
  <c r="Q21" i="13"/>
  <c r="J28" i="5"/>
  <c r="J22" i="7"/>
  <c r="P20" i="11"/>
  <c r="Q21" i="12"/>
  <c r="S27" i="10"/>
  <c r="J18" i="7"/>
  <c r="S27" i="7"/>
  <c r="Q25" i="12"/>
  <c r="P31" i="12"/>
  <c r="J25" i="10"/>
  <c r="P27" i="13"/>
  <c r="P23" i="11"/>
  <c r="S20" i="7"/>
  <c r="Q25" i="11"/>
  <c r="Q20" i="13"/>
  <c r="Q29" i="13"/>
  <c r="Q29" i="11"/>
  <c r="Q19" i="12"/>
  <c r="S19" i="5"/>
  <c r="S20" i="10"/>
  <c r="Q22" i="13"/>
  <c r="S24" i="7"/>
  <c r="P30" i="13"/>
  <c r="P30" i="11"/>
  <c r="Q28" i="12"/>
  <c r="S18" i="10"/>
  <c r="Q20" i="12"/>
  <c r="P20" i="13"/>
  <c r="P23" i="7"/>
  <c r="Q32" i="13"/>
  <c r="Q32" i="11"/>
  <c r="Q28" i="11"/>
  <c r="S23" i="7"/>
  <c r="Q24" i="12"/>
  <c r="J20" i="7"/>
  <c r="S22" i="10"/>
  <c r="P25" i="11"/>
  <c r="Q23" i="13"/>
  <c r="S21" i="7"/>
  <c r="J26" i="10"/>
  <c r="P29" i="13"/>
  <c r="P29" i="11"/>
  <c r="Q26" i="12"/>
  <c r="P21" i="12"/>
  <c r="J24" i="7"/>
  <c r="S25" i="7"/>
  <c r="P27" i="11"/>
  <c r="Q23" i="12"/>
  <c r="Q31" i="13"/>
  <c r="Q31" i="11"/>
  <c r="J26" i="5"/>
  <c r="J23" i="7"/>
  <c r="Q26" i="13"/>
  <c r="P26" i="11"/>
  <c r="Q22" i="12"/>
  <c r="P32" i="13"/>
  <c r="P32" i="11"/>
  <c r="S25" i="5"/>
  <c r="P22" i="13"/>
  <c r="P24" i="13"/>
  <c r="P19" i="11"/>
  <c r="S18" i="5"/>
  <c r="Q23" i="11"/>
  <c r="P26" i="12"/>
  <c r="S23" i="5"/>
  <c r="J20" i="10"/>
  <c r="Y8" i="16"/>
  <c r="S22" i="5"/>
  <c r="P21" i="13"/>
  <c r="P28" i="13"/>
  <c r="J27" i="5"/>
  <c r="S27" i="5"/>
  <c r="Q30" i="12"/>
  <c r="Q21" i="11"/>
  <c r="P25" i="12"/>
  <c r="Q22" i="11"/>
  <c r="P22" i="11"/>
  <c r="S26" i="5"/>
  <c r="Q27" i="13"/>
  <c r="S20" i="5"/>
  <c r="J23" i="10"/>
  <c r="Q24" i="13"/>
  <c r="P20" i="12"/>
  <c r="P31" i="13"/>
  <c r="P31" i="11"/>
  <c r="P28" i="11"/>
  <c r="P23" i="12"/>
  <c r="P22" i="12"/>
  <c r="P23" i="13"/>
  <c r="J21" i="10"/>
  <c r="Q26" i="11"/>
  <c r="P29" i="12"/>
  <c r="J25" i="7"/>
  <c r="Q27" i="12"/>
  <c r="S21" i="5"/>
  <c r="P27" i="12"/>
  <c r="P22" i="7"/>
  <c r="P26" i="13"/>
  <c r="P30" i="12"/>
  <c r="J22" i="10"/>
  <c r="J19" i="7"/>
  <c r="J24" i="5"/>
  <c r="P25" i="13"/>
  <c r="J28" i="7"/>
  <c r="Q19" i="13"/>
  <c r="J23" i="5"/>
  <c r="S28" i="10"/>
  <c r="J26" i="7"/>
  <c r="S21" i="10"/>
  <c r="S18" i="7"/>
  <c r="S22" i="7"/>
  <c r="P24" i="12"/>
  <c r="P28" i="12"/>
  <c r="L26" i="10" l="1"/>
  <c r="L23" i="10"/>
  <c r="L28" i="10"/>
  <c r="L20" i="10"/>
  <c r="L18" i="10"/>
  <c r="L21" i="10"/>
  <c r="L19" i="10"/>
  <c r="L24" i="10"/>
  <c r="L27" i="10"/>
  <c r="L25" i="10"/>
  <c r="L22" i="10"/>
  <c r="K12" i="10"/>
  <c r="L12" i="10"/>
  <c r="K15" i="10"/>
  <c r="L15" i="10"/>
  <c r="K11" i="10"/>
  <c r="L11" i="10"/>
  <c r="K7" i="10"/>
  <c r="L7" i="10"/>
  <c r="K8" i="10"/>
  <c r="L8" i="10"/>
  <c r="K14" i="10"/>
  <c r="L14" i="10"/>
  <c r="K10" i="10"/>
  <c r="L10" i="10"/>
  <c r="K6" i="10"/>
  <c r="L6" i="10"/>
  <c r="K16" i="10"/>
  <c r="L16" i="10"/>
  <c r="K17" i="10"/>
  <c r="L17" i="10"/>
  <c r="K13" i="10"/>
  <c r="L13" i="10"/>
  <c r="K9" i="10"/>
  <c r="L9" i="10"/>
  <c r="K5" i="10"/>
  <c r="L5" i="10"/>
  <c r="L19" i="5"/>
  <c r="L27" i="5"/>
  <c r="L21" i="5"/>
  <c r="L23" i="5"/>
  <c r="L20" i="5"/>
  <c r="L22" i="5"/>
  <c r="L28" i="5"/>
  <c r="L24" i="5"/>
  <c r="L26" i="5"/>
  <c r="L25" i="5"/>
  <c r="L18" i="5"/>
  <c r="K16" i="5"/>
  <c r="L16" i="5"/>
  <c r="K11" i="5"/>
  <c r="L11" i="5"/>
  <c r="K7" i="5"/>
  <c r="L7" i="5"/>
  <c r="K14" i="5"/>
  <c r="L14" i="5"/>
  <c r="K10" i="5"/>
  <c r="L10" i="5"/>
  <c r="K6" i="5"/>
  <c r="L6" i="5"/>
  <c r="K12" i="5"/>
  <c r="L12" i="5"/>
  <c r="K8" i="5"/>
  <c r="L8" i="5"/>
  <c r="K15" i="5"/>
  <c r="L15" i="5"/>
  <c r="K17" i="5"/>
  <c r="L17" i="5"/>
  <c r="K13" i="5"/>
  <c r="L13" i="5"/>
  <c r="K9" i="5"/>
  <c r="L9" i="5"/>
  <c r="K5" i="5"/>
  <c r="K26" i="10"/>
  <c r="K23" i="10"/>
  <c r="K28" i="10"/>
  <c r="K20" i="10"/>
  <c r="K18" i="10"/>
  <c r="K21" i="10"/>
  <c r="K19" i="10"/>
  <c r="K24" i="10"/>
  <c r="K27" i="10"/>
  <c r="K25" i="10"/>
  <c r="K22" i="10"/>
  <c r="K27" i="5"/>
  <c r="K21" i="5"/>
  <c r="K23" i="5"/>
  <c r="K20" i="5"/>
  <c r="K22" i="5"/>
  <c r="K28" i="5"/>
  <c r="K19" i="5"/>
  <c r="K24" i="5"/>
  <c r="K26" i="5"/>
  <c r="K25" i="5"/>
  <c r="K18" i="5"/>
  <c r="L21" i="7"/>
  <c r="L26" i="7"/>
  <c r="L18" i="7"/>
  <c r="L28" i="7"/>
  <c r="L27" i="7"/>
  <c r="L20" i="7"/>
  <c r="L22" i="7"/>
  <c r="L24" i="7"/>
  <c r="L23" i="7"/>
  <c r="L19" i="7"/>
  <c r="L25" i="7"/>
  <c r="K16" i="7"/>
  <c r="L16" i="7"/>
  <c r="K15" i="7"/>
  <c r="L15" i="7"/>
  <c r="K11" i="7"/>
  <c r="L11" i="7"/>
  <c r="K7" i="7"/>
  <c r="L7" i="7"/>
  <c r="K12" i="7"/>
  <c r="L12" i="7"/>
  <c r="K14" i="7"/>
  <c r="L14" i="7"/>
  <c r="K6" i="7"/>
  <c r="L6" i="7"/>
  <c r="K8" i="7"/>
  <c r="L8" i="7"/>
  <c r="K10" i="7"/>
  <c r="L10" i="7"/>
  <c r="K17" i="7"/>
  <c r="L17" i="7"/>
  <c r="K13" i="7"/>
  <c r="L13" i="7"/>
  <c r="K9" i="7"/>
  <c r="L9" i="7"/>
  <c r="K21" i="7"/>
  <c r="K26" i="7"/>
  <c r="K18" i="7"/>
  <c r="K28" i="7"/>
  <c r="K27" i="7"/>
  <c r="K20" i="7"/>
  <c r="K22" i="7"/>
  <c r="K24" i="7"/>
  <c r="K23" i="7"/>
  <c r="K19" i="7"/>
  <c r="K25" i="7"/>
  <c r="R29" i="13"/>
  <c r="I29" i="13" s="1"/>
  <c r="R30" i="13"/>
  <c r="I30" i="13" s="1"/>
  <c r="R31" i="13"/>
  <c r="I31" i="13" s="1"/>
  <c r="R32" i="13"/>
  <c r="I32" i="13" s="1"/>
  <c r="R29" i="12"/>
  <c r="I29" i="12" s="1"/>
  <c r="R30" i="12"/>
  <c r="I30" i="12" s="1"/>
  <c r="R31" i="12"/>
  <c r="I31" i="12" s="1"/>
  <c r="R32" i="12"/>
  <c r="I32" i="12" s="1"/>
  <c r="R29" i="11"/>
  <c r="I29" i="11" s="1"/>
  <c r="R30" i="11"/>
  <c r="I30" i="11" s="1"/>
  <c r="R31" i="11"/>
  <c r="I31" i="11" s="1"/>
  <c r="R32" i="11"/>
  <c r="I32" i="11" s="1"/>
  <c r="S33" i="10"/>
  <c r="S33" i="5"/>
  <c r="S33" i="7"/>
  <c r="N8" i="5"/>
  <c r="O24" i="5"/>
  <c r="N25" i="10"/>
  <c r="N14" i="10"/>
  <c r="R20" i="13"/>
  <c r="I20" i="13" s="1"/>
  <c r="R19" i="13"/>
  <c r="I19" i="13" s="1"/>
  <c r="R27" i="12"/>
  <c r="I27" i="12" s="1"/>
  <c r="R28" i="12"/>
  <c r="I28" i="12" s="1"/>
  <c r="R20" i="11"/>
  <c r="I20" i="11" s="1"/>
  <c r="R19" i="11"/>
  <c r="I19" i="11" s="1"/>
  <c r="R21" i="12"/>
  <c r="I21" i="12" s="1"/>
  <c r="R26" i="13"/>
  <c r="I26" i="13" s="1"/>
  <c r="R26" i="11"/>
  <c r="I26" i="11" s="1"/>
  <c r="R23" i="13"/>
  <c r="I23" i="13" s="1"/>
  <c r="R24" i="13"/>
  <c r="I24" i="13" s="1"/>
  <c r="R23" i="11"/>
  <c r="I23" i="11" s="1"/>
  <c r="R24" i="11"/>
  <c r="I24" i="11" s="1"/>
  <c r="R25" i="12"/>
  <c r="I25" i="12" s="1"/>
  <c r="R22" i="12"/>
  <c r="I22" i="12" s="1"/>
  <c r="R28" i="13"/>
  <c r="I28" i="13" s="1"/>
  <c r="R27" i="13"/>
  <c r="I27" i="13" s="1"/>
  <c r="R19" i="12"/>
  <c r="I19" i="12" s="1"/>
  <c r="R20" i="12"/>
  <c r="I20" i="12" s="1"/>
  <c r="R27" i="11"/>
  <c r="I27" i="11" s="1"/>
  <c r="R28" i="11"/>
  <c r="I28" i="11" s="1"/>
  <c r="R21" i="13"/>
  <c r="I21" i="13" s="1"/>
  <c r="R21" i="11"/>
  <c r="I21" i="11" s="1"/>
  <c r="R26" i="12"/>
  <c r="I26" i="12" s="1"/>
  <c r="R24" i="12"/>
  <c r="I24" i="12" s="1"/>
  <c r="R23" i="12"/>
  <c r="I23" i="12" s="1"/>
  <c r="R25" i="13"/>
  <c r="I25" i="13" s="1"/>
  <c r="R25" i="11"/>
  <c r="I25" i="11" s="1"/>
  <c r="R22" i="13"/>
  <c r="I22" i="13" s="1"/>
  <c r="R22" i="11"/>
  <c r="I22" i="11" s="1"/>
  <c r="O27" i="10"/>
  <c r="O19" i="10"/>
  <c r="O11" i="10"/>
  <c r="N22" i="10"/>
  <c r="N10" i="10"/>
  <c r="O26" i="10"/>
  <c r="O18" i="10"/>
  <c r="O16" i="5"/>
  <c r="O5" i="10"/>
  <c r="N5" i="10"/>
  <c r="N9" i="10"/>
  <c r="O23" i="10"/>
  <c r="O15" i="10"/>
  <c r="O7" i="10"/>
  <c r="N17" i="10"/>
  <c r="N6" i="10"/>
  <c r="R5" i="5"/>
  <c r="I5" i="5" s="1"/>
  <c r="N21" i="5"/>
  <c r="N13" i="5"/>
  <c r="N5" i="5"/>
  <c r="N28" i="5"/>
  <c r="N20" i="5"/>
  <c r="N12" i="5"/>
  <c r="O28" i="10"/>
  <c r="N28" i="10"/>
  <c r="O24" i="10"/>
  <c r="N24" i="10"/>
  <c r="O20" i="10"/>
  <c r="N20" i="10"/>
  <c r="O16" i="10"/>
  <c r="N16" i="10"/>
  <c r="O12" i="10"/>
  <c r="N12" i="10"/>
  <c r="O8" i="10"/>
  <c r="N8" i="10"/>
  <c r="N5" i="7"/>
  <c r="N21" i="10"/>
  <c r="N13" i="10"/>
  <c r="N25" i="5"/>
  <c r="N17" i="5"/>
  <c r="N9" i="5"/>
  <c r="N27" i="5"/>
  <c r="N23" i="5"/>
  <c r="N19" i="5"/>
  <c r="N15" i="5"/>
  <c r="N11" i="5"/>
  <c r="N7" i="5"/>
  <c r="N26" i="5"/>
  <c r="N22" i="5"/>
  <c r="N18" i="5"/>
  <c r="N14" i="5"/>
  <c r="N10" i="5"/>
  <c r="N6" i="5"/>
  <c r="R18" i="7"/>
  <c r="O9" i="7"/>
  <c r="O27" i="7"/>
  <c r="O21" i="7"/>
  <c r="O25" i="7"/>
  <c r="O20" i="7"/>
  <c r="N24" i="7"/>
  <c r="O19" i="7"/>
  <c r="O23" i="7"/>
  <c r="O17" i="7"/>
  <c r="N8" i="7"/>
  <c r="O13" i="7"/>
  <c r="O28" i="7"/>
  <c r="O16" i="7"/>
  <c r="O12" i="7"/>
  <c r="O15" i="7"/>
  <c r="O11" i="7"/>
  <c r="O7" i="7"/>
  <c r="O26" i="7"/>
  <c r="O22" i="7"/>
  <c r="O18" i="7"/>
  <c r="O14" i="7"/>
  <c r="O10" i="7"/>
  <c r="O6" i="7"/>
  <c r="F5" i="4"/>
  <c r="C5" i="4"/>
  <c r="B5" i="4"/>
  <c r="X18" i="16"/>
  <c r="X15" i="16"/>
  <c r="X16" i="16"/>
  <c r="X17" i="16"/>
  <c r="X14" i="16"/>
  <c r="X12" i="16"/>
  <c r="X11" i="16"/>
  <c r="X13" i="16"/>
  <c r="Q30" i="5"/>
  <c r="P23" i="10"/>
  <c r="Q20" i="5"/>
  <c r="AA10" i="16"/>
  <c r="P24" i="5"/>
  <c r="Q28" i="5"/>
  <c r="Q23" i="7"/>
  <c r="P30" i="10"/>
  <c r="P30" i="7"/>
  <c r="Q28" i="10"/>
  <c r="Q27" i="7"/>
  <c r="Q29" i="10"/>
  <c r="Q29" i="7"/>
  <c r="Q28" i="7"/>
  <c r="Z7" i="16"/>
  <c r="P28" i="7"/>
  <c r="P29" i="10"/>
  <c r="P29" i="7"/>
  <c r="P21" i="7"/>
  <c r="Q21" i="5"/>
  <c r="Q22" i="5"/>
  <c r="P21" i="10"/>
  <c r="P24" i="10"/>
  <c r="P27" i="5"/>
  <c r="Q25" i="5"/>
  <c r="Z10" i="16"/>
  <c r="Q32" i="5"/>
  <c r="Q23" i="5"/>
  <c r="P27" i="7"/>
  <c r="Q27" i="5"/>
  <c r="Y7" i="16"/>
  <c r="P27" i="10"/>
  <c r="P20" i="7"/>
  <c r="P32" i="10"/>
  <c r="P32" i="7"/>
  <c r="P28" i="10"/>
  <c r="P19" i="7"/>
  <c r="Q31" i="10"/>
  <c r="Q31" i="7"/>
  <c r="Q21" i="10"/>
  <c r="Q19" i="5"/>
  <c r="AA6" i="16"/>
  <c r="P31" i="10"/>
  <c r="P31" i="7"/>
  <c r="Q23" i="10"/>
  <c r="Z5" i="16"/>
  <c r="Q30" i="10"/>
  <c r="Q30" i="7"/>
  <c r="P26" i="10"/>
  <c r="P20" i="5"/>
  <c r="P25" i="7"/>
  <c r="Q20" i="7"/>
  <c r="Y6" i="16"/>
  <c r="AA5" i="16"/>
  <c r="P30" i="5"/>
  <c r="Z8" i="16"/>
  <c r="Q25" i="7"/>
  <c r="AA7" i="16"/>
  <c r="Q29" i="5"/>
  <c r="Q24" i="5"/>
  <c r="Y10" i="16"/>
  <c r="Q19" i="7"/>
  <c r="P19" i="10"/>
  <c r="P29" i="5"/>
  <c r="Y5" i="16"/>
  <c r="P26" i="5"/>
  <c r="Z9" i="16"/>
  <c r="Q26" i="7"/>
  <c r="Q26" i="5"/>
  <c r="P25" i="5"/>
  <c r="P25" i="10"/>
  <c r="Z6" i="16"/>
  <c r="Q24" i="10"/>
  <c r="Q24" i="7"/>
  <c r="Q21" i="7"/>
  <c r="Q32" i="10"/>
  <c r="Q32" i="7"/>
  <c r="P21" i="5"/>
  <c r="AA9" i="16"/>
  <c r="P26" i="7"/>
  <c r="P23" i="5"/>
  <c r="Q25" i="10"/>
  <c r="Q27" i="10"/>
  <c r="P32" i="5"/>
  <c r="Q19" i="10"/>
  <c r="P28" i="5"/>
  <c r="P19" i="5"/>
  <c r="Q31" i="5"/>
  <c r="Q22" i="7"/>
  <c r="Q20" i="10"/>
  <c r="Y9" i="16"/>
  <c r="P22" i="5"/>
  <c r="P31" i="5"/>
  <c r="P20" i="10"/>
  <c r="Q26" i="10"/>
  <c r="P24" i="7"/>
  <c r="Q22" i="10"/>
  <c r="P22" i="10"/>
  <c r="AA8" i="16"/>
  <c r="R29" i="10" l="1"/>
  <c r="I29" i="10" s="1"/>
  <c r="R30" i="10"/>
  <c r="I30" i="10" s="1"/>
  <c r="R31" i="10"/>
  <c r="I31" i="10" s="1"/>
  <c r="R32" i="10"/>
  <c r="I32" i="10" s="1"/>
  <c r="R29" i="5"/>
  <c r="I29" i="5" s="1"/>
  <c r="R30" i="5"/>
  <c r="I30" i="5" s="1"/>
  <c r="R31" i="5"/>
  <c r="I31" i="5" s="1"/>
  <c r="R32" i="5"/>
  <c r="I32" i="5" s="1"/>
  <c r="R29" i="7"/>
  <c r="I29" i="7" s="1"/>
  <c r="R30" i="7"/>
  <c r="I30" i="7" s="1"/>
  <c r="R31" i="7"/>
  <c r="I31" i="7" s="1"/>
  <c r="R32" i="7"/>
  <c r="I32" i="7" s="1"/>
  <c r="R27" i="5"/>
  <c r="I27" i="5" s="1"/>
  <c r="R20" i="5"/>
  <c r="I20" i="5" s="1"/>
  <c r="R24" i="5"/>
  <c r="I24" i="5" s="1"/>
  <c r="R21" i="10"/>
  <c r="I21" i="10" s="1"/>
  <c r="R20" i="10"/>
  <c r="I20" i="10" s="1"/>
  <c r="R19" i="10"/>
  <c r="I19" i="10" s="1"/>
  <c r="R28" i="10"/>
  <c r="I28" i="10" s="1"/>
  <c r="R27" i="10"/>
  <c r="I27" i="10" s="1"/>
  <c r="R25" i="5"/>
  <c r="I25" i="5" s="1"/>
  <c r="R26" i="5"/>
  <c r="I26" i="5" s="1"/>
  <c r="R23" i="5"/>
  <c r="I23" i="5" s="1"/>
  <c r="R23" i="10"/>
  <c r="I23" i="10" s="1"/>
  <c r="R25" i="10"/>
  <c r="I25" i="10" s="1"/>
  <c r="R24" i="10"/>
  <c r="I24" i="10" s="1"/>
  <c r="R22" i="10"/>
  <c r="I22" i="10" s="1"/>
  <c r="R19" i="5"/>
  <c r="I19" i="5" s="1"/>
  <c r="R28" i="5"/>
  <c r="I28" i="5" s="1"/>
  <c r="R22" i="5"/>
  <c r="I22" i="5" s="1"/>
  <c r="R21" i="5"/>
  <c r="I21" i="5" s="1"/>
  <c r="R26" i="10"/>
  <c r="I26" i="10" s="1"/>
  <c r="I18" i="7"/>
  <c r="R23" i="7"/>
  <c r="R21" i="7"/>
  <c r="R19" i="7"/>
  <c r="R20" i="7"/>
  <c r="R25" i="7"/>
  <c r="R26" i="7"/>
  <c r="R28" i="7"/>
  <c r="R27" i="7"/>
  <c r="R24" i="7"/>
  <c r="R22" i="7"/>
  <c r="E5" i="4"/>
  <c r="D5" i="4"/>
  <c r="I24" i="7" l="1"/>
  <c r="I23" i="7"/>
  <c r="I20" i="7"/>
  <c r="I28" i="7"/>
  <c r="I19" i="7"/>
  <c r="I25" i="7"/>
  <c r="I27" i="7"/>
  <c r="I22" i="7"/>
  <c r="I26" i="7"/>
  <c r="I21" i="7"/>
  <c r="X7" i="16"/>
  <c r="X6" i="16"/>
  <c r="X10" i="16"/>
  <c r="X9" i="16"/>
  <c r="X5" i="16"/>
  <c r="W5" i="16"/>
  <c r="X8" i="16"/>
  <c r="S5" i="2" l="1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A6" i="4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Q5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J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I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W6" i="16"/>
  <c r="AH7" i="16" l="1"/>
  <c r="AK7" i="16" s="1"/>
  <c r="C6" i="4"/>
  <c r="E6" i="4"/>
  <c r="F6" i="4"/>
  <c r="G6" i="4"/>
  <c r="B6" i="4"/>
  <c r="P45" i="2"/>
  <c r="O8" i="2"/>
  <c r="O12" i="2"/>
  <c r="S45" i="2"/>
  <c r="D6" i="4"/>
  <c r="O16" i="2"/>
  <c r="N5" i="2"/>
  <c r="O9" i="2"/>
  <c r="O13" i="2"/>
  <c r="O17" i="2"/>
  <c r="O6" i="2"/>
  <c r="O10" i="2"/>
  <c r="O14" i="2"/>
  <c r="O18" i="2"/>
  <c r="N17" i="2"/>
  <c r="N13" i="2"/>
  <c r="N9" i="2"/>
  <c r="N19" i="2"/>
  <c r="N15" i="2"/>
  <c r="N11" i="2"/>
  <c r="N7" i="2"/>
  <c r="O7" i="2"/>
  <c r="N5" i="4" s="1"/>
  <c r="N6" i="4" s="1"/>
  <c r="N7" i="4" s="1"/>
  <c r="N8" i="4" s="1"/>
  <c r="N9" i="4" s="1"/>
  <c r="N10" i="4" s="1"/>
  <c r="O11" i="2"/>
  <c r="O15" i="2"/>
  <c r="O19" i="2"/>
  <c r="N16" i="2"/>
  <c r="N12" i="2"/>
  <c r="N8" i="2"/>
  <c r="N18" i="2"/>
  <c r="N14" i="2"/>
  <c r="N10" i="2"/>
  <c r="N6" i="2"/>
  <c r="O5" i="2"/>
  <c r="W7" i="16"/>
  <c r="O5" i="4" l="1"/>
  <c r="O6" i="4" s="1"/>
  <c r="O7" i="4" s="1"/>
  <c r="O8" i="4" s="1"/>
  <c r="O9" i="4" s="1"/>
  <c r="O10" i="4" s="1"/>
  <c r="O8" i="16"/>
  <c r="O9" i="16"/>
  <c r="O5" i="16"/>
  <c r="O6" i="16"/>
  <c r="G12" i="15" s="1"/>
  <c r="O10" i="16"/>
  <c r="O7" i="16"/>
  <c r="P6" i="16"/>
  <c r="G13" i="15" s="1"/>
  <c r="P10" i="16"/>
  <c r="P5" i="16"/>
  <c r="P7" i="16"/>
  <c r="P9" i="16"/>
  <c r="P8" i="16"/>
  <c r="M6" i="16"/>
  <c r="G10" i="15" s="1"/>
  <c r="M10" i="16"/>
  <c r="M7" i="16"/>
  <c r="M5" i="16"/>
  <c r="M8" i="16"/>
  <c r="M9" i="16"/>
  <c r="W5" i="4"/>
  <c r="W6" i="4" s="1"/>
  <c r="W7" i="4" s="1"/>
  <c r="L5" i="4"/>
  <c r="N8" i="16"/>
  <c r="N6" i="16"/>
  <c r="G11" i="15" s="1"/>
  <c r="N10" i="16"/>
  <c r="N5" i="16"/>
  <c r="N9" i="16"/>
  <c r="N7" i="16"/>
  <c r="M5" i="4"/>
  <c r="M6" i="4" s="1"/>
  <c r="M7" i="4" s="1"/>
  <c r="M8" i="4" s="1"/>
  <c r="M9" i="4" s="1"/>
  <c r="M10" i="4" s="1"/>
  <c r="P5" i="4"/>
  <c r="P6" i="4" s="1"/>
  <c r="P7" i="4" s="1"/>
  <c r="P8" i="4" s="1"/>
  <c r="P9" i="4" s="1"/>
  <c r="P10" i="4" s="1"/>
  <c r="V5" i="4"/>
  <c r="W8" i="16"/>
  <c r="W8" i="4" l="1"/>
  <c r="AJ8" i="16"/>
  <c r="L6" i="4"/>
  <c r="L7" i="4" s="1"/>
  <c r="L8" i="4" s="1"/>
  <c r="L9" i="4" s="1"/>
  <c r="L10" i="4" s="1"/>
  <c r="E5" i="16" s="1"/>
  <c r="F5" i="16" s="1"/>
  <c r="E9" i="16"/>
  <c r="F9" i="16" s="1"/>
  <c r="E10" i="16"/>
  <c r="F10" i="16" s="1"/>
  <c r="E7" i="16"/>
  <c r="F7" i="16" s="1"/>
  <c r="E8" i="16"/>
  <c r="F8" i="16" s="1"/>
  <c r="E6" i="16"/>
  <c r="F6" i="16" s="1"/>
  <c r="AJ6" i="16"/>
  <c r="V6" i="4"/>
  <c r="W9" i="16"/>
  <c r="F15" i="16" l="1"/>
  <c r="D10" i="15" s="1"/>
  <c r="W9" i="4"/>
  <c r="AJ9" i="16"/>
  <c r="C11" i="15"/>
  <c r="C12" i="15"/>
  <c r="C10" i="15"/>
  <c r="AJ7" i="16"/>
  <c r="Y6" i="4"/>
  <c r="Y5" i="4"/>
  <c r="AI6" i="16" s="1"/>
  <c r="W10" i="16"/>
  <c r="D12" i="15" l="1"/>
  <c r="D11" i="15"/>
  <c r="W10" i="4"/>
  <c r="G6" i="15" s="1"/>
  <c r="AJ10" i="16"/>
  <c r="AI7" i="16"/>
  <c r="AJ11" i="16" l="1"/>
  <c r="F6" i="15"/>
  <c r="V10" i="4"/>
  <c r="V9" i="4"/>
  <c r="Y10" i="4" l="1"/>
  <c r="AI11" i="16" s="1"/>
  <c r="Y9" i="4"/>
  <c r="V8" i="4"/>
  <c r="F5" i="15" l="1"/>
  <c r="G5" i="15"/>
  <c r="AI10" i="16"/>
  <c r="Y8" i="4"/>
  <c r="AI9" i="16" s="1"/>
  <c r="V7" i="4"/>
  <c r="Y7" i="4" l="1"/>
  <c r="AI8" i="16" s="1"/>
</calcChain>
</file>

<file path=xl/sharedStrings.xml><?xml version="1.0" encoding="utf-8"?>
<sst xmlns="http://schemas.openxmlformats.org/spreadsheetml/2006/main" count="666" uniqueCount="289">
  <si>
    <t>FN312 Investment Challenge Dashboard</t>
  </si>
  <si>
    <t xml:space="preserve">STEP 1 </t>
  </si>
  <si>
    <t>Data Cleaning and Preprocessing</t>
  </si>
  <si>
    <t>1) Update transactions and stock prices (weekly)</t>
  </si>
  <si>
    <t>2) Perform calculations to extract meaningful information from transactions</t>
  </si>
  <si>
    <t>STEP 2</t>
  </si>
  <si>
    <t>Data Analytics and Dashboarding</t>
  </si>
  <si>
    <t>1) Summarize the current status of portfolios</t>
  </si>
  <si>
    <t>2) Show metrics chart on each stock price (using drop-down list)</t>
  </si>
  <si>
    <t>3) Show chart on portfolio current wealth</t>
  </si>
  <si>
    <t>3) Calculate portfolio metrics in terms of trends, momentums, and risks</t>
  </si>
  <si>
    <t>STEP 3</t>
  </si>
  <si>
    <t>Recommendation</t>
  </si>
  <si>
    <t>1) Read dashboard, and summarize current status</t>
  </si>
  <si>
    <t>2) Recommend changes to the trade team</t>
  </si>
  <si>
    <t>Transactions Table</t>
  </si>
  <si>
    <t>AAPL</t>
  </si>
  <si>
    <t>9/10/20 9:19a</t>
  </si>
  <si>
    <t>9/10/20 9:30a</t>
  </si>
  <si>
    <t>Buy</t>
  </si>
  <si>
    <t>RIOT</t>
  </si>
  <si>
    <t>9/10/20 9:17a</t>
  </si>
  <si>
    <t>HD</t>
  </si>
  <si>
    <t>9/10/20 10:14a</t>
  </si>
  <si>
    <t>9/10/20 10:44a</t>
  </si>
  <si>
    <t>9/10/20 10:51a</t>
  </si>
  <si>
    <t>Sell</t>
  </si>
  <si>
    <t>9/10/20 12:09p</t>
  </si>
  <si>
    <t>9/11/20 9:37a</t>
  </si>
  <si>
    <t>WMT</t>
  </si>
  <si>
    <t>9/11/20 9:42a</t>
  </si>
  <si>
    <t>Short</t>
  </si>
  <si>
    <t>9/11/20 10:06a</t>
  </si>
  <si>
    <t>9/11/20 11:16a</t>
  </si>
  <si>
    <t>Cover</t>
  </si>
  <si>
    <t>ORCL</t>
  </si>
  <si>
    <t>9/11/20 11:33a</t>
  </si>
  <si>
    <t>IBM</t>
  </si>
  <si>
    <t>9/11/20 1:23p</t>
  </si>
  <si>
    <t>9/11/20 2:56p</t>
  </si>
  <si>
    <t>9/11/20 2:57p</t>
  </si>
  <si>
    <t>9/11/20 3:57p</t>
  </si>
  <si>
    <t>Symbol</t>
  </si>
  <si>
    <t>Order Date</t>
  </si>
  <si>
    <t>Transaction Date</t>
  </si>
  <si>
    <t>Transactions</t>
  </si>
  <si>
    <t>Cancel Reason</t>
  </si>
  <si>
    <t>Amount</t>
  </si>
  <si>
    <t>Execution_Price</t>
  </si>
  <si>
    <t>Month_order</t>
  </si>
  <si>
    <t>Date_order</t>
  </si>
  <si>
    <t>Year_order</t>
  </si>
  <si>
    <t>Month_Transact</t>
  </si>
  <si>
    <t>Date_Transact</t>
  </si>
  <si>
    <t>Year_Transact</t>
  </si>
  <si>
    <t>Order_Date</t>
  </si>
  <si>
    <t>Transaction_Date</t>
  </si>
  <si>
    <t>Net_Cash_Change</t>
  </si>
  <si>
    <t>Date</t>
  </si>
  <si>
    <t>Price_AAPL</t>
  </si>
  <si>
    <t>Price_RIOT</t>
  </si>
  <si>
    <t>Price_HD</t>
  </si>
  <si>
    <t>Price_WMT</t>
  </si>
  <si>
    <t>Price_IBM</t>
  </si>
  <si>
    <t>Price_ORCL</t>
  </si>
  <si>
    <t>Shares_AAPL</t>
  </si>
  <si>
    <t>Shares_RIOT</t>
  </si>
  <si>
    <t>Shares_HD</t>
  </si>
  <si>
    <t>Shares_WMT</t>
  </si>
  <si>
    <t>Shares_IBM</t>
  </si>
  <si>
    <t>Shares_ORCL</t>
  </si>
  <si>
    <t>Shares_Holding</t>
  </si>
  <si>
    <t>Cash_Holding</t>
  </si>
  <si>
    <t>Asset_Holding</t>
  </si>
  <si>
    <t>HD Data</t>
  </si>
  <si>
    <t>Open</t>
  </si>
  <si>
    <t>High</t>
  </si>
  <si>
    <t>Low</t>
  </si>
  <si>
    <t>Close</t>
  </si>
  <si>
    <t>Adj Close</t>
  </si>
  <si>
    <t>Volume</t>
  </si>
  <si>
    <t>EMA_Beta</t>
  </si>
  <si>
    <t>RSI_Periods</t>
  </si>
  <si>
    <t>BB_Periods</t>
  </si>
  <si>
    <t>EMA</t>
  </si>
  <si>
    <t>RSI</t>
  </si>
  <si>
    <t>BB</t>
  </si>
  <si>
    <t>Data Description</t>
  </si>
  <si>
    <r>
      <rPr>
        <b/>
        <sz val="11"/>
        <color theme="1"/>
        <rFont val="Calibri"/>
        <family val="2"/>
        <scheme val="minor"/>
      </rPr>
      <t>Table 1</t>
    </r>
    <r>
      <rPr>
        <sz val="11"/>
        <color theme="1"/>
        <rFont val="Calibri"/>
        <family val="2"/>
        <scheme val="minor"/>
      </rPr>
      <t>: Transaction Table</t>
    </r>
  </si>
  <si>
    <t xml:space="preserve"> Description: This table contains raw data regarding each portfolio transaction</t>
  </si>
  <si>
    <t>Variable</t>
  </si>
  <si>
    <t>Description</t>
  </si>
  <si>
    <t>Date where order is placed (original)</t>
  </si>
  <si>
    <t>Symbol of stocks traded (original)</t>
  </si>
  <si>
    <t>Date where transaction is done (original)</t>
  </si>
  <si>
    <t>Type of transactions done (original)</t>
  </si>
  <si>
    <t>-</t>
  </si>
  <si>
    <t>The amount of shares where transaction is done (original)</t>
  </si>
  <si>
    <t>The price where transaction is done (original)</t>
  </si>
  <si>
    <t>Month where order is made (calculated)</t>
  </si>
  <si>
    <t>Date where order is made (calculated)</t>
  </si>
  <si>
    <t>Year where order is made (calculated)</t>
  </si>
  <si>
    <t>Month where transaction is made (calculated)</t>
  </si>
  <si>
    <t>Date where transaction is made (calculated)</t>
  </si>
  <si>
    <t>Original</t>
  </si>
  <si>
    <t>Raw data from marketwatch</t>
  </si>
  <si>
    <t>Calculated</t>
  </si>
  <si>
    <t>Calculated field</t>
  </si>
  <si>
    <t>Year where transaction is made (calculated)</t>
  </si>
  <si>
    <t>Order date calculated from month_order, year_order, date_order (calculated)</t>
  </si>
  <si>
    <t>Transaction date calculated from month_transact, year_transact, date_transact (calculated)</t>
  </si>
  <si>
    <t>The change in cash resulted from each transaction</t>
  </si>
  <si>
    <r>
      <rPr>
        <b/>
        <sz val="12"/>
        <color rgb="FF0070C0"/>
        <rFont val="Calibri"/>
        <family val="2"/>
        <scheme val="minor"/>
      </rPr>
      <t>Description</t>
    </r>
    <r>
      <rPr>
        <sz val="11"/>
        <color theme="1"/>
        <rFont val="Calibri"/>
        <family val="2"/>
        <scheme val="minor"/>
      </rPr>
      <t>: This table contains raw data regarding each portfolio transaction</t>
    </r>
  </si>
  <si>
    <t>Description: This table contains the portfolio position on each day</t>
  </si>
  <si>
    <t>Price_XXX</t>
  </si>
  <si>
    <t>Shares_XXX</t>
  </si>
  <si>
    <t>Primary key to keep track of position on each day</t>
  </si>
  <si>
    <t>*</t>
  </si>
  <si>
    <t>(Warning: try to be automated in this table calculation)</t>
  </si>
  <si>
    <r>
      <rPr>
        <b/>
        <sz val="11"/>
        <color rgb="FFFF0000"/>
        <rFont val="Calibri"/>
        <family val="2"/>
        <scheme val="minor"/>
      </rPr>
      <t>Subject to change</t>
    </r>
    <r>
      <rPr>
        <sz val="11"/>
        <color theme="1"/>
        <rFont val="Calibri"/>
        <family val="2"/>
        <scheme val="minor"/>
      </rPr>
      <t>: new stocks could be added</t>
    </r>
  </si>
  <si>
    <t>The total current value of stocks in the team portfolio</t>
  </si>
  <si>
    <t>The total cash that the team is holding</t>
  </si>
  <si>
    <t>Total asset the team is holding (sum of shares_holding and cash_holding)</t>
  </si>
  <si>
    <r>
      <t xml:space="preserve">The cumulative number of XXX shares that the team is holding </t>
    </r>
    <r>
      <rPr>
        <sz val="11"/>
        <color rgb="FFFF0000"/>
        <rFont val="Calibri"/>
        <family val="2"/>
        <scheme val="minor"/>
      </rPr>
      <t>*</t>
    </r>
  </si>
  <si>
    <r>
      <t xml:space="preserve">Adjusted closing price of each stock (calculated from XXX sheet) </t>
    </r>
    <r>
      <rPr>
        <sz val="11"/>
        <color rgb="FFFF0000"/>
        <rFont val="Calibri"/>
        <family val="2"/>
        <scheme val="minor"/>
      </rPr>
      <t>*</t>
    </r>
  </si>
  <si>
    <r>
      <rPr>
        <b/>
        <sz val="11"/>
        <color theme="1"/>
        <rFont val="Calibri"/>
        <family val="2"/>
        <scheme val="minor"/>
      </rPr>
      <t>Table 2</t>
    </r>
    <r>
      <rPr>
        <sz val="11"/>
        <color theme="1"/>
        <rFont val="Calibri"/>
        <family val="2"/>
        <scheme val="minor"/>
      </rPr>
      <t>: Position Table</t>
    </r>
  </si>
  <si>
    <t>Position Table</t>
  </si>
  <si>
    <r>
      <rPr>
        <b/>
        <sz val="12"/>
        <color rgb="FF0070C0"/>
        <rFont val="Calibri"/>
        <family val="2"/>
        <scheme val="minor"/>
      </rPr>
      <t>Description</t>
    </r>
    <r>
      <rPr>
        <sz val="11"/>
        <color theme="1"/>
        <rFont val="Calibri"/>
        <family val="2"/>
        <scheme val="minor"/>
      </rPr>
      <t>: This table contains the portfolio position on each day</t>
    </r>
  </si>
  <si>
    <t>Description: This table contains historical data on XXX stock, including investment metrics</t>
  </si>
  <si>
    <t>BB_Mean</t>
  </si>
  <si>
    <t>BB_Upper</t>
  </si>
  <si>
    <t>BB_Lower</t>
  </si>
  <si>
    <t>Primary key to keep track of historical data</t>
  </si>
  <si>
    <t>Opening price on that day</t>
  </si>
  <si>
    <t>Highest traded price on that day</t>
  </si>
  <si>
    <t>Lowest traded price on that day</t>
  </si>
  <si>
    <t>Close price on that day</t>
  </si>
  <si>
    <t>Volume traded on that day</t>
  </si>
  <si>
    <t>Close price adjusted for irregularities such as stock split</t>
  </si>
  <si>
    <t>Exponential moving average on the stock (calculated: trend metrics)</t>
  </si>
  <si>
    <t>Relative Strength Index on the stock (calculated: momentum metrics)</t>
  </si>
  <si>
    <t>Bollinger Band average on the stock (calculated: trend metrics)</t>
  </si>
  <si>
    <t>Bollinger Band upper bound on the stock (calculated: risk metrics)</t>
  </si>
  <si>
    <t>Bollinger Band lower bound on the stock (calculated: risk metrics)</t>
  </si>
  <si>
    <t>BB_Width</t>
  </si>
  <si>
    <r>
      <rPr>
        <b/>
        <sz val="11"/>
        <color theme="1"/>
        <rFont val="Calibri"/>
        <family val="2"/>
        <scheme val="minor"/>
      </rPr>
      <t>Table 3</t>
    </r>
    <r>
      <rPr>
        <sz val="11"/>
        <color theme="1"/>
        <rFont val="Calibri"/>
        <family val="2"/>
        <scheme val="minor"/>
      </rPr>
      <t>: XXX Stock</t>
    </r>
  </si>
  <si>
    <t>Note1: For calculated field, use parameters shown in lookup sheet.</t>
  </si>
  <si>
    <t>Note2: Use the stocks and transaction type from lookup table to validate data.</t>
  </si>
  <si>
    <t>Metrics Calculation</t>
  </si>
  <si>
    <t>Dashboard</t>
  </si>
  <si>
    <t>Metrics</t>
  </si>
  <si>
    <r>
      <rPr>
        <b/>
        <sz val="12"/>
        <color theme="9" tint="-0.249977111117893"/>
        <rFont val="Calibri"/>
        <family val="2"/>
        <scheme val="minor"/>
      </rPr>
      <t>Part 1</t>
    </r>
    <r>
      <rPr>
        <sz val="11"/>
        <color theme="1"/>
        <rFont val="Calibri"/>
        <family val="2"/>
        <scheme val="minor"/>
      </rPr>
      <t>: Descriptive Statistic</t>
    </r>
  </si>
  <si>
    <r>
      <rPr>
        <b/>
        <sz val="12"/>
        <color rgb="FF0070C0"/>
        <rFont val="Calibri"/>
        <family val="2"/>
        <scheme val="minor"/>
      </rPr>
      <t>Part 2</t>
    </r>
    <r>
      <rPr>
        <sz val="11"/>
        <color theme="1"/>
        <rFont val="Calibri"/>
        <family val="2"/>
        <scheme val="minor"/>
      </rPr>
      <t>: Team Performance</t>
    </r>
  </si>
  <si>
    <r>
      <rPr>
        <b/>
        <sz val="12"/>
        <color rgb="FFFF0000"/>
        <rFont val="Calibri"/>
        <family val="2"/>
        <scheme val="minor"/>
      </rPr>
      <t>Part 3</t>
    </r>
    <r>
      <rPr>
        <sz val="11"/>
        <color theme="1"/>
        <rFont val="Calibri"/>
        <family val="2"/>
        <scheme val="minor"/>
      </rPr>
      <t>: Stock Analytics</t>
    </r>
  </si>
  <si>
    <t xml:space="preserve">    Various measures of team performance  are shown: current stock holding, current cash holding, total wealth,</t>
  </si>
  <si>
    <t xml:space="preserve">    a small table showing the summary of total transactions done during each week, classified based on transaction type, and</t>
  </si>
  <si>
    <t xml:space="preserve">    a small table that shows current team portfolio status, classified by amount the team invested in each stock.</t>
  </si>
  <si>
    <t xml:space="preserve">    A stacked bar graph (stock, cash) shows total team asset over time.</t>
  </si>
  <si>
    <t xml:space="preserve">    By choosing stock and metrics from the drop-down list, display the relevant data, and show the line graph.</t>
  </si>
  <si>
    <t>Sample Dashboard Design</t>
  </si>
  <si>
    <t>Net_Stock_Change</t>
  </si>
  <si>
    <t>Net_Debt_Change</t>
  </si>
  <si>
    <t>Total</t>
  </si>
  <si>
    <t>Stock Holding Change</t>
  </si>
  <si>
    <r>
      <rPr>
        <b/>
        <i/>
        <sz val="11"/>
        <color theme="1"/>
        <rFont val="Calibri"/>
        <family val="2"/>
        <scheme val="minor"/>
      </rPr>
      <t>Source</t>
    </r>
    <r>
      <rPr>
        <sz val="11"/>
        <color theme="1"/>
        <rFont val="Calibri"/>
        <family val="2"/>
        <scheme val="minor"/>
      </rPr>
      <t>: https://finance.yahoo.com/quote/hd/history?ltr=1</t>
    </r>
  </si>
  <si>
    <t>Liabilities_Holding</t>
  </si>
  <si>
    <t>AAPL Data</t>
  </si>
  <si>
    <t>Total_Net_Asset</t>
  </si>
  <si>
    <t>WMT Data</t>
  </si>
  <si>
    <t>RIOT Data</t>
  </si>
  <si>
    <t>IBM Data</t>
  </si>
  <si>
    <t>ORCL Data</t>
  </si>
  <si>
    <t>Move</t>
  </si>
  <si>
    <t>Upmove</t>
  </si>
  <si>
    <t>Downmove</t>
  </si>
  <si>
    <t>Avg_Upmove</t>
  </si>
  <si>
    <t>Avg_Downmove</t>
  </si>
  <si>
    <t>RS</t>
  </si>
  <si>
    <t>BB_Stdev</t>
  </si>
  <si>
    <t>Current Wealth</t>
  </si>
  <si>
    <t>Current Cash</t>
  </si>
  <si>
    <t># Holdings</t>
  </si>
  <si>
    <t>Current Price</t>
  </si>
  <si>
    <t>Stock</t>
  </si>
  <si>
    <t>Index</t>
  </si>
  <si>
    <t>TOP 3 Stock Holdings</t>
  </si>
  <si>
    <t>% of Total Stocks</t>
  </si>
  <si>
    <t>Rank</t>
  </si>
  <si>
    <t>Start</t>
  </si>
  <si>
    <t>End</t>
  </si>
  <si>
    <t>BUY</t>
  </si>
  <si>
    <t>SELL</t>
  </si>
  <si>
    <t>SHORT</t>
  </si>
  <si>
    <t>COVER</t>
  </si>
  <si>
    <t>This Week Transactions</t>
  </si>
  <si>
    <t>TODAY</t>
  </si>
  <si>
    <t>Type</t>
  </si>
  <si>
    <t>Volume (K)</t>
  </si>
  <si>
    <t>BB_M</t>
  </si>
  <si>
    <t>BB_U</t>
  </si>
  <si>
    <t>BB_L</t>
  </si>
  <si>
    <t>Col Header</t>
  </si>
  <si>
    <t>Series 1: Adj Close Price and Volume</t>
  </si>
  <si>
    <t>Series 2: Exponential Moving Average</t>
  </si>
  <si>
    <t>Series 3: Relative Strength Index</t>
  </si>
  <si>
    <t>Series 4: Bollinger Band</t>
  </si>
  <si>
    <t>RSI_UP</t>
  </si>
  <si>
    <t>RSI_DOWN</t>
  </si>
  <si>
    <t>Total Net Asset</t>
  </si>
  <si>
    <t>Cash Holding</t>
  </si>
  <si>
    <t>Team Performance Over Time</t>
  </si>
  <si>
    <t>Header</t>
  </si>
  <si>
    <t>Table 1: Stock Holdings (tbl_holdings)</t>
  </si>
  <si>
    <t>Table 2: Transactions Summary (tbl_transsummary)</t>
  </si>
  <si>
    <t>(NOT) table 4: Team Positions Over Time</t>
  </si>
  <si>
    <t>9/14/20 9:32a</t>
  </si>
  <si>
    <t>9/14/20 9:33a</t>
  </si>
  <si>
    <t>NKLA</t>
  </si>
  <si>
    <t>9/14/20 9:38a</t>
  </si>
  <si>
    <t>9/14/20 10:33a</t>
  </si>
  <si>
    <t>9/14/20 10:34a</t>
  </si>
  <si>
    <t>9/14/20 10:45a</t>
  </si>
  <si>
    <t>9/14/20 11:17a</t>
  </si>
  <si>
    <t>9/14/20 1:02p</t>
  </si>
  <si>
    <t>9/14/20 1:32p</t>
  </si>
  <si>
    <t>9/14/20 1:33p</t>
  </si>
  <si>
    <t>9/16/20 9:31a</t>
  </si>
  <si>
    <t>FDX</t>
  </si>
  <si>
    <t>9/16/20 9:49a</t>
  </si>
  <si>
    <t>9/16/20 9:58a</t>
  </si>
  <si>
    <t>9/16/20 12:42p</t>
  </si>
  <si>
    <t>9/16/20 1:40p</t>
  </si>
  <si>
    <t>9/16/20 1:41p</t>
  </si>
  <si>
    <t>9/16/20 1:42p</t>
  </si>
  <si>
    <t>9/16/20 1:44p</t>
  </si>
  <si>
    <t>9/16/20 2:10p</t>
  </si>
  <si>
    <t>AKRO</t>
  </si>
  <si>
    <t>9/17/20 9:36a</t>
  </si>
  <si>
    <t>9/17/20 12:23p</t>
  </si>
  <si>
    <t>9/17/20 12:42p</t>
  </si>
  <si>
    <t>SPXS</t>
  </si>
  <si>
    <t>9/17/20 12:56p</t>
  </si>
  <si>
    <t>Price_AKRO</t>
  </si>
  <si>
    <t>Price_FDX</t>
  </si>
  <si>
    <t>Price_NKLA</t>
  </si>
  <si>
    <t>Price_SPXS</t>
  </si>
  <si>
    <t>Shares_AKRO</t>
  </si>
  <si>
    <t>Shares_FDX</t>
  </si>
  <si>
    <t>Shares_NKLA</t>
  </si>
  <si>
    <t>Shares_SPXS</t>
  </si>
  <si>
    <t>AKRO Data</t>
  </si>
  <si>
    <r>
      <rPr>
        <b/>
        <i/>
        <sz val="11"/>
        <color theme="1"/>
        <rFont val="Calibri"/>
        <family val="2"/>
        <scheme val="minor"/>
      </rPr>
      <t>Source</t>
    </r>
    <r>
      <rPr>
        <sz val="11"/>
        <color theme="1"/>
        <rFont val="Calibri"/>
        <family val="2"/>
        <scheme val="minor"/>
      </rPr>
      <t xml:space="preserve">: https://finance.yahoo.com/quote/hd/history?ltr=1 </t>
    </r>
  </si>
  <si>
    <t>FDX Data</t>
  </si>
  <si>
    <t>NKLA Data</t>
  </si>
  <si>
    <t>SPXS Data</t>
  </si>
  <si>
    <t>(NOT) table 3: 14-day historical data on XXX stock</t>
  </si>
  <si>
    <t>Dashboard Instructions (updated)</t>
  </si>
  <si>
    <t>* The dashboard consists of four parts. Even though you are free in many aspects of dashboard designing,</t>
  </si>
  <si>
    <t xml:space="preserve">   there are some required features that you need to do.</t>
  </si>
  <si>
    <t>Part 1: Team Current Status</t>
  </si>
  <si>
    <r>
      <t xml:space="preserve">* In this part, you will describe </t>
    </r>
    <r>
      <rPr>
        <b/>
        <i/>
        <sz val="11"/>
        <color theme="1"/>
        <rFont val="Calibri"/>
        <family val="2"/>
        <scheme val="minor"/>
      </rPr>
      <t>summary statistics</t>
    </r>
    <r>
      <rPr>
        <sz val="11"/>
        <color theme="1"/>
        <rFont val="Calibri"/>
        <family val="2"/>
        <scheme val="minor"/>
      </rPr>
      <t xml:space="preserve"> on team current status during the most recent week.</t>
    </r>
  </si>
  <si>
    <t>Required Features</t>
  </si>
  <si>
    <t>1. Current cash with changes from the day before, and current wealth with changes from the day before</t>
  </si>
  <si>
    <t>Hint: Use conditional formatting</t>
  </si>
  <si>
    <t>2. Table or graph showing overview of the team portfolio, e.g. what stocks the team is focusing heavily on</t>
  </si>
  <si>
    <t>3. Table on the past week transaction summary, e.g. is the team focusing on buying stocks or selling stocks in the past week</t>
  </si>
  <si>
    <t>Recommended: I have found that outlining the amount of four transactions is the easiest way, but you are not required to do so.</t>
  </si>
  <si>
    <t>Recommended: I have found that outlining top 3 holdings is the most eye-catching illustration, but you are not required to do so.</t>
  </si>
  <si>
    <t>Part 2: Team Performance over time</t>
  </si>
  <si>
    <t>1. Use at least two attributes from total cash, total stocks, total debt and total wealth in order to show the team performance over time.</t>
  </si>
  <si>
    <t>Recommended: I use total cash and total wealth here, but you can be creative about this.</t>
  </si>
  <si>
    <t>Part 3: Stock Historical Info (Top n days)</t>
  </si>
  <si>
    <t>2. Plot these attributes on the same graph, using custom chart type.</t>
  </si>
  <si>
    <t>1. Construct a table that shows date, opening, high, low, closing and adjusted close price of the stock.</t>
  </si>
  <si>
    <t>2. User must choose the stock to display from drop-down list.</t>
  </si>
  <si>
    <t>Stock Historical Info (Last 20 days)</t>
  </si>
  <si>
    <t>3. For top-n days, n must be at least 15, and at most 20. Implement form control to scroll up-down.</t>
  </si>
  <si>
    <t>Part 4: Indicator Chart</t>
  </si>
  <si>
    <t>1. There must be 4 charts displaying: price chart, EMA chart, RSI chart and BB chart.</t>
  </si>
  <si>
    <t>2. Price chart must contain adjusted closing price, and one other attribute</t>
  </si>
  <si>
    <t>3. EMA chart must contain EMA and adjusted closing price.</t>
  </si>
  <si>
    <t>4. RSI chart must contain RSI.</t>
  </si>
  <si>
    <t>5. BB chart must contain BB_mean, BB_up and BB_down.</t>
  </si>
  <si>
    <t>6. The stock where these charts are displayed must be chosen by drop-down list implemented earlier.</t>
  </si>
  <si>
    <r>
      <t xml:space="preserve">* In this part, you will show how the </t>
    </r>
    <r>
      <rPr>
        <b/>
        <i/>
        <sz val="11"/>
        <color theme="1"/>
        <rFont val="Calibri"/>
        <family val="2"/>
        <scheme val="minor"/>
      </rPr>
      <t xml:space="preserve">team portfolio composition changes </t>
    </r>
    <r>
      <rPr>
        <sz val="11"/>
        <color theme="1"/>
        <rFont val="Calibri"/>
        <family val="2"/>
        <scheme val="minor"/>
      </rPr>
      <t>over time.</t>
    </r>
  </si>
  <si>
    <r>
      <t xml:space="preserve">* In this part, you will show </t>
    </r>
    <r>
      <rPr>
        <b/>
        <i/>
        <sz val="11"/>
        <color theme="1"/>
        <rFont val="Calibri"/>
        <family val="2"/>
        <scheme val="minor"/>
      </rPr>
      <t>raw data on stocks</t>
    </r>
    <r>
      <rPr>
        <sz val="11"/>
        <color theme="1"/>
        <rFont val="Calibri"/>
        <family val="2"/>
        <scheme val="minor"/>
      </rPr>
      <t xml:space="preserve">, chosen by </t>
    </r>
    <r>
      <rPr>
        <b/>
        <i/>
        <sz val="11"/>
        <color theme="1"/>
        <rFont val="Calibri"/>
        <family val="2"/>
        <scheme val="minor"/>
      </rPr>
      <t>drop-down list and scroll form control</t>
    </r>
    <r>
      <rPr>
        <sz val="11"/>
        <color theme="1"/>
        <rFont val="Calibri"/>
        <family val="2"/>
        <scheme val="minor"/>
      </rPr>
      <t>.</t>
    </r>
  </si>
  <si>
    <r>
      <t xml:space="preserve">* In this part, you will show </t>
    </r>
    <r>
      <rPr>
        <b/>
        <i/>
        <sz val="11"/>
        <color theme="1"/>
        <rFont val="Calibri"/>
        <family val="2"/>
        <scheme val="minor"/>
      </rPr>
      <t xml:space="preserve">4 charts </t>
    </r>
    <r>
      <rPr>
        <sz val="11"/>
        <color theme="1"/>
        <rFont val="Calibri"/>
        <family val="2"/>
        <scheme val="minor"/>
      </rPr>
      <t xml:space="preserve">displaying investment metrics, where stocks are chosen based on </t>
    </r>
    <r>
      <rPr>
        <b/>
        <i/>
        <sz val="11"/>
        <color theme="1"/>
        <rFont val="Calibri"/>
        <family val="2"/>
        <scheme val="minor"/>
      </rPr>
      <t>drop-down list</t>
    </r>
    <r>
      <rPr>
        <sz val="11"/>
        <color theme="1"/>
        <rFont val="Calibri"/>
        <family val="2"/>
        <scheme val="minor"/>
      </rPr>
      <t>.</t>
    </r>
  </si>
  <si>
    <t>Advice: When I experimented on doing dashboard, I put data behind the dashboard in another sheet. I think it is easier to work that way.</t>
  </si>
  <si>
    <r>
      <t>T</t>
    </r>
    <r>
      <rPr>
        <b/>
        <sz val="18"/>
        <color rgb="FF0070C0"/>
        <rFont val="Lucida Bright"/>
        <family val="1"/>
      </rPr>
      <t>eam Current Status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</si>
</sst>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64" formatCode="[$-409]d\-mmm\-yy;@"/>
    <numFmt numFmtId="165" formatCode="&quot;$&quot;#,##0.00"/>
    <numFmt numFmtId="169" formatCode="&quot;$&quot;#,##0"/>
    <numFmt numFmtId="171" formatCode="_(&quot;$&quot;* #,##0_);_(&quot;$&quot;* \(#,##0\);_(&quot;$&quot;* &quot;-&quot;??_);_(@_)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8"/>
      <color rgb="FF002060"/>
      <name val="Calibri"/>
      <family val="2"/>
      <scheme val="minor"/>
    </font>
    <font>
      <sz val="18"/>
      <color rgb="FF00206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Lucida Bright"/>
      <family val="1"/>
    </font>
    <font>
      <sz val="12"/>
      <color theme="1"/>
      <name val="Lucida Bright"/>
      <family val="1"/>
    </font>
    <font>
      <sz val="11"/>
      <color theme="7" tint="0.79998168889431442"/>
      <name val="Lucida Bright"/>
      <family val="1"/>
    </font>
    <font>
      <b/>
      <sz val="14"/>
      <color theme="1"/>
      <name val="Lucida Bright"/>
      <family val="1"/>
    </font>
    <font>
      <sz val="14"/>
      <color theme="1"/>
      <name val="Lucida Bright"/>
      <family val="1"/>
    </font>
    <font>
      <i/>
      <sz val="11"/>
      <color theme="1"/>
      <name val="Lucida Bright"/>
      <family val="1"/>
    </font>
    <font>
      <b/>
      <sz val="12"/>
      <color theme="1"/>
      <name val="Lucida Bright"/>
      <family val="1"/>
    </font>
    <font>
      <sz val="13"/>
      <color theme="1"/>
      <name val="Lucida Bright"/>
      <family val="1"/>
    </font>
    <font>
      <sz val="18"/>
      <color rgb="FF0070C0"/>
      <name val="Lucida Bright"/>
      <family val="1"/>
    </font>
    <font>
      <b/>
      <sz val="18"/>
      <color rgb="FF0070C0"/>
      <name val="Lucida Bright"/>
      <family val="1"/>
    </font>
    <font>
      <b/>
      <sz val="16"/>
      <color rgb="FF0070C0"/>
      <name val="Lucida Bright"/>
      <family val="1"/>
    </font>
    <font>
      <b/>
      <i/>
      <sz val="12"/>
      <color theme="1"/>
      <name val="Lucida Bright"/>
      <family val="1"/>
    </font>
    <font>
      <b/>
      <i/>
      <sz val="14"/>
      <color rgb="FF0070C0"/>
      <name val="Lucida Bright"/>
      <family val="1"/>
    </font>
    <font>
      <b/>
      <i/>
      <sz val="12"/>
      <color rgb="FF002060"/>
      <name val="Lucida Bright"/>
      <family val="1"/>
    </font>
    <font>
      <sz val="15"/>
      <color rgb="FF0000FF"/>
      <name val="Lucida Bright"/>
      <family val="1"/>
    </font>
    <font>
      <sz val="12"/>
      <color rgb="FF008000"/>
      <name val="Lucida Bright"/>
      <family val="1"/>
    </font>
    <font>
      <sz val="12"/>
      <color rgb="FFFF0066"/>
      <name val="Lucida Bright"/>
      <family val="1"/>
    </font>
    <font>
      <b/>
      <i/>
      <sz val="16"/>
      <color rgb="FFCC0099"/>
      <name val="Lucida Bright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/>
      <right style="medium">
        <color rgb="FF00B0F0"/>
      </right>
      <top/>
      <bottom/>
      <diagonal/>
    </border>
    <border>
      <left style="medium">
        <color rgb="FF00B0F0"/>
      </left>
      <right style="medium">
        <color rgb="FF00B0F0"/>
      </right>
      <top/>
      <bottom style="medium">
        <color rgb="FF00B0F0"/>
      </bottom>
      <diagonal/>
    </border>
    <border>
      <left/>
      <right style="thin">
        <color theme="0"/>
      </right>
      <top/>
      <bottom/>
      <diagonal/>
    </border>
    <border>
      <left/>
      <right style="thin">
        <color rgb="FF00B0F0"/>
      </right>
      <top/>
      <bottom/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/>
      <diagonal/>
    </border>
    <border>
      <left style="thin">
        <color rgb="FF00B0F0"/>
      </left>
      <right/>
      <top/>
      <bottom/>
      <diagonal/>
    </border>
    <border>
      <left style="medium">
        <color rgb="FF00B0F0"/>
      </left>
      <right style="medium">
        <color rgb="FF00B0F0"/>
      </right>
      <top/>
      <bottom/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/>
      <bottom/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/>
      <top/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/>
      <bottom/>
      <diagonal/>
    </border>
    <border>
      <left style="medium">
        <color rgb="FF0070C0"/>
      </left>
      <right style="medium">
        <color rgb="FF0070C0"/>
      </right>
      <top/>
      <bottom style="medium">
        <color rgb="FF0070C0"/>
      </bottom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 style="medium">
        <color rgb="FF00B0F0"/>
      </left>
      <right/>
      <top/>
      <bottom/>
      <diagonal/>
    </border>
    <border>
      <left style="medium">
        <color rgb="FF00B0F0"/>
      </left>
      <right/>
      <top/>
      <bottom style="medium">
        <color rgb="FF00B0F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8">
    <xf numFmtId="0" fontId="0" fillId="0" borderId="0" xfId="0"/>
    <xf numFmtId="0" fontId="3" fillId="0" borderId="0" xfId="0" applyFont="1"/>
    <xf numFmtId="0" fontId="0" fillId="3" borderId="0" xfId="0" applyFill="1"/>
    <xf numFmtId="0" fontId="4" fillId="3" borderId="0" xfId="0" applyFont="1" applyFill="1"/>
    <xf numFmtId="0" fontId="5" fillId="3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14" fontId="0" fillId="0" borderId="0" xfId="0" applyNumberFormat="1"/>
    <xf numFmtId="164" fontId="0" fillId="0" borderId="0" xfId="0" applyNumberFormat="1"/>
    <xf numFmtId="44" fontId="0" fillId="0" borderId="0" xfId="1" applyFont="1"/>
    <xf numFmtId="44" fontId="0" fillId="0" borderId="0" xfId="0" applyNumberFormat="1"/>
    <xf numFmtId="0" fontId="11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0" fillId="0" borderId="8" xfId="0" applyBorder="1"/>
    <xf numFmtId="0" fontId="0" fillId="0" borderId="3" xfId="0" applyBorder="1"/>
    <xf numFmtId="0" fontId="0" fillId="0" borderId="0" xfId="0" applyBorder="1"/>
    <xf numFmtId="0" fontId="0" fillId="0" borderId="9" xfId="0" applyBorder="1"/>
    <xf numFmtId="0" fontId="0" fillId="0" borderId="11" xfId="0" applyBorder="1" applyAlignment="1">
      <alignment horizontal="centerContinuous"/>
    </xf>
    <xf numFmtId="0" fontId="0" fillId="0" borderId="12" xfId="0" applyBorder="1" applyAlignment="1">
      <alignment horizontal="centerContinuous"/>
    </xf>
    <xf numFmtId="0" fontId="9" fillId="0" borderId="10" xfId="0" applyFont="1" applyBorder="1" applyAlignment="1">
      <alignment horizontal="centerContinuous"/>
    </xf>
    <xf numFmtId="0" fontId="9" fillId="0" borderId="11" xfId="0" applyFont="1" applyBorder="1" applyAlignment="1">
      <alignment horizontal="centerContinuous"/>
    </xf>
    <xf numFmtId="0" fontId="9" fillId="0" borderId="12" xfId="0" applyFont="1" applyBorder="1" applyAlignment="1">
      <alignment horizontal="centerContinuous"/>
    </xf>
    <xf numFmtId="0" fontId="0" fillId="2" borderId="8" xfId="0" applyFill="1" applyBorder="1"/>
    <xf numFmtId="0" fontId="0" fillId="2" borderId="3" xfId="0" applyFill="1" applyBorder="1"/>
    <xf numFmtId="0" fontId="0" fillId="2" borderId="9" xfId="0" applyFill="1" applyBorder="1"/>
    <xf numFmtId="0" fontId="0" fillId="2" borderId="7" xfId="0" applyFill="1" applyBorder="1"/>
    <xf numFmtId="0" fontId="0" fillId="4" borderId="9" xfId="0" applyFill="1" applyBorder="1"/>
    <xf numFmtId="0" fontId="0" fillId="4" borderId="7" xfId="0" applyFill="1" applyBorder="1"/>
    <xf numFmtId="0" fontId="3" fillId="4" borderId="1" xfId="0" applyFont="1" applyFill="1" applyBorder="1"/>
    <xf numFmtId="0" fontId="0" fillId="4" borderId="12" xfId="0" applyFill="1" applyBorder="1"/>
    <xf numFmtId="0" fontId="0" fillId="4" borderId="11" xfId="0" applyFill="1" applyBorder="1"/>
    <xf numFmtId="0" fontId="9" fillId="0" borderId="2" xfId="0" applyFont="1" applyBorder="1" applyAlignment="1">
      <alignment horizontal="centerContinuous"/>
    </xf>
    <xf numFmtId="0" fontId="3" fillId="4" borderId="14" xfId="0" applyFont="1" applyFill="1" applyBorder="1"/>
    <xf numFmtId="0" fontId="0" fillId="4" borderId="0" xfId="0" applyFill="1" applyBorder="1"/>
    <xf numFmtId="0" fontId="10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0" fillId="2" borderId="14" xfId="0" applyFill="1" applyBorder="1"/>
    <xf numFmtId="0" fontId="2" fillId="2" borderId="13" xfId="0" applyFont="1" applyFill="1" applyBorder="1"/>
    <xf numFmtId="0" fontId="14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2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0" xfId="0" applyNumberFormat="1" applyFont="1"/>
    <xf numFmtId="2" fontId="0" fillId="0" borderId="0" xfId="1" applyNumberFormat="1" applyFont="1"/>
    <xf numFmtId="0" fontId="18" fillId="0" borderId="0" xfId="0" applyFont="1"/>
    <xf numFmtId="14" fontId="0" fillId="0" borderId="0" xfId="0" applyNumberFormat="1" applyBorder="1"/>
    <xf numFmtId="44" fontId="0" fillId="0" borderId="0" xfId="1" applyFont="1" applyBorder="1"/>
    <xf numFmtId="2" fontId="0" fillId="0" borderId="0" xfId="0" applyNumberFormat="1" applyBorder="1"/>
    <xf numFmtId="14" fontId="0" fillId="0" borderId="9" xfId="0" applyNumberFormat="1" applyBorder="1"/>
    <xf numFmtId="44" fontId="0" fillId="0" borderId="9" xfId="1" applyFont="1" applyBorder="1"/>
    <xf numFmtId="2" fontId="0" fillId="0" borderId="9" xfId="0" applyNumberFormat="1" applyBorder="1"/>
    <xf numFmtId="0" fontId="0" fillId="0" borderId="10" xfId="0" applyBorder="1"/>
    <xf numFmtId="0" fontId="0" fillId="0" borderId="12" xfId="0" applyBorder="1"/>
    <xf numFmtId="0" fontId="0" fillId="0" borderId="11" xfId="0" applyBorder="1"/>
    <xf numFmtId="0" fontId="0" fillId="0" borderId="0" xfId="0" applyNumberFormat="1"/>
    <xf numFmtId="14" fontId="0" fillId="0" borderId="8" xfId="0" applyNumberFormat="1" applyBorder="1"/>
    <xf numFmtId="44" fontId="0" fillId="0" borderId="8" xfId="1" applyFont="1" applyBorder="1"/>
    <xf numFmtId="2" fontId="0" fillId="0" borderId="8" xfId="0" applyNumberFormat="1" applyBorder="1"/>
    <xf numFmtId="0" fontId="0" fillId="0" borderId="0" xfId="0" applyFill="1" applyBorder="1"/>
    <xf numFmtId="0" fontId="2" fillId="0" borderId="0" xfId="0" applyFont="1"/>
    <xf numFmtId="0" fontId="19" fillId="5" borderId="0" xfId="0" applyFont="1" applyFill="1"/>
    <xf numFmtId="0" fontId="19" fillId="5" borderId="0" xfId="0" applyFont="1" applyFill="1" applyBorder="1"/>
    <xf numFmtId="0" fontId="19" fillId="5" borderId="18" xfId="0" applyFont="1" applyFill="1" applyBorder="1"/>
    <xf numFmtId="0" fontId="20" fillId="5" borderId="0" xfId="0" applyFont="1" applyFill="1" applyBorder="1" applyAlignment="1">
      <alignment horizontal="center"/>
    </xf>
    <xf numFmtId="0" fontId="19" fillId="5" borderId="21" xfId="0" applyFont="1" applyFill="1" applyBorder="1"/>
    <xf numFmtId="0" fontId="22" fillId="5" borderId="0" xfId="0" applyFont="1" applyFill="1" applyBorder="1"/>
    <xf numFmtId="0" fontId="23" fillId="5" borderId="0" xfId="0" applyFont="1" applyFill="1" applyBorder="1"/>
    <xf numFmtId="0" fontId="24" fillId="5" borderId="0" xfId="0" applyFont="1" applyFill="1" applyBorder="1"/>
    <xf numFmtId="0" fontId="19" fillId="5" borderId="19" xfId="0" applyFont="1" applyFill="1" applyBorder="1"/>
    <xf numFmtId="0" fontId="19" fillId="5" borderId="6" xfId="0" applyFont="1" applyFill="1" applyBorder="1"/>
    <xf numFmtId="0" fontId="19" fillId="5" borderId="7" xfId="0" applyFont="1" applyFill="1" applyBorder="1"/>
    <xf numFmtId="165" fontId="19" fillId="5" borderId="0" xfId="0" applyNumberFormat="1" applyFont="1" applyFill="1" applyBorder="1"/>
    <xf numFmtId="44" fontId="19" fillId="5" borderId="0" xfId="1" applyFont="1" applyFill="1" applyBorder="1"/>
    <xf numFmtId="14" fontId="19" fillId="5" borderId="0" xfId="0" applyNumberFormat="1" applyFont="1" applyFill="1" applyBorder="1"/>
    <xf numFmtId="0" fontId="19" fillId="5" borderId="2" xfId="0" applyFont="1" applyFill="1" applyBorder="1"/>
    <xf numFmtId="0" fontId="19" fillId="5" borderId="8" xfId="0" applyFont="1" applyFill="1" applyBorder="1"/>
    <xf numFmtId="0" fontId="19" fillId="5" borderId="3" xfId="0" applyFont="1" applyFill="1" applyBorder="1"/>
    <xf numFmtId="0" fontId="19" fillId="5" borderId="4" xfId="0" applyFont="1" applyFill="1" applyBorder="1"/>
    <xf numFmtId="0" fontId="19" fillId="5" borderId="5" xfId="0" applyFont="1" applyFill="1" applyBorder="1"/>
    <xf numFmtId="0" fontId="19" fillId="5" borderId="9" xfId="0" applyFont="1" applyFill="1" applyBorder="1"/>
    <xf numFmtId="0" fontId="27" fillId="5" borderId="0" xfId="0" applyFont="1" applyFill="1" applyBorder="1"/>
    <xf numFmtId="0" fontId="29" fillId="5" borderId="0" xfId="0" applyFont="1" applyFill="1" applyBorder="1"/>
    <xf numFmtId="14" fontId="30" fillId="5" borderId="0" xfId="0" applyNumberFormat="1" applyFont="1" applyFill="1" applyBorder="1"/>
    <xf numFmtId="169" fontId="23" fillId="5" borderId="0" xfId="1" applyNumberFormat="1" applyFont="1" applyFill="1" applyBorder="1"/>
    <xf numFmtId="0" fontId="25" fillId="5" borderId="0" xfId="0" applyFont="1" applyFill="1" applyBorder="1"/>
    <xf numFmtId="0" fontId="31" fillId="5" borderId="0" xfId="0" applyFont="1" applyFill="1" applyBorder="1"/>
    <xf numFmtId="0" fontId="32" fillId="5" borderId="0" xfId="0" applyFont="1" applyFill="1" applyBorder="1"/>
    <xf numFmtId="10" fontId="26" fillId="5" borderId="25" xfId="0" applyNumberFormat="1" applyFont="1" applyFill="1" applyBorder="1"/>
    <xf numFmtId="10" fontId="20" fillId="5" borderId="26" xfId="0" applyNumberFormat="1" applyFont="1" applyFill="1" applyBorder="1"/>
    <xf numFmtId="0" fontId="25" fillId="5" borderId="27" xfId="0" applyFont="1" applyFill="1" applyBorder="1" applyAlignment="1">
      <alignment horizontal="center" vertical="center" wrapText="1"/>
    </xf>
    <xf numFmtId="0" fontId="25" fillId="5" borderId="28" xfId="0" applyFont="1" applyFill="1" applyBorder="1" applyAlignment="1">
      <alignment vertical="center"/>
    </xf>
    <xf numFmtId="0" fontId="26" fillId="5" borderId="29" xfId="0" applyFont="1" applyFill="1" applyBorder="1"/>
    <xf numFmtId="0" fontId="20" fillId="5" borderId="30" xfId="0" applyFont="1" applyFill="1" applyBorder="1"/>
    <xf numFmtId="165" fontId="25" fillId="5" borderId="24" xfId="0" applyNumberFormat="1" applyFont="1" applyFill="1" applyBorder="1" applyAlignment="1">
      <alignment vertical="center"/>
    </xf>
    <xf numFmtId="165" fontId="26" fillId="5" borderId="31" xfId="0" applyNumberFormat="1" applyFont="1" applyFill="1" applyBorder="1"/>
    <xf numFmtId="165" fontId="20" fillId="5" borderId="32" xfId="0" applyNumberFormat="1" applyFont="1" applyFill="1" applyBorder="1"/>
    <xf numFmtId="0" fontId="25" fillId="5" borderId="33" xfId="0" applyFont="1" applyFill="1" applyBorder="1" applyAlignment="1">
      <alignment horizontal="center" vertical="center"/>
    </xf>
    <xf numFmtId="0" fontId="25" fillId="5" borderId="34" xfId="0" applyFont="1" applyFill="1" applyBorder="1" applyAlignment="1">
      <alignment horizontal="center" vertical="center"/>
    </xf>
    <xf numFmtId="0" fontId="33" fillId="5" borderId="29" xfId="0" applyFont="1" applyFill="1" applyBorder="1"/>
    <xf numFmtId="165" fontId="33" fillId="5" borderId="31" xfId="0" applyNumberFormat="1" applyFont="1" applyFill="1" applyBorder="1"/>
    <xf numFmtId="10" fontId="33" fillId="5" borderId="25" xfId="0" applyNumberFormat="1" applyFont="1" applyFill="1" applyBorder="1"/>
    <xf numFmtId="0" fontId="34" fillId="5" borderId="20" xfId="0" applyFont="1" applyFill="1" applyBorder="1"/>
    <xf numFmtId="44" fontId="34" fillId="5" borderId="15" xfId="1" applyFont="1" applyFill="1" applyBorder="1"/>
    <xf numFmtId="0" fontId="34" fillId="5" borderId="22" xfId="0" applyFont="1" applyFill="1" applyBorder="1"/>
    <xf numFmtId="44" fontId="34" fillId="5" borderId="16" xfId="1" applyFont="1" applyFill="1" applyBorder="1"/>
    <xf numFmtId="0" fontId="35" fillId="5" borderId="17" xfId="0" applyFont="1" applyFill="1" applyBorder="1"/>
    <xf numFmtId="44" fontId="35" fillId="5" borderId="23" xfId="1" applyFont="1" applyFill="1" applyBorder="1"/>
    <xf numFmtId="0" fontId="21" fillId="5" borderId="4" xfId="0" applyFont="1" applyFill="1" applyBorder="1"/>
    <xf numFmtId="0" fontId="25" fillId="5" borderId="35" xfId="0" applyFont="1" applyFill="1" applyBorder="1" applyAlignment="1">
      <alignment horizontal="left"/>
    </xf>
    <xf numFmtId="14" fontId="19" fillId="5" borderId="36" xfId="0" applyNumberFormat="1" applyFont="1" applyFill="1" applyBorder="1"/>
    <xf numFmtId="14" fontId="19" fillId="5" borderId="37" xfId="0" applyNumberFormat="1" applyFont="1" applyFill="1" applyBorder="1"/>
    <xf numFmtId="0" fontId="25" fillId="5" borderId="33" xfId="0" applyFont="1" applyFill="1" applyBorder="1" applyAlignment="1">
      <alignment horizontal="left"/>
    </xf>
    <xf numFmtId="44" fontId="19" fillId="5" borderId="22" xfId="1" applyFont="1" applyFill="1" applyBorder="1"/>
    <xf numFmtId="44" fontId="19" fillId="5" borderId="17" xfId="1" applyFont="1" applyFill="1" applyBorder="1"/>
    <xf numFmtId="0" fontId="19" fillId="5" borderId="22" xfId="0" applyFont="1" applyFill="1" applyBorder="1"/>
    <xf numFmtId="0" fontId="19" fillId="5" borderId="17" xfId="0" applyFont="1" applyFill="1" applyBorder="1"/>
    <xf numFmtId="0" fontId="21" fillId="5" borderId="5" xfId="0" applyFont="1" applyFill="1" applyBorder="1"/>
    <xf numFmtId="0" fontId="36" fillId="5" borderId="0" xfId="0" applyFont="1" applyFill="1" applyBorder="1" applyAlignment="1">
      <alignment horizontal="center"/>
    </xf>
    <xf numFmtId="0" fontId="31" fillId="5" borderId="4" xfId="0" applyFont="1" applyFill="1" applyBorder="1"/>
    <xf numFmtId="171" fontId="0" fillId="0" borderId="0" xfId="1" applyNumberFormat="1" applyFont="1"/>
    <xf numFmtId="171" fontId="0" fillId="0" borderId="0" xfId="0" applyNumberFormat="1"/>
  </cellXfs>
  <cellStyles count="2">
    <cellStyle name="Currency" xfId="1" builtinId="4"/>
    <cellStyle name="Normal" xfId="0" builtinId="0"/>
  </cellStyles>
  <dxfs count="2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m/d/yyyy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19" formatCode="m/d/yyyy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19" formatCode="m/d/yyyy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2" formatCode="0.00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65" formatCode="&quot;$&quot;#,##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2" formatCode="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9" formatCode="m/d/yyyy"/>
    </dxf>
    <dxf>
      <numFmt numFmtId="165" formatCode="&quot;$&quot;#,##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2" formatCode="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9" formatCode="m/d/yyyy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2" formatCode="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9" formatCode="m/d/yyyy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2" formatCode="0.00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2" formatCode="0.00"/>
    </dxf>
    <dxf>
      <numFmt numFmtId="0" formatCode="General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9" formatCode="m/d/yyyy"/>
    </dxf>
    <dxf>
      <numFmt numFmtId="165" formatCode="&quot;$&quot;#,##0.00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164" formatCode="[$-409]d\-mmm\-yy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1" formatCode="0"/>
    </dxf>
    <dxf>
      <numFmt numFmtId="1" formatCode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4" formatCode="[$-409]d\-mmm\-yy;@"/>
    </dxf>
    <dxf>
      <numFmt numFmtId="164" formatCode="[$-409]d\-mmm\-yy;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&quot;$&quot;#,##0.00"/>
    </dxf>
    <dxf>
      <numFmt numFmtId="1" formatCode="0"/>
    </dxf>
  </dxfs>
  <tableStyles count="0" defaultTableStyle="TableStyleMedium2" defaultPivotStyle="PivotStyleLight16"/>
  <colors>
    <mruColors>
      <color rgb="FF008000"/>
      <color rgb="FFCC0099"/>
      <color rgb="FF0000FF"/>
      <color rgb="FFCC00CC"/>
      <color rgb="FFFFDDFD"/>
      <color rgb="FFFF0066"/>
      <color rgb="FF66FFFF"/>
      <color rgb="FF99FFCC"/>
      <color rgb="FFFF99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Volume</c:v>
          </c:tx>
          <c:spPr>
            <a:solidFill>
              <a:srgbClr val="FFDDFD"/>
            </a:solidFill>
            <a:ln>
              <a:solidFill>
                <a:srgbClr val="CC00CC"/>
              </a:solidFill>
            </a:ln>
            <a:effectLst/>
          </c:spPr>
          <c:invertIfNegative val="0"/>
          <c:val>
            <c:numRef>
              <c:f>Dashboard_backend!$V$5:$V$18</c:f>
              <c:numCache>
                <c:formatCode>General</c:formatCode>
                <c:ptCount val="14"/>
                <c:pt idx="0">
                  <c:v>3099.6</c:v>
                </c:pt>
                <c:pt idx="1">
                  <c:v>4827.8999999999996</c:v>
                </c:pt>
                <c:pt idx="2">
                  <c:v>3155.3</c:v>
                </c:pt>
                <c:pt idx="3">
                  <c:v>6592.4</c:v>
                </c:pt>
                <c:pt idx="4">
                  <c:v>5716.8</c:v>
                </c:pt>
                <c:pt idx="5">
                  <c:v>6018.2</c:v>
                </c:pt>
                <c:pt idx="6">
                  <c:v>5210.3</c:v>
                </c:pt>
                <c:pt idx="7">
                  <c:v>3770.7</c:v>
                </c:pt>
                <c:pt idx="8">
                  <c:v>3978.4</c:v>
                </c:pt>
                <c:pt idx="9">
                  <c:v>3547.4</c:v>
                </c:pt>
                <c:pt idx="10">
                  <c:v>3641.5</c:v>
                </c:pt>
                <c:pt idx="11">
                  <c:v>2915.2</c:v>
                </c:pt>
                <c:pt idx="12">
                  <c:v>3788.4</c:v>
                </c:pt>
                <c:pt idx="13">
                  <c:v>2962.9059999999999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8608984"/>
        <c:axId val="338611728"/>
      </c:barChart>
      <c:lineChart>
        <c:grouping val="standard"/>
        <c:varyColors val="0"/>
        <c:ser>
          <c:idx val="0"/>
          <c:order val="0"/>
          <c:tx>
            <c:v>Adj Close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Dashboard_backend!$AB$5:$AB$18</c:f>
              <c:strCache>
                <c:ptCount val="14"/>
                <c:pt idx="0">
                  <c:v>08/28</c:v>
                </c:pt>
                <c:pt idx="1">
                  <c:v>08/31</c:v>
                </c:pt>
                <c:pt idx="2">
                  <c:v>09/01</c:v>
                </c:pt>
                <c:pt idx="3">
                  <c:v>09/02</c:v>
                </c:pt>
                <c:pt idx="4">
                  <c:v>09/03</c:v>
                </c:pt>
                <c:pt idx="5">
                  <c:v>09/04</c:v>
                </c:pt>
                <c:pt idx="6">
                  <c:v>09/08</c:v>
                </c:pt>
                <c:pt idx="7">
                  <c:v>09/09</c:v>
                </c:pt>
                <c:pt idx="8">
                  <c:v>09/10</c:v>
                </c:pt>
                <c:pt idx="9">
                  <c:v>09/11</c:v>
                </c:pt>
                <c:pt idx="10">
                  <c:v>09/14</c:v>
                </c:pt>
                <c:pt idx="11">
                  <c:v>09/15</c:v>
                </c:pt>
                <c:pt idx="12">
                  <c:v>09/16</c:v>
                </c:pt>
                <c:pt idx="13">
                  <c:v>09/17</c:v>
                </c:pt>
              </c:strCache>
            </c:strRef>
          </c:cat>
          <c:val>
            <c:numRef>
              <c:f>Dashboard_backend!$U$5:$U$18</c:f>
              <c:numCache>
                <c:formatCode>_("$"* #,##0.00_);_("$"* \(#,##0.00\);_("$"* "-"??_);_(@_)</c:formatCode>
                <c:ptCount val="14"/>
                <c:pt idx="0">
                  <c:v>125.07</c:v>
                </c:pt>
                <c:pt idx="1">
                  <c:v>123.30999799999999</c:v>
                </c:pt>
                <c:pt idx="2">
                  <c:v>123.400002</c:v>
                </c:pt>
                <c:pt idx="3">
                  <c:v>128.179993</c:v>
                </c:pt>
                <c:pt idx="4">
                  <c:v>124.449997</c:v>
                </c:pt>
                <c:pt idx="5">
                  <c:v>122.300003</c:v>
                </c:pt>
                <c:pt idx="6">
                  <c:v>121.209999</c:v>
                </c:pt>
                <c:pt idx="7">
                  <c:v>122.260002</c:v>
                </c:pt>
                <c:pt idx="8">
                  <c:v>120.55999799999999</c:v>
                </c:pt>
                <c:pt idx="9">
                  <c:v>121.459999</c:v>
                </c:pt>
                <c:pt idx="10">
                  <c:v>122.089996</c:v>
                </c:pt>
                <c:pt idx="11">
                  <c:v>122.44000200000001</c:v>
                </c:pt>
                <c:pt idx="12">
                  <c:v>124.220001</c:v>
                </c:pt>
                <c:pt idx="13">
                  <c:v>124.91999800000001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609376"/>
        <c:axId val="338612120"/>
      </c:lineChart>
      <c:catAx>
        <c:axId val="33860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612120"/>
        <c:crosses val="autoZero"/>
        <c:auto val="1"/>
        <c:lblAlgn val="ctr"/>
        <c:lblOffset val="100"/>
        <c:noMultiLvlLbl val="0"/>
      </c:catAx>
      <c:valAx>
        <c:axId val="338612120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609376"/>
        <c:crosses val="autoZero"/>
        <c:crossBetween val="between"/>
      </c:valAx>
      <c:valAx>
        <c:axId val="3386117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608984"/>
        <c:crosses val="max"/>
        <c:crossBetween val="between"/>
      </c:valAx>
      <c:catAx>
        <c:axId val="338608984"/>
        <c:scaling>
          <c:orientation val="minMax"/>
        </c:scaling>
        <c:delete val="1"/>
        <c:axPos val="b"/>
        <c:majorTickMark val="out"/>
        <c:minorTickMark val="none"/>
        <c:tickLblPos val="nextTo"/>
        <c:crossAx val="338611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Price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Dashboard_backend!$AB$5:$AB$18</c:f>
              <c:strCache>
                <c:ptCount val="14"/>
                <c:pt idx="0">
                  <c:v>08/28</c:v>
                </c:pt>
                <c:pt idx="1">
                  <c:v>08/31</c:v>
                </c:pt>
                <c:pt idx="2">
                  <c:v>09/01</c:v>
                </c:pt>
                <c:pt idx="3">
                  <c:v>09/02</c:v>
                </c:pt>
                <c:pt idx="4">
                  <c:v>09/03</c:v>
                </c:pt>
                <c:pt idx="5">
                  <c:v>09/04</c:v>
                </c:pt>
                <c:pt idx="6">
                  <c:v>09/08</c:v>
                </c:pt>
                <c:pt idx="7">
                  <c:v>09/09</c:v>
                </c:pt>
                <c:pt idx="8">
                  <c:v>09/10</c:v>
                </c:pt>
                <c:pt idx="9">
                  <c:v>09/11</c:v>
                </c:pt>
                <c:pt idx="10">
                  <c:v>09/14</c:v>
                </c:pt>
                <c:pt idx="11">
                  <c:v>09/15</c:v>
                </c:pt>
                <c:pt idx="12">
                  <c:v>09/16</c:v>
                </c:pt>
                <c:pt idx="13">
                  <c:v>09/17</c:v>
                </c:pt>
              </c:strCache>
            </c:strRef>
          </c:cat>
          <c:val>
            <c:numRef>
              <c:f>Dashboard_backend!$U$5:$U$18</c:f>
              <c:numCache>
                <c:formatCode>_("$"* #,##0.00_);_("$"* \(#,##0.00\);_("$"* "-"??_);_(@_)</c:formatCode>
                <c:ptCount val="14"/>
                <c:pt idx="0">
                  <c:v>125.07</c:v>
                </c:pt>
                <c:pt idx="1">
                  <c:v>123.30999799999999</c:v>
                </c:pt>
                <c:pt idx="2">
                  <c:v>123.400002</c:v>
                </c:pt>
                <c:pt idx="3">
                  <c:v>128.179993</c:v>
                </c:pt>
                <c:pt idx="4">
                  <c:v>124.449997</c:v>
                </c:pt>
                <c:pt idx="5">
                  <c:v>122.300003</c:v>
                </c:pt>
                <c:pt idx="6">
                  <c:v>121.209999</c:v>
                </c:pt>
                <c:pt idx="7">
                  <c:v>122.260002</c:v>
                </c:pt>
                <c:pt idx="8">
                  <c:v>120.55999799999999</c:v>
                </c:pt>
                <c:pt idx="9">
                  <c:v>121.459999</c:v>
                </c:pt>
                <c:pt idx="10">
                  <c:v>122.089996</c:v>
                </c:pt>
                <c:pt idx="11">
                  <c:v>122.44000200000001</c:v>
                </c:pt>
                <c:pt idx="12">
                  <c:v>124.220001</c:v>
                </c:pt>
                <c:pt idx="13">
                  <c:v>124.91999800000001</c:v>
                </c:pt>
              </c:numCache>
            </c:numRef>
          </c:val>
          <c:smooth val="0"/>
        </c:ser>
        <c:ser>
          <c:idx val="1"/>
          <c:order val="1"/>
          <c:tx>
            <c:v>EMA</c:v>
          </c:tx>
          <c:spPr>
            <a:ln w="28575" cap="rnd">
              <a:solidFill>
                <a:srgbClr val="0000FF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Dashboard_backend!$AB$5:$AB$18</c:f>
              <c:strCache>
                <c:ptCount val="14"/>
                <c:pt idx="0">
                  <c:v>08/28</c:v>
                </c:pt>
                <c:pt idx="1">
                  <c:v>08/31</c:v>
                </c:pt>
                <c:pt idx="2">
                  <c:v>09/01</c:v>
                </c:pt>
                <c:pt idx="3">
                  <c:v>09/02</c:v>
                </c:pt>
                <c:pt idx="4">
                  <c:v>09/03</c:v>
                </c:pt>
                <c:pt idx="5">
                  <c:v>09/04</c:v>
                </c:pt>
                <c:pt idx="6">
                  <c:v>09/08</c:v>
                </c:pt>
                <c:pt idx="7">
                  <c:v>09/09</c:v>
                </c:pt>
                <c:pt idx="8">
                  <c:v>09/10</c:v>
                </c:pt>
                <c:pt idx="9">
                  <c:v>09/11</c:v>
                </c:pt>
                <c:pt idx="10">
                  <c:v>09/14</c:v>
                </c:pt>
                <c:pt idx="11">
                  <c:v>09/15</c:v>
                </c:pt>
                <c:pt idx="12">
                  <c:v>09/16</c:v>
                </c:pt>
                <c:pt idx="13">
                  <c:v>09/17</c:v>
                </c:pt>
              </c:strCache>
            </c:strRef>
          </c:cat>
          <c:val>
            <c:numRef>
              <c:f>Dashboard_backend!$W$5:$W$18</c:f>
              <c:numCache>
                <c:formatCode>_("$"* #,##0.00_);_("$"* \(#,##0.00\);_("$"* "-"??_);_(@_)</c:formatCode>
                <c:ptCount val="14"/>
                <c:pt idx="0">
                  <c:v>125.22460416891472</c:v>
                </c:pt>
                <c:pt idx="1">
                  <c:v>125.03314355202325</c:v>
                </c:pt>
                <c:pt idx="2">
                  <c:v>124.86982939682092</c:v>
                </c:pt>
                <c:pt idx="3">
                  <c:v>125.20084575713882</c:v>
                </c:pt>
                <c:pt idx="4">
                  <c:v>125.12576088142494</c:v>
                </c:pt>
                <c:pt idx="5">
                  <c:v>124.84318509328244</c:v>
                </c:pt>
                <c:pt idx="6">
                  <c:v>124.4798664839542</c:v>
                </c:pt>
                <c:pt idx="7">
                  <c:v>124.25788003555878</c:v>
                </c:pt>
                <c:pt idx="8">
                  <c:v>123.8880918320029</c:v>
                </c:pt>
                <c:pt idx="9">
                  <c:v>123.6452825488026</c:v>
                </c:pt>
                <c:pt idx="10">
                  <c:v>123.48975389392234</c:v>
                </c:pt>
                <c:pt idx="11">
                  <c:v>123.38477870453011</c:v>
                </c:pt>
                <c:pt idx="12">
                  <c:v>123.46830093407709</c:v>
                </c:pt>
                <c:pt idx="13">
                  <c:v>123.61347064066939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607024"/>
        <c:axId val="338612512"/>
      </c:lineChart>
      <c:catAx>
        <c:axId val="33860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612512"/>
        <c:crosses val="autoZero"/>
        <c:auto val="1"/>
        <c:lblAlgn val="ctr"/>
        <c:lblOffset val="100"/>
        <c:noMultiLvlLbl val="0"/>
      </c:catAx>
      <c:valAx>
        <c:axId val="338612512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60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RSI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Dashboard_backend!$AB$5:$AB$18</c:f>
              <c:strCache>
                <c:ptCount val="14"/>
                <c:pt idx="0">
                  <c:v>08/28</c:v>
                </c:pt>
                <c:pt idx="1">
                  <c:v>08/31</c:v>
                </c:pt>
                <c:pt idx="2">
                  <c:v>09/01</c:v>
                </c:pt>
                <c:pt idx="3">
                  <c:v>09/02</c:v>
                </c:pt>
                <c:pt idx="4">
                  <c:v>09/03</c:v>
                </c:pt>
                <c:pt idx="5">
                  <c:v>09/04</c:v>
                </c:pt>
                <c:pt idx="6">
                  <c:v>09/08</c:v>
                </c:pt>
                <c:pt idx="7">
                  <c:v>09/09</c:v>
                </c:pt>
                <c:pt idx="8">
                  <c:v>09/10</c:v>
                </c:pt>
                <c:pt idx="9">
                  <c:v>09/11</c:v>
                </c:pt>
                <c:pt idx="10">
                  <c:v>09/14</c:v>
                </c:pt>
                <c:pt idx="11">
                  <c:v>09/15</c:v>
                </c:pt>
                <c:pt idx="12">
                  <c:v>09/16</c:v>
                </c:pt>
                <c:pt idx="13">
                  <c:v>09/17</c:v>
                </c:pt>
              </c:strCache>
            </c:strRef>
          </c:cat>
          <c:val>
            <c:numRef>
              <c:f>Dashboard_backend!$X$5:$X$18</c:f>
              <c:numCache>
                <c:formatCode>0.00</c:formatCode>
                <c:ptCount val="14"/>
                <c:pt idx="0">
                  <c:v>40.135381188509939</c:v>
                </c:pt>
                <c:pt idx="1">
                  <c:v>35.349212392855492</c:v>
                </c:pt>
                <c:pt idx="2">
                  <c:v>35.993219349658261</c:v>
                </c:pt>
                <c:pt idx="3">
                  <c:v>60.577560056478212</c:v>
                </c:pt>
                <c:pt idx="4">
                  <c:v>47.769312287683391</c:v>
                </c:pt>
                <c:pt idx="5">
                  <c:v>44.568525218374567</c:v>
                </c:pt>
                <c:pt idx="6">
                  <c:v>40.86656570813502</c:v>
                </c:pt>
                <c:pt idx="7">
                  <c:v>46.104549361217636</c:v>
                </c:pt>
                <c:pt idx="8">
                  <c:v>43.917322686707358</c:v>
                </c:pt>
                <c:pt idx="9">
                  <c:v>46.167707221267221</c:v>
                </c:pt>
                <c:pt idx="10">
                  <c:v>41.153267619516988</c:v>
                </c:pt>
                <c:pt idx="11">
                  <c:v>44.387764186794868</c:v>
                </c:pt>
                <c:pt idx="12">
                  <c:v>50.119567175576186</c:v>
                </c:pt>
                <c:pt idx="13">
                  <c:v>50.638892690751121</c:v>
                </c:pt>
              </c:numCache>
            </c:numRef>
          </c:val>
          <c:smooth val="0"/>
        </c:ser>
        <c:ser>
          <c:idx val="0"/>
          <c:order val="1"/>
          <c:tx>
            <c:v>RSI_UP</c:v>
          </c:tx>
          <c:spPr>
            <a:ln w="28575" cap="rnd">
              <a:solidFill>
                <a:srgbClr val="CC00CC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Dashboard_backend!$AC$5:$AC$18</c:f>
              <c:numCache>
                <c:formatCode>General</c:formatCode>
                <c:ptCount val="14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</c:numCache>
            </c:numRef>
          </c:val>
          <c:smooth val="0"/>
        </c:ser>
        <c:ser>
          <c:idx val="2"/>
          <c:order val="2"/>
          <c:tx>
            <c:v>RSI_DOWN</c:v>
          </c:tx>
          <c:spPr>
            <a:ln w="28575" cap="rnd">
              <a:solidFill>
                <a:srgbClr val="008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Dashboard_backend!$AD$5:$AD$18</c:f>
              <c:numCache>
                <c:formatCode>General</c:formatCode>
                <c:ptCount val="1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605848"/>
        <c:axId val="338610944"/>
      </c:lineChart>
      <c:catAx>
        <c:axId val="338605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610944"/>
        <c:crosses val="autoZero"/>
        <c:auto val="1"/>
        <c:lblAlgn val="ctr"/>
        <c:lblOffset val="100"/>
        <c:noMultiLvlLbl val="0"/>
      </c:catAx>
      <c:valAx>
        <c:axId val="338610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605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BB_Mean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Dashboard_backend!$AB$5:$AB$18</c:f>
              <c:strCache>
                <c:ptCount val="14"/>
                <c:pt idx="0">
                  <c:v>08/28</c:v>
                </c:pt>
                <c:pt idx="1">
                  <c:v>08/31</c:v>
                </c:pt>
                <c:pt idx="2">
                  <c:v>09/01</c:v>
                </c:pt>
                <c:pt idx="3">
                  <c:v>09/02</c:v>
                </c:pt>
                <c:pt idx="4">
                  <c:v>09/03</c:v>
                </c:pt>
                <c:pt idx="5">
                  <c:v>09/04</c:v>
                </c:pt>
                <c:pt idx="6">
                  <c:v>09/08</c:v>
                </c:pt>
                <c:pt idx="7">
                  <c:v>09/09</c:v>
                </c:pt>
                <c:pt idx="8">
                  <c:v>09/10</c:v>
                </c:pt>
                <c:pt idx="9">
                  <c:v>09/11</c:v>
                </c:pt>
                <c:pt idx="10">
                  <c:v>09/14</c:v>
                </c:pt>
                <c:pt idx="11">
                  <c:v>09/15</c:v>
                </c:pt>
                <c:pt idx="12">
                  <c:v>09/16</c:v>
                </c:pt>
                <c:pt idx="13">
                  <c:v>09/17</c:v>
                </c:pt>
              </c:strCache>
            </c:strRef>
          </c:cat>
          <c:val>
            <c:numRef>
              <c:f>Dashboard_backend!$Y$5:$Y$18</c:f>
              <c:numCache>
                <c:formatCode>_("$"* #,##0.00_);_("$"* \(#,##0.00\);_("$"* "-"??_);_(@_)</c:formatCode>
                <c:ptCount val="14"/>
                <c:pt idx="0">
                  <c:v>124.8192852857143</c:v>
                </c:pt>
                <c:pt idx="1">
                  <c:v>124.57357085714285</c:v>
                </c:pt>
                <c:pt idx="2">
                  <c:v>124.33785692857144</c:v>
                </c:pt>
                <c:pt idx="3">
                  <c:v>124.5628565</c:v>
                </c:pt>
                <c:pt idx="4">
                  <c:v>124.50428507142855</c:v>
                </c:pt>
                <c:pt idx="5">
                  <c:v>124.35142799999998</c:v>
                </c:pt>
                <c:pt idx="6">
                  <c:v>124.08642807142857</c:v>
                </c:pt>
                <c:pt idx="7">
                  <c:v>123.97357135714284</c:v>
                </c:pt>
                <c:pt idx="8">
                  <c:v>123.78857107142856</c:v>
                </c:pt>
                <c:pt idx="9">
                  <c:v>123.66714214285712</c:v>
                </c:pt>
                <c:pt idx="10">
                  <c:v>123.41071328571427</c:v>
                </c:pt>
                <c:pt idx="11">
                  <c:v>123.25357064285713</c:v>
                </c:pt>
                <c:pt idx="12">
                  <c:v>123.25714228571428</c:v>
                </c:pt>
                <c:pt idx="13">
                  <c:v>123.2764277142857</c:v>
                </c:pt>
              </c:numCache>
            </c:numRef>
          </c:val>
          <c:smooth val="0"/>
        </c:ser>
        <c:ser>
          <c:idx val="1"/>
          <c:order val="1"/>
          <c:tx>
            <c:v>BB_Up</c:v>
          </c:tx>
          <c:spPr>
            <a:ln w="28575" cap="rnd">
              <a:solidFill>
                <a:srgbClr val="CC0099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Dashboard_backend!$AB$5:$AB$18</c:f>
              <c:strCache>
                <c:ptCount val="14"/>
                <c:pt idx="0">
                  <c:v>08/28</c:v>
                </c:pt>
                <c:pt idx="1">
                  <c:v>08/31</c:v>
                </c:pt>
                <c:pt idx="2">
                  <c:v>09/01</c:v>
                </c:pt>
                <c:pt idx="3">
                  <c:v>09/02</c:v>
                </c:pt>
                <c:pt idx="4">
                  <c:v>09/03</c:v>
                </c:pt>
                <c:pt idx="5">
                  <c:v>09/04</c:v>
                </c:pt>
                <c:pt idx="6">
                  <c:v>09/08</c:v>
                </c:pt>
                <c:pt idx="7">
                  <c:v>09/09</c:v>
                </c:pt>
                <c:pt idx="8">
                  <c:v>09/10</c:v>
                </c:pt>
                <c:pt idx="9">
                  <c:v>09/11</c:v>
                </c:pt>
                <c:pt idx="10">
                  <c:v>09/14</c:v>
                </c:pt>
                <c:pt idx="11">
                  <c:v>09/15</c:v>
                </c:pt>
                <c:pt idx="12">
                  <c:v>09/16</c:v>
                </c:pt>
                <c:pt idx="13">
                  <c:v>09/17</c:v>
                </c:pt>
              </c:strCache>
            </c:strRef>
          </c:cat>
          <c:val>
            <c:numRef>
              <c:f>Dashboard_backend!$Z$5:$Z$18</c:f>
              <c:numCache>
                <c:formatCode>_("$"* #,##0.00_);_("$"* \(#,##0.00\);_("$"* "-"??_);_(@_)</c:formatCode>
                <c:ptCount val="14"/>
                <c:pt idx="0">
                  <c:v>126.99969221235337</c:v>
                </c:pt>
                <c:pt idx="1">
                  <c:v>126.58554251666078</c:v>
                </c:pt>
                <c:pt idx="2">
                  <c:v>126.02343542333212</c:v>
                </c:pt>
                <c:pt idx="3">
                  <c:v>127.21197942863579</c:v>
                </c:pt>
                <c:pt idx="4">
                  <c:v>127.12213392141084</c:v>
                </c:pt>
                <c:pt idx="5">
                  <c:v>127.22305547270858</c:v>
                </c:pt>
                <c:pt idx="6">
                  <c:v>127.38502679296934</c:v>
                </c:pt>
                <c:pt idx="7">
                  <c:v>127.41357312171409</c:v>
                </c:pt>
                <c:pt idx="8">
                  <c:v>127.66966150322904</c:v>
                </c:pt>
                <c:pt idx="9">
                  <c:v>127.73483951066494</c:v>
                </c:pt>
                <c:pt idx="10">
                  <c:v>127.38332098100572</c:v>
                </c:pt>
                <c:pt idx="11">
                  <c:v>127.1906004630778</c:v>
                </c:pt>
                <c:pt idx="12">
                  <c:v>127.19784243079498</c:v>
                </c:pt>
                <c:pt idx="13">
                  <c:v>127.24900510910545</c:v>
                </c:pt>
              </c:numCache>
            </c:numRef>
          </c:val>
          <c:smooth val="0"/>
        </c:ser>
        <c:ser>
          <c:idx val="2"/>
          <c:order val="2"/>
          <c:tx>
            <c:v>BB_Down</c:v>
          </c:tx>
          <c:spPr>
            <a:ln w="28575" cap="rnd">
              <a:solidFill>
                <a:srgbClr val="008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Dashboard_backend!$AB$5:$AB$18</c:f>
              <c:strCache>
                <c:ptCount val="14"/>
                <c:pt idx="0">
                  <c:v>08/28</c:v>
                </c:pt>
                <c:pt idx="1">
                  <c:v>08/31</c:v>
                </c:pt>
                <c:pt idx="2">
                  <c:v>09/01</c:v>
                </c:pt>
                <c:pt idx="3">
                  <c:v>09/02</c:v>
                </c:pt>
                <c:pt idx="4">
                  <c:v>09/03</c:v>
                </c:pt>
                <c:pt idx="5">
                  <c:v>09/04</c:v>
                </c:pt>
                <c:pt idx="6">
                  <c:v>09/08</c:v>
                </c:pt>
                <c:pt idx="7">
                  <c:v>09/09</c:v>
                </c:pt>
                <c:pt idx="8">
                  <c:v>09/10</c:v>
                </c:pt>
                <c:pt idx="9">
                  <c:v>09/11</c:v>
                </c:pt>
                <c:pt idx="10">
                  <c:v>09/14</c:v>
                </c:pt>
                <c:pt idx="11">
                  <c:v>09/15</c:v>
                </c:pt>
                <c:pt idx="12">
                  <c:v>09/16</c:v>
                </c:pt>
                <c:pt idx="13">
                  <c:v>09/17</c:v>
                </c:pt>
              </c:strCache>
            </c:strRef>
          </c:cat>
          <c:val>
            <c:numRef>
              <c:f>Dashboard_backend!$AA$5:$AA$18</c:f>
              <c:numCache>
                <c:formatCode>_("$"* #,##0.00_);_("$"* \(#,##0.00\);_("$"* "-"??_);_(@_)</c:formatCode>
                <c:ptCount val="14"/>
                <c:pt idx="0">
                  <c:v>122.63887835907524</c:v>
                </c:pt>
                <c:pt idx="1">
                  <c:v>122.56159919762493</c:v>
                </c:pt>
                <c:pt idx="2">
                  <c:v>122.65227843381076</c:v>
                </c:pt>
                <c:pt idx="3">
                  <c:v>121.9137335713642</c:v>
                </c:pt>
                <c:pt idx="4">
                  <c:v>121.88643622144627</c:v>
                </c:pt>
                <c:pt idx="5">
                  <c:v>121.47980052729139</c:v>
                </c:pt>
                <c:pt idx="6">
                  <c:v>120.7878293498878</c:v>
                </c:pt>
                <c:pt idx="7">
                  <c:v>120.5335695925716</c:v>
                </c:pt>
                <c:pt idx="8">
                  <c:v>119.90748063962809</c:v>
                </c:pt>
                <c:pt idx="9">
                  <c:v>119.59944477504929</c:v>
                </c:pt>
                <c:pt idx="10">
                  <c:v>119.43810559042281</c:v>
                </c:pt>
                <c:pt idx="11">
                  <c:v>119.31654082263645</c:v>
                </c:pt>
                <c:pt idx="12">
                  <c:v>119.31644214063358</c:v>
                </c:pt>
                <c:pt idx="13">
                  <c:v>119.30385031946595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611336"/>
        <c:axId val="338613296"/>
      </c:lineChart>
      <c:catAx>
        <c:axId val="338611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613296"/>
        <c:crosses val="autoZero"/>
        <c:auto val="1"/>
        <c:lblAlgn val="ctr"/>
        <c:lblOffset val="100"/>
        <c:noMultiLvlLbl val="0"/>
      </c:catAx>
      <c:valAx>
        <c:axId val="338613296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611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Cash Holding</c:v>
          </c:tx>
          <c:spPr>
            <a:solidFill>
              <a:schemeClr val="accent6">
                <a:lumMod val="40000"/>
                <a:lumOff val="60000"/>
              </a:schemeClr>
            </a:solidFill>
            <a:ln w="19050">
              <a:solidFill>
                <a:srgbClr val="00B050"/>
              </a:solidFill>
            </a:ln>
            <a:effectLst/>
          </c:spPr>
          <c:invertIfNegative val="0"/>
          <c:cat>
            <c:strRef>
              <c:f>Dashboard_backend!$AK$5:$AK$11</c:f>
              <c:strCache>
                <c:ptCount val="7"/>
                <c:pt idx="0">
                  <c:v>09/09</c:v>
                </c:pt>
                <c:pt idx="1">
                  <c:v>09/10</c:v>
                </c:pt>
                <c:pt idx="2">
                  <c:v>09/11</c:v>
                </c:pt>
                <c:pt idx="3">
                  <c:v>09/14</c:v>
                </c:pt>
                <c:pt idx="4">
                  <c:v>09/15</c:v>
                </c:pt>
                <c:pt idx="5">
                  <c:v>09/16</c:v>
                </c:pt>
                <c:pt idx="6">
                  <c:v>09/17</c:v>
                </c:pt>
              </c:strCache>
            </c:strRef>
          </c:cat>
          <c:val>
            <c:numRef>
              <c:f>Dashboard_backend!$AJ$5:$AJ$11</c:f>
              <c:numCache>
                <c:formatCode>_("$"* #,##0_);_("$"* \(#,##0\);_("$"* "-"??_);_(@_)</c:formatCode>
                <c:ptCount val="7"/>
                <c:pt idx="0">
                  <c:v>100000</c:v>
                </c:pt>
                <c:pt idx="1">
                  <c:v>63721.5</c:v>
                </c:pt>
                <c:pt idx="2">
                  <c:v>65134</c:v>
                </c:pt>
                <c:pt idx="3">
                  <c:v>62700.2</c:v>
                </c:pt>
                <c:pt idx="4">
                  <c:v>62700.2</c:v>
                </c:pt>
                <c:pt idx="5">
                  <c:v>61575.199999999997</c:v>
                </c:pt>
                <c:pt idx="6">
                  <c:v>57949.2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159168"/>
        <c:axId val="269156424"/>
      </c:barChart>
      <c:lineChart>
        <c:grouping val="standard"/>
        <c:varyColors val="0"/>
        <c:ser>
          <c:idx val="1"/>
          <c:order val="1"/>
          <c:tx>
            <c:v>Total Asset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Dashboard_backend!$AK$5:$AK$7</c:f>
              <c:strCache>
                <c:ptCount val="3"/>
                <c:pt idx="0">
                  <c:v>09/09</c:v>
                </c:pt>
                <c:pt idx="1">
                  <c:v>09/10</c:v>
                </c:pt>
                <c:pt idx="2">
                  <c:v>09/11</c:v>
                </c:pt>
              </c:strCache>
            </c:strRef>
          </c:cat>
          <c:val>
            <c:numRef>
              <c:f>Dashboard_backend!$AI$5:$AI$11</c:f>
              <c:numCache>
                <c:formatCode>_("$"* #,##0_);_("$"* \(#,##0\);_("$"* "-"??_);_(@_)</c:formatCode>
                <c:ptCount val="7"/>
                <c:pt idx="0">
                  <c:v>100000</c:v>
                </c:pt>
                <c:pt idx="1">
                  <c:v>98595.0003</c:v>
                </c:pt>
                <c:pt idx="2">
                  <c:v>98794.499349999998</c:v>
                </c:pt>
                <c:pt idx="3">
                  <c:v>100686.20004999998</c:v>
                </c:pt>
                <c:pt idx="4">
                  <c:v>100190.69995000001</c:v>
                </c:pt>
                <c:pt idx="5">
                  <c:v>99755.299849999996</c:v>
                </c:pt>
                <c:pt idx="6">
                  <c:v>99446.298949999997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159168"/>
        <c:axId val="269156424"/>
      </c:lineChart>
      <c:catAx>
        <c:axId val="26915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156424"/>
        <c:crosses val="autoZero"/>
        <c:auto val="1"/>
        <c:lblAlgn val="ctr"/>
        <c:lblOffset val="100"/>
        <c:noMultiLvlLbl val="0"/>
      </c:catAx>
      <c:valAx>
        <c:axId val="269156424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ysClr val="windowText" lastClr="000000"/>
                  </a:solidFill>
                </a:ln>
                <a:solidFill>
                  <a:schemeClr val="tx1"/>
                </a:solidFill>
                <a:latin typeface="Lucida Bright" panose="02040602050505020304" pitchFamily="18" charset="0"/>
                <a:ea typeface="+mn-ea"/>
                <a:cs typeface="+mn-cs"/>
              </a:defRPr>
            </a:pPr>
            <a:endParaRPr lang="en-US"/>
          </a:p>
        </c:txPr>
        <c:crossAx val="2691591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ln>
                  <a:solidFill>
                    <a:srgbClr val="002060"/>
                  </a:solidFill>
                </a:ln>
                <a:solidFill>
                  <a:srgbClr val="FFFF00"/>
                </a:solidFill>
                <a:latin typeface="Lucida Bright" panose="02040602050505020304" pitchFamily="18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I$18" max="11" min="1" page="1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68</xdr:row>
      <xdr:rowOff>28575</xdr:rowOff>
    </xdr:from>
    <xdr:to>
      <xdr:col>8</xdr:col>
      <xdr:colOff>599080</xdr:colOff>
      <xdr:row>92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6" y="13354050"/>
          <a:ext cx="5466354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9525</xdr:rowOff>
    </xdr:from>
    <xdr:to>
      <xdr:col>9</xdr:col>
      <xdr:colOff>323850</xdr:colOff>
      <xdr:row>96</xdr:row>
      <xdr:rowOff>28575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581025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106</xdr:row>
      <xdr:rowOff>161925</xdr:rowOff>
    </xdr:from>
    <xdr:to>
      <xdr:col>10</xdr:col>
      <xdr:colOff>342900</xdr:colOff>
      <xdr:row>123</xdr:row>
      <xdr:rowOff>136783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0802600"/>
          <a:ext cx="6391275" cy="32133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104775</xdr:colOff>
      <xdr:row>4</xdr:row>
      <xdr:rowOff>142875</xdr:rowOff>
    </xdr:from>
    <xdr:to>
      <xdr:col>20</xdr:col>
      <xdr:colOff>133350</xdr:colOff>
      <xdr:row>14</xdr:row>
      <xdr:rowOff>31983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9175" y="981075"/>
          <a:ext cx="3686175" cy="18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114301</xdr:colOff>
      <xdr:row>14</xdr:row>
      <xdr:rowOff>171451</xdr:rowOff>
    </xdr:from>
    <xdr:to>
      <xdr:col>21</xdr:col>
      <xdr:colOff>125374</xdr:colOff>
      <xdr:row>23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48701" y="2924176"/>
          <a:ext cx="4278273" cy="1657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123825</xdr:colOff>
      <xdr:row>24</xdr:row>
      <xdr:rowOff>19050</xdr:rowOff>
    </xdr:from>
    <xdr:to>
      <xdr:col>20</xdr:col>
      <xdr:colOff>152400</xdr:colOff>
      <xdr:row>33</xdr:row>
      <xdr:rowOff>131624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4686300"/>
          <a:ext cx="3686175" cy="1846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95250</xdr:colOff>
      <xdr:row>34</xdr:row>
      <xdr:rowOff>76201</xdr:rowOff>
    </xdr:from>
    <xdr:to>
      <xdr:col>20</xdr:col>
      <xdr:colOff>552450</xdr:colOff>
      <xdr:row>48</xdr:row>
      <xdr:rowOff>129773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9650" y="6667501"/>
          <a:ext cx="4114800" cy="2720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18</xdr:row>
          <xdr:rowOff>158751</xdr:rowOff>
        </xdr:from>
        <xdr:to>
          <xdr:col>8</xdr:col>
          <xdr:colOff>116417</xdr:colOff>
          <xdr:row>29</xdr:row>
          <xdr:rowOff>179918</xdr:rowOff>
        </xdr:to>
        <xdr:sp macro="" textlink="">
          <xdr:nvSpPr>
            <xdr:cNvPr id="4099" name="Scroll Bar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9</xdr:col>
      <xdr:colOff>10584</xdr:colOff>
      <xdr:row>17</xdr:row>
      <xdr:rowOff>147108</xdr:rowOff>
    </xdr:from>
    <xdr:to>
      <xdr:col>15</xdr:col>
      <xdr:colOff>127000</xdr:colOff>
      <xdr:row>28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592666</xdr:colOff>
      <xdr:row>17</xdr:row>
      <xdr:rowOff>125942</xdr:rowOff>
    </xdr:from>
    <xdr:to>
      <xdr:col>22</xdr:col>
      <xdr:colOff>105834</xdr:colOff>
      <xdr:row>28</xdr:row>
      <xdr:rowOff>116415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31</xdr:row>
      <xdr:rowOff>147106</xdr:rowOff>
    </xdr:from>
    <xdr:to>
      <xdr:col>15</xdr:col>
      <xdr:colOff>105834</xdr:colOff>
      <xdr:row>43</xdr:row>
      <xdr:rowOff>63499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31</xdr:row>
      <xdr:rowOff>104773</xdr:rowOff>
    </xdr:from>
    <xdr:to>
      <xdr:col>22</xdr:col>
      <xdr:colOff>137583</xdr:colOff>
      <xdr:row>43</xdr:row>
      <xdr:rowOff>52916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560914</xdr:colOff>
      <xdr:row>4</xdr:row>
      <xdr:rowOff>21167</xdr:rowOff>
    </xdr:from>
    <xdr:to>
      <xdr:col>20</xdr:col>
      <xdr:colOff>306917</xdr:colOff>
      <xdr:row>13</xdr:row>
      <xdr:rowOff>128058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bl_transaction" displayName="tbl_transaction" ref="A4:S45" totalsRowCount="1">
  <autoFilter ref="A4:S44"/>
  <tableColumns count="19">
    <tableColumn id="1" name="Symbol" totalsRowLabel="Total"/>
    <tableColumn id="2" name="Order Date"/>
    <tableColumn id="3" name="Transaction Date"/>
    <tableColumn id="4" name="Transactions"/>
    <tableColumn id="5" name="Cancel Reason"/>
    <tableColumn id="6" name="Amount" dataDxfId="218"/>
    <tableColumn id="7" name="Execution_Price" dataDxfId="217"/>
    <tableColumn id="8" name="Month_order" dataDxfId="216">
      <calculatedColumnFormula>VALUE(LEFT(tbl_transaction[[#This Row],[Order Date]],FIND("/",tbl_transaction[[#This Row],[Order Date]])-1))</calculatedColumnFormula>
    </tableColumn>
    <tableColumn id="9" name="Date_order" dataDxfId="215">
      <calculatedColumnFormula>MID(tbl_transaction[[#This Row],[Order Date]], FIND("/",tbl_transaction[[#This Row],[Order Date]])+1, FIND("/",tbl_transaction[[#This Row],[Order Date]], FIND("/",tbl_transaction[[#This Row],[Order Date]])+1)-FIND("/",tbl_transaction[[#This Row],[Order Date]])-1)</calculatedColumnFormula>
    </tableColumn>
    <tableColumn id="10" name="Year_order" dataDxfId="214">
      <calculatedColumnFormula>MID(tbl_transaction[[#This Row],[Order Date]], FIND("/",tbl_transaction[[#This Row],[Order Date]], FIND("/", tbl_transaction[[#This Row],[Order Date]])+1)+1, 2)</calculatedColumnFormula>
    </tableColumn>
    <tableColumn id="11" name="Month_Transact" dataDxfId="213">
      <calculatedColumnFormula>VALUE(LEFT(tbl_transaction[[#This Row],[Transaction Date]],FIND("/",tbl_transaction[[#This Row],[Transaction Date]])-1))</calculatedColumnFormula>
    </tableColumn>
    <tableColumn id="12" name="Date_Transact" dataDxfId="212">
      <calculatedColumnFormula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calculatedColumnFormula>
    </tableColumn>
    <tableColumn id="13" name="Year_Transact" dataDxfId="211">
      <calculatedColumnFormula>MID(tbl_transaction[[#This Row],[Transaction Date]], FIND("/",tbl_transaction[[#This Row],[Transaction Date]], FIND("/", tbl_transaction[[#This Row],[Transaction Date]])+1)+1, 2)</calculatedColumnFormula>
    </tableColumn>
    <tableColumn id="14" name="Order_Date" dataDxfId="210">
      <calculatedColumnFormula>DATE(tbl_transaction[[#This Row],[Year_order]]+2000, tbl_transaction[[#This Row],[Month_order]], tbl_transaction[[#This Row],[Date_order]])</calculatedColumnFormula>
    </tableColumn>
    <tableColumn id="15" name="Transaction_Date" dataDxfId="209">
      <calculatedColumnFormula>DATE(tbl_transaction[[#This Row],[Year_Transact]]+2000,tbl_transaction[[#This Row],[Month_Transact]],tbl_transaction[[#This Row],[Date_Transact]])</calculatedColumnFormula>
    </tableColumn>
    <tableColumn id="16" name="Net_Cash_Change" totalsRowFunction="sum" dataDxfId="208" totalsRowDxfId="207">
      <calculatedColumnFormula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calculatedColumnFormula>
    </tableColumn>
    <tableColumn id="17" name="Net_Stock_Change" dataDxfId="206">
      <calculatedColumnFormula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calculatedColumnFormula>
    </tableColumn>
    <tableColumn id="18" name="Net_Debt_Change" dataDxfId="205">
      <calculatedColumnFormula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calculatedColumnFormula>
    </tableColumn>
    <tableColumn id="19" name="Stock Holding Change" totalsRowFunction="sum" dataDxfId="204" totalsRowDxfId="203">
      <calculatedColumnFormula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calculatedColumnFormula>
    </tableColumn>
  </tableColumns>
  <tableStyleInfo name="TableStyleMedium6" showFirstColumn="0" showLastColumn="0" showRowStripes="0" showColumnStripes="1"/>
</table>
</file>

<file path=xl/tables/table10.xml><?xml version="1.0" encoding="utf-8"?>
<table xmlns="http://schemas.openxmlformats.org/spreadsheetml/2006/main" id="12" name="tbl_IBM" displayName="tbl_IBM" ref="A4:S33" totalsRowCount="1">
  <autoFilter ref="A4:S32"/>
  <tableColumns count="19">
    <tableColumn id="1" name="Date" totalsRowLabel="Total" dataDxfId="88"/>
    <tableColumn id="2" name="Open" dataDxfId="87"/>
    <tableColumn id="3" name="High" dataDxfId="86"/>
    <tableColumn id="4" name="Low" dataDxfId="85"/>
    <tableColumn id="5" name="Close" dataDxfId="84"/>
    <tableColumn id="6" name="Adj Close" dataDxfId="83"/>
    <tableColumn id="7" name="Volume"/>
    <tableColumn id="8" name="EMA" dataDxfId="82">
      <calculatedColumnFormula>IF(tbl_IBM[[#This Row],[Date]]=$A$5, $F5, EMA_Beta*$H4 + (1-EMA_Beta)*$F5)</calculatedColumnFormula>
    </tableColumn>
    <tableColumn id="9" name="RSI" dataDxfId="81">
      <calculatedColumnFormula>IF(tbl_IBM[[#This Row],[RS]]= "", "", 100-(100/(1+tbl_IBM[[#This Row],[RS]])))</calculatedColumnFormula>
    </tableColumn>
    <tableColumn id="10" name="BB_Mean" dataDxfId="80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name="BB_Upper" dataDxfId="79">
      <calculatedColumnFormula>IF(tbl_IBM[[#This Row],[BB_Mean]]="", "", tbl_IBM[[#This Row],[BB_Mean]]+(BB_Width*tbl_IBM[[#This Row],[BB_Stdev]]))</calculatedColumnFormula>
    </tableColumn>
    <tableColumn id="12" name="BB_Lower" dataDxfId="78">
      <calculatedColumnFormula>IF(tbl_IBM[[#This Row],[BB_Mean]]="", "", tbl_IBM[[#This Row],[BB_Mean]]-(BB_Width*tbl_IBM[[#This Row],[BB_Stdev]]))</calculatedColumnFormula>
    </tableColumn>
    <tableColumn id="13" name="Move" dataDxfId="77">
      <calculatedColumnFormula>IF(ROW(tbl_IBM[[#This Row],[Adj Close]])=5, 0, $F5-$F4)</calculatedColumnFormula>
    </tableColumn>
    <tableColumn id="14" name="Upmove" dataDxfId="76">
      <calculatedColumnFormula>MAX(tbl_IBM[[#This Row],[Move]],0)</calculatedColumnFormula>
    </tableColumn>
    <tableColumn id="15" name="Downmove" dataDxfId="75">
      <calculatedColumnFormula>MAX(-tbl_IBM[[#This Row],[Move]],0)</calculatedColumnFormula>
    </tableColumn>
    <tableColumn id="16" name="Avg_Upmove" dataDxfId="74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name="Avg_Downmove" dataDxfId="73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name="RS" dataDxfId="72">
      <calculatedColumnFormula>IF(tbl_IBM[[#This Row],[Avg_Upmove]]="", "", tbl_IBM[[#This Row],[Avg_Upmove]]/tbl_IBM[[#This Row],[Avg_Downmove]])</calculatedColumnFormula>
    </tableColumn>
    <tableColumn id="19" name="BB_Stdev" totalsRowFunction="count" dataDxfId="71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11.xml><?xml version="1.0" encoding="utf-8"?>
<table xmlns="http://schemas.openxmlformats.org/spreadsheetml/2006/main" id="13" name="tbl_ORCL" displayName="tbl_ORCL" ref="A4:S33" totalsRowCount="1">
  <autoFilter ref="A4:S32"/>
  <tableColumns count="19">
    <tableColumn id="1" name="Date" totalsRowLabel="Total" dataDxfId="70"/>
    <tableColumn id="2" name="Open" totalsRowDxfId="69" dataCellStyle="Currency"/>
    <tableColumn id="3" name="High" totalsRowDxfId="68" dataCellStyle="Currency"/>
    <tableColumn id="4" name="Low" totalsRowDxfId="67" dataCellStyle="Currency"/>
    <tableColumn id="5" name="Close" totalsRowDxfId="66" dataCellStyle="Currency"/>
    <tableColumn id="6" name="Adj Close" totalsRowDxfId="65" dataCellStyle="Currency"/>
    <tableColumn id="7" name="Volume"/>
    <tableColumn id="8" name="EMA" dataDxfId="64" totalsRowDxfId="63" dataCellStyle="Currency">
      <calculatedColumnFormula>IF(tbl_ORCL[[#This Row],[Date]]=$A$5, $F5, EMA_Beta*$H4 + (1-EMA_Beta)*$F5)</calculatedColumnFormula>
    </tableColumn>
    <tableColumn id="9" name="RSI" dataDxfId="62" totalsRowDxfId="61" dataCellStyle="Currency">
      <calculatedColumnFormula>IF(tbl_ORCL[[#This Row],[RS]]= "", "", 100-(100/(1+tbl_ORCL[[#This Row],[RS]])))</calculatedColumnFormula>
    </tableColumn>
    <tableColumn id="10" name="BB_Mean" dataDxfId="60" totalsRowDxfId="59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name="BB_Upper" dataDxfId="58" totalsRowDxfId="57" dataCellStyle="Currency">
      <calculatedColumnFormula>IF(tbl_ORCL[[#This Row],[BB_Mean]]="", "", tbl_ORCL[[#This Row],[BB_Mean]]+(BB_Width*tbl_ORCL[[#This Row],[BB_Stdev]]))</calculatedColumnFormula>
    </tableColumn>
    <tableColumn id="12" name="BB_Lower" dataDxfId="56" totalsRowDxfId="55" dataCellStyle="Currency">
      <calculatedColumnFormula>IF(tbl_ORCL[[#This Row],[BB_Mean]]="", "", tbl_ORCL[[#This Row],[BB_Mean]]-(BB_Width*tbl_ORCL[[#This Row],[BB_Stdev]]))</calculatedColumnFormula>
    </tableColumn>
    <tableColumn id="13" name="Move" dataDxfId="54" totalsRowDxfId="53" dataCellStyle="Currency">
      <calculatedColumnFormula>IF(ROW(tbl_ORCL[[#This Row],[Adj Close]])=5, 0, $F5-$F4)</calculatedColumnFormula>
    </tableColumn>
    <tableColumn id="14" name="Upmove" dataDxfId="52" totalsRowDxfId="51" dataCellStyle="Currency">
      <calculatedColumnFormula>MAX(tbl_ORCL[[#This Row],[Move]],0)</calculatedColumnFormula>
    </tableColumn>
    <tableColumn id="15" name="Downmove" dataDxfId="50" totalsRowDxfId="49" dataCellStyle="Currency">
      <calculatedColumnFormula>MAX(-tbl_ORCL[[#This Row],[Move]],0)</calculatedColumnFormula>
    </tableColumn>
    <tableColumn id="16" name="Avg_Upmove" dataDxfId="48" totalsRowDxfId="47" dataCellStyle="Currency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name="Avg_Downmove" dataDxfId="46" totalsRowDxfId="45" dataCellStyle="Currency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name="RS" dataDxfId="44" totalsRowDxfId="43" dataCellStyle="Currency">
      <calculatedColumnFormula>IF(tbl_ORCL[[#This Row],[Avg_Upmove]]="", "", tbl_ORCL[[#This Row],[Avg_Upmove]]/tbl_ORCL[[#This Row],[Avg_Downmove]])</calculatedColumnFormula>
    </tableColumn>
    <tableColumn id="19" name="BB_Stdev" totalsRowFunction="count" dataDxfId="42" totalsRowDxfId="41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12.xml><?xml version="1.0" encoding="utf-8"?>
<table xmlns="http://schemas.openxmlformats.org/spreadsheetml/2006/main" id="14" name="tbl_AKRO" displayName="tbl_AKRO" ref="A4:S32" totalsRowShown="0">
  <autoFilter ref="A4:S32"/>
  <tableColumns count="19">
    <tableColumn id="1" name="Date" dataDxfId="40"/>
    <tableColumn id="2" name="Open" dataCellStyle="Currency"/>
    <tableColumn id="3" name="High" dataCellStyle="Currency"/>
    <tableColumn id="4" name="Low" dataCellStyle="Currency"/>
    <tableColumn id="5" name="Close" dataCellStyle="Currency"/>
    <tableColumn id="6" name="Adj Close" dataCellStyle="Currency"/>
    <tableColumn id="7" name="Volume"/>
    <tableColumn id="8" name="EMA" dataCellStyle="Currency">
      <calculatedColumnFormula>IF(tbl_AKRO[[#This Row],[Date]]=$A$5, $F5, EMA_Beta*$H4 + (1-EMA_Beta)*$F5)</calculatedColumnFormula>
    </tableColumn>
    <tableColumn id="9" name="RSI" dataDxfId="39">
      <calculatedColumnFormula>IF(tbl_AKRO[[#This Row],[RS]]= "", "", 100-(100/(1+tbl_AKRO[[#This Row],[RS]])))</calculatedColumnFormula>
    </tableColumn>
    <tableColumn id="10" name="BB_Mean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name="BB_Upper" dataDxfId="38" dataCellStyle="Currency">
      <calculatedColumnFormula>IF(tbl_AKRO[[#This Row],[BB_Mean]]="", "", tbl_AKRO[[#This Row],[BB_Mean]]+(BB_Width*tbl_AKRO[[#This Row],[BB_Stdev]]))</calculatedColumnFormula>
    </tableColumn>
    <tableColumn id="12" name="BB_Lower" dataDxfId="37" dataCellStyle="Currency">
      <calculatedColumnFormula>IF(tbl_AKRO[[#This Row],[BB_Mean]]="", "", tbl_AKRO[[#This Row],[BB_Mean]]-(BB_Width*tbl_AKRO[[#This Row],[BB_Stdev]]))</calculatedColumnFormula>
    </tableColumn>
    <tableColumn id="13" name="Move" dataDxfId="36">
      <calculatedColumnFormula>IF(ROW(tbl_AKRO[[#This Row],[Adj Close]])=5, 0, $F5-$F4)</calculatedColumnFormula>
    </tableColumn>
    <tableColumn id="14" name="Upmove" dataDxfId="35">
      <calculatedColumnFormula>MAX(tbl_AKRO[[#This Row],[Move]],0)</calculatedColumnFormula>
    </tableColumn>
    <tableColumn id="15" name="Downmove" dataDxfId="34">
      <calculatedColumnFormula>MAX(-tbl_AKRO[[#This Row],[Move]],0)</calculatedColumnFormula>
    </tableColumn>
    <tableColumn id="16" name="Avg_Upmove" dataDxfId="33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name="Avg_Downmove" dataDxfId="32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name="RS" dataDxfId="31">
      <calculatedColumnFormula>IF(tbl_AKRO[[#This Row],[Avg_Upmove]]="", "", tbl_AKRO[[#This Row],[Avg_Upmove]]/tbl_AKRO[[#This Row],[Avg_Downmove]])</calculatedColumnFormula>
    </tableColumn>
    <tableColumn id="19" name="BB_Stdev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13.xml><?xml version="1.0" encoding="utf-8"?>
<table xmlns="http://schemas.openxmlformats.org/spreadsheetml/2006/main" id="16" name="tbl_FDX" displayName="tbl_FDX" ref="A4:S32" totalsRowShown="0">
  <autoFilter ref="A4:S32"/>
  <tableColumns count="19">
    <tableColumn id="1" name="Date" dataDxfId="30"/>
    <tableColumn id="2" name="Open" dataCellStyle="Currency"/>
    <tableColumn id="3" name="High" dataCellStyle="Currency"/>
    <tableColumn id="4" name="Low" dataCellStyle="Currency"/>
    <tableColumn id="5" name="Close" dataCellStyle="Currency"/>
    <tableColumn id="6" name="Adj Close" dataCellStyle="Currency"/>
    <tableColumn id="7" name="Volume"/>
    <tableColumn id="8" name="EMA" dataCellStyle="Currency">
      <calculatedColumnFormula>IF(tbl_FDX[[#This Row],[Date]]=$A$5, $F5, EMA_Beta*$H4 + (1-EMA_Beta)*$F5)</calculatedColumnFormula>
    </tableColumn>
    <tableColumn id="9" name="RSI" dataDxfId="29">
      <calculatedColumnFormula>IF(tbl_FDX[[#This Row],[RS]]= "", "", 100-(100/(1+tbl_FDX[[#This Row],[RS]])))</calculatedColumnFormula>
    </tableColumn>
    <tableColumn id="10" name="BB_Mean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name="BB_Upper" dataCellStyle="Currency">
      <calculatedColumnFormula>IF(tbl_FDX[[#This Row],[BB_Mean]]="", "", tbl_FDX[[#This Row],[BB_Mean]]+(BB_Width*tbl_FDX[[#This Row],[BB_Stdev]]))</calculatedColumnFormula>
    </tableColumn>
    <tableColumn id="12" name="BB_Lower" dataDxfId="28" dataCellStyle="Currency">
      <calculatedColumnFormula>IF(tbl_FDX[[#This Row],[BB_Mean]]="", "", tbl_FDX[[#This Row],[BB_Mean]]-(BB_Width*tbl_FDX[[#This Row],[BB_Stdev]]))</calculatedColumnFormula>
    </tableColumn>
    <tableColumn id="13" name="Move" dataDxfId="27">
      <calculatedColumnFormula>IF(ROW(tbl_FDX[[#This Row],[Adj Close]])=5, 0, $F5-$F4)</calculatedColumnFormula>
    </tableColumn>
    <tableColumn id="14" name="Upmove" dataDxfId="26">
      <calculatedColumnFormula>MAX(tbl_FDX[[#This Row],[Move]],0)</calculatedColumnFormula>
    </tableColumn>
    <tableColumn id="15" name="Downmove" dataDxfId="25">
      <calculatedColumnFormula>MAX(-tbl_FDX[[#This Row],[Move]],0)</calculatedColumnFormula>
    </tableColumn>
    <tableColumn id="16" name="Avg_Upmove" dataDxfId="24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name="Avg_Downmove" dataDxfId="23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name="RS" dataDxfId="22">
      <calculatedColumnFormula>IF(tbl_FDX[[#This Row],[Avg_Upmove]]="", "", tbl_FDX[[#This Row],[Avg_Upmove]]/tbl_FDX[[#This Row],[Avg_Downmove]])</calculatedColumnFormula>
    </tableColumn>
    <tableColumn id="19" name="BB_Stdev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14.xml><?xml version="1.0" encoding="utf-8"?>
<table xmlns="http://schemas.openxmlformats.org/spreadsheetml/2006/main" id="17" name="tbl_NKLA" displayName="tbl_NKLA" ref="A4:S32" totalsRowShown="0">
  <autoFilter ref="A4:S32"/>
  <tableColumns count="19">
    <tableColumn id="1" name="Date"/>
    <tableColumn id="2" name="Open"/>
    <tableColumn id="3" name="High"/>
    <tableColumn id="4" name="Low"/>
    <tableColumn id="5" name="Close"/>
    <tableColumn id="6" name="Adj Close"/>
    <tableColumn id="7" name="Volume"/>
    <tableColumn id="8" name="EMA" dataCellStyle="Currency">
      <calculatedColumnFormula>IF(tbl_NKLA[[#This Row],[Date]]=$A$5, $F5, EMA_Beta*$H4 + (1-EMA_Beta)*$F5)</calculatedColumnFormula>
    </tableColumn>
    <tableColumn id="9" name="RSI" dataDxfId="21">
      <calculatedColumnFormula>IF(tbl_NKLA[[#This Row],[RS]]= "", "", 100-(100/(1+tbl_NKLA[[#This Row],[RS]])))</calculatedColumnFormula>
    </tableColumn>
    <tableColumn id="10" name="BB_Mean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name="BB_Upper" dataCellStyle="Currency">
      <calculatedColumnFormula>IF(tbl_NKLA[[#This Row],[BB_Mean]]="", "", tbl_NKLA[[#This Row],[BB_Mean]]+(BB_Width*tbl_NKLA[[#This Row],[BB_Stdev]]))</calculatedColumnFormula>
    </tableColumn>
    <tableColumn id="12" name="BB_Lower" dataCellStyle="Currency">
      <calculatedColumnFormula>IF(tbl_NKLA[[#This Row],[BB_Mean]]="", "", tbl_NKLA[[#This Row],[BB_Mean]]-(BB_Width*tbl_NKLA[[#This Row],[BB_Stdev]]))</calculatedColumnFormula>
    </tableColumn>
    <tableColumn id="13" name="Move" dataDxfId="20">
      <calculatedColumnFormula>IF(ROW(tbl_NKLA[[#This Row],[Adj Close]])=5, 0, $F5-$F4)</calculatedColumnFormula>
    </tableColumn>
    <tableColumn id="14" name="Upmove" dataDxfId="19">
      <calculatedColumnFormula>MAX(tbl_NKLA[[#This Row],[Move]],0)</calculatedColumnFormula>
    </tableColumn>
    <tableColumn id="15" name="Downmove" dataDxfId="18">
      <calculatedColumnFormula>MAX(-tbl_NKLA[[#This Row],[Move]],0)</calculatedColumnFormula>
    </tableColumn>
    <tableColumn id="16" name="Avg_Upmove" dataDxfId="17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name="Avg_Downmove" dataDxfId="16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name="RS" dataDxfId="15">
      <calculatedColumnFormula>IF(tbl_NKLA[[#This Row],[Avg_Upmove]]="", "", tbl_NKLA[[#This Row],[Avg_Upmove]]/tbl_NKLA[[#This Row],[Avg_Downmove]])</calculatedColumnFormula>
    </tableColumn>
    <tableColumn id="19" name="BB_Stdev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tbl_SPXS" displayName="tbl_SPXS" ref="A4:S32" totalsRowShown="0">
  <autoFilter ref="A4:S32"/>
  <tableColumns count="19">
    <tableColumn id="1" name="Date" dataDxfId="14"/>
    <tableColumn id="2" name="Open" dataCellStyle="Currency"/>
    <tableColumn id="3" name="High" dataCellStyle="Currency"/>
    <tableColumn id="4" name="Low" dataCellStyle="Currency"/>
    <tableColumn id="5" name="Close" dataCellStyle="Currency"/>
    <tableColumn id="6" name="Adj Close" dataCellStyle="Currency"/>
    <tableColumn id="7" name="Volume"/>
    <tableColumn id="8" name="EMA" dataCellStyle="Currency">
      <calculatedColumnFormula>IF(tbl_SPXS[[#This Row],[Date]]=$A$5, $F5, EMA_Beta*$H4 + (1-EMA_Beta)*$F5)</calculatedColumnFormula>
    </tableColumn>
    <tableColumn id="9" name="RSI" dataDxfId="13">
      <calculatedColumnFormula>IF(tbl_SPXS[[#This Row],[RS]]= "", "", 100-(100/(1+tbl_SPXS[[#This Row],[RS]])))</calculatedColumnFormula>
    </tableColumn>
    <tableColumn id="10" name="BB_Mean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name="BB_Upper" dataCellStyle="Currency">
      <calculatedColumnFormula>IF(tbl_SPXS[[#This Row],[BB_Mean]]="", "", tbl_SPXS[[#This Row],[BB_Mean]]+(BB_Width*tbl_SPXS[[#This Row],[BB_Stdev]]))</calculatedColumnFormula>
    </tableColumn>
    <tableColumn id="12" name="BB_Lower" dataCellStyle="Currency">
      <calculatedColumnFormula>IF(tbl_SPXS[[#This Row],[BB_Mean]]="", "", tbl_SPXS[[#This Row],[BB_Mean]]-(BB_Width*tbl_SPXS[[#This Row],[BB_Stdev]]))</calculatedColumnFormula>
    </tableColumn>
    <tableColumn id="13" name="Move" dataDxfId="12">
      <calculatedColumnFormula>IF(ROW(tbl_SPXS[[#This Row],[Adj Close]])=5, 0, $F5-$F4)</calculatedColumnFormula>
    </tableColumn>
    <tableColumn id="14" name="Upmove" dataDxfId="11">
      <calculatedColumnFormula>MAX(tbl_SPXS[[#This Row],[Move]],0)</calculatedColumnFormula>
    </tableColumn>
    <tableColumn id="15" name="Downmove" dataDxfId="10">
      <calculatedColumnFormula>MAX(-tbl_SPXS[[#This Row],[Move]],0)</calculatedColumnFormula>
    </tableColumn>
    <tableColumn id="16" name="Avg_Upmove" dataDxfId="9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name="Avg_Downmove" dataDxfId="8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name="RS" dataDxfId="7">
      <calculatedColumnFormula>IF(tbl_SPXS[[#This Row],[Avg_Upmove]]="", "", tbl_SPXS[[#This Row],[Avg_Upmove]]/tbl_SPXS[[#This Row],[Avg_Downmove]])</calculatedColumnFormula>
    </tableColumn>
    <tableColumn id="19" name="BB_Stdev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1" name="tbl_holdings" displayName="tbl_holdings" ref="B4:F15" totalsRowCount="1">
  <autoFilter ref="B4:F14"/>
  <tableColumns count="5">
    <tableColumn id="1" name="Index" totalsRowLabel="Total"/>
    <tableColumn id="2" name="Stock">
      <calculatedColumnFormula>INDEX(Symbol,B5)</calculatedColumnFormula>
    </tableColumn>
    <tableColumn id="3" name="Current Price">
      <calculatedColumnFormula>INDEX(INDIRECT("tbl_"&amp;C5),COUNT(INDIRECT("tbl_"&amp;C5&amp;"[Date]")), MATCH("Adj close", Price_Header,0))</calculatedColumnFormula>
    </tableColumn>
    <tableColumn id="4" name="# Holdings">
      <calculatedColumnFormula>INDEX(tbl_position[], COUNT(tbl_position[Date]), MATCH("Shares_"&amp;C5, pos_header,0))</calculatedColumnFormula>
    </tableColumn>
    <tableColumn id="5" name="Total" totalsRowFunction="sum" dataDxfId="6">
      <calculatedColumnFormula>tbl_holdings[[#This Row],[Current Price]]*tbl_holdings[[#This Row],['# Holdings]]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5" name="tbl_transsummary" displayName="tbl_transsummary" ref="J4:P10" totalsRowShown="0">
  <autoFilter ref="J4:P10"/>
  <tableColumns count="7">
    <tableColumn id="1" name="Index"/>
    <tableColumn id="2" name="Start" dataDxfId="5">
      <calculatedColumnFormula>K4+7</calculatedColumnFormula>
    </tableColumn>
    <tableColumn id="3" name="End" dataDxfId="4">
      <calculatedColumnFormula>L4+7</calculatedColumnFormula>
    </tableColumn>
    <tableColumn id="4" name="BUY" dataDxfId="3">
      <calculatedColumnFormula>ABS(SUMIFS(tbl_transaction[Net_Cash_Change], tbl_transaction[Transactions], M$4, tbl_transaction[Transaction_Date], "&gt;="&amp;tbl_transsummary[[#This Row],[Start]], tbl_transaction[Transaction_Date], "&lt;=" &amp;tbl_transsummary[[#This Row],[End]]))</calculatedColumnFormula>
    </tableColumn>
    <tableColumn id="5" name="SELL" dataDxfId="2">
      <calculatedColumnFormula>ABS(SUMIFS(tbl_transaction[Net_Cash_Change], tbl_transaction[Transactions], N$4, tbl_transaction[Transaction_Date], "&gt;="&amp;tbl_transsummary[[#This Row],[Start]], tbl_transaction[Transaction_Date], "&lt;=" &amp;tbl_transsummary[[#This Row],[End]]))</calculatedColumnFormula>
    </tableColumn>
    <tableColumn id="6" name="SHORT" dataDxfId="1">
      <calculatedColumnFormula>ABS(SUMIFS(tbl_transaction[Net_Stock_Change], tbl_transaction[Transactions], O$4, tbl_transaction[Transaction_Date], "&gt;="&amp;tbl_transsummary[[#This Row],[Start]], tbl_transaction[Transaction_Date], "&lt;=" &amp;tbl_transsummary[[#This Row],[End]]))</calculatedColumnFormula>
    </tableColumn>
    <tableColumn id="7" name="COVER" dataDxfId="0">
      <calculatedColumnFormula>ABS(SUMIFS(tbl_transaction[Net_Stock_Change], tbl_transaction[Transactions], P$4, tbl_transaction[Transaction_Date], "&gt;="&amp;tbl_transsummary[[#This Row],[Start]], tbl_transaction[Transaction_Date], "&lt;=" &amp;tbl_transsummary[[#This Row],[End]]))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bl_symbol" displayName="tbl_symbol" ref="A3:A13" totalsRowShown="0" headerRowDxfId="202">
  <autoFilter ref="A3:A13"/>
  <tableColumns count="1">
    <tableColumn id="1" name="Symbol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2" name="tbl_transtype" displayName="tbl_transtype" ref="C3:C7" totalsRowShown="0" headerRowDxfId="201">
  <autoFilter ref="C3:C7"/>
  <tableColumns count="1">
    <tableColumn id="1" name="Transactions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id="7" name="tbl_Metrics" displayName="tbl_Metrics" ref="E3:E6" totalsRowShown="0" headerRowDxfId="200">
  <autoFilter ref="E3:E6"/>
  <tableColumns count="1">
    <tableColumn id="1" name="Metrics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id="4" name="tbl_position" displayName="tbl_position" ref="A4:Y11" totalsRowCount="1">
  <autoFilter ref="A4:Y10"/>
  <tableColumns count="25">
    <tableColumn id="1" name="Date" totalsRowLabel="Total" dataDxfId="199"/>
    <tableColumn id="2" name="Price_AAPL" dataCellStyle="Currency">
      <calculatedColumnFormula>VLOOKUP(tbl_position[[#This Row],[Date]], tbl_AAPL[], 5, 0)</calculatedColumnFormula>
    </tableColumn>
    <tableColumn id="3" name="Price_RIOT" dataDxfId="198" dataCellStyle="Currency">
      <calculatedColumnFormula>VLOOKUP(tbl_position[[#This Row],[Date]], tbl_RIOT[], 5, 0)</calculatedColumnFormula>
    </tableColumn>
    <tableColumn id="4" name="Price_HD" totalsRowDxfId="197" dataCellStyle="Currency">
      <calculatedColumnFormula>VLOOKUP(tbl_position[[#This Row],[Date]], tbl_HD[], 5, 0)</calculatedColumnFormula>
    </tableColumn>
    <tableColumn id="5" name="Price_WMT" dataDxfId="196" dataCellStyle="Currency">
      <calculatedColumnFormula>VLOOKUP(tbl_position[[#This Row],[Date]], tbl_WMT[], 5, 0)</calculatedColumnFormula>
    </tableColumn>
    <tableColumn id="6" name="Price_IBM" dataDxfId="195" dataCellStyle="Currency">
      <calculatedColumnFormula>VLOOKUP(tbl_position[[#This Row],[Date]], tbl_IBM[], 5, 0)</calculatedColumnFormula>
    </tableColumn>
    <tableColumn id="7" name="Price_ORCL" dataDxfId="194" dataCellStyle="Currency">
      <calculatedColumnFormula>VLOOKUP(tbl_position[[#This Row],[Date]], tbl_ORCL[], 5, 0)</calculatedColumnFormula>
    </tableColumn>
    <tableColumn id="20" name="Price_AKRO" dataDxfId="193" dataCellStyle="Currency">
      <calculatedColumnFormula>VLOOKUP(tbl_position[[#This Row],[Date]], tbl_AKRO[], 5, 0)</calculatedColumnFormula>
    </tableColumn>
    <tableColumn id="19" name="Price_FDX" dataDxfId="192" dataCellStyle="Currency">
      <calculatedColumnFormula>VLOOKUP(tbl_position[[#This Row],[Date]], tbl_FDX[], 5, 0)</calculatedColumnFormula>
    </tableColumn>
    <tableColumn id="21" name="Price_NKLA" dataDxfId="191" dataCellStyle="Currency">
      <calculatedColumnFormula>VLOOKUP(tbl_position[[#This Row],[Date]], tbl_NKLA[], 5, 0)</calculatedColumnFormula>
    </tableColumn>
    <tableColumn id="22" name="Price_SPXS" dataDxfId="190" dataCellStyle="Currency">
      <calculatedColumnFormula>VLOOKUP(tbl_position[[#This Row],[Date]], tbl_SPXS[], 5, 0)</calculatedColumnFormula>
    </tableColumn>
    <tableColumn id="8" name="Shares_AAPL" dataDxfId="189">
      <calculatedColumnFormula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$L4)</calculatedColumnFormula>
    </tableColumn>
    <tableColumn id="9" name="Shares_RIOT" dataDxfId="188">
      <calculatedColumnFormula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$M4)</calculatedColumnFormula>
    </tableColumn>
    <tableColumn id="10" name="Shares_HD" dataDxfId="187">
      <calculatedColumnFormula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$N4)</calculatedColumnFormula>
    </tableColumn>
    <tableColumn id="11" name="Shares_WMT" dataDxfId="186">
      <calculatedColumnFormula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$O4)</calculatedColumnFormula>
    </tableColumn>
    <tableColumn id="12" name="Shares_IBM" dataDxfId="185">
      <calculatedColumnFormula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$P4)</calculatedColumnFormula>
    </tableColumn>
    <tableColumn id="13" name="Shares_ORCL" dataDxfId="184">
      <calculatedColumnFormula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$Q4)</calculatedColumnFormula>
    </tableColumn>
    <tableColumn id="26" name="Shares_AKRO" dataDxfId="183">
      <calculatedColumnFormula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$R4)</calculatedColumnFormula>
    </tableColumn>
    <tableColumn id="25" name="Shares_FDX" dataDxfId="182">
      <calculatedColumnFormula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$S4)</calculatedColumnFormula>
    </tableColumn>
    <tableColumn id="24" name="Shares_NKLA" dataDxfId="181">
      <calculatedColumnFormula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$T4)</calculatedColumnFormula>
    </tableColumn>
    <tableColumn id="23" name="Shares_SPXS" dataDxfId="180">
      <calculatedColumnFormula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$U4)</calculatedColumnFormula>
    </tableColumn>
    <tableColumn id="14" name="Shares_Holding" dataCellStyle="Currency">
      <calculatedColumnFormula xml:space="preserve"> SUMPRODUCT(INDIRECT(ADDRESS(ROW(V5), 2)):INDIRECT(ADDRESS(ROW(V5), MATCH("Shares_AAPL", pos_header,0)-1)), INDIRECT(ADDRESS(ROW(V5), MATCH("Shares_AAPL", pos_header,0))): INDIRECT(ADDRESS(ROW(V5), MATCH("Shares_Holding", pos_header,0)-1)))</calculatedColumnFormula>
    </tableColumn>
    <tableColumn id="15" name="Cash_Holding" dataDxfId="179" totalsRowDxfId="178" dataCellStyle="Currency">
      <calculatedColumnFormula>SUMIFS(tbl_transaction[Net_Cash_Change], tbl_transaction[Transaction_Date],tbl_position[[#This Row],[Date]])+IF(tbl_position[[#This Row],[Date]]=$A$5, 100000, $W4)</calculatedColumnFormula>
    </tableColumn>
    <tableColumn id="16" name="Liabilities_Holding" dataDxfId="177">
      <calculatedColumnFormula>SUMIFS(tbl_transaction[Net_Debt_Change], tbl_transaction[Transaction_Date],tbl_position[[#This Row],[Date]])+IF(tbl_position[[#This Row],[Date]]=$A$5, 0, $X4)</calculatedColumnFormula>
    </tableColumn>
    <tableColumn id="18" name="Total_Net_Asset" dataDxfId="176">
      <calculatedColumnFormula>tbl_position[[#This Row],[Shares_Holding]]+tbl_position[[#This Row],[Cash_Holding]]-tbl_position[[#This Row],[Liabilities_Holding]]</calculatedColumnFormula>
    </tableColumn>
  </tableColumns>
  <tableStyleInfo name="TableStyleMedium6" showFirstColumn="0" showLastColumn="0" showRowStripes="0" showColumnStripes="1"/>
</table>
</file>

<file path=xl/tables/table6.xml><?xml version="1.0" encoding="utf-8"?>
<table xmlns="http://schemas.openxmlformats.org/spreadsheetml/2006/main" id="5" name="tbl_HD" displayName="tbl_HD" ref="A4:S33" totalsRowCount="1">
  <autoFilter ref="A4:S32"/>
  <tableColumns count="19">
    <tableColumn id="1" name="Date" totalsRowLabel="Total" dataDxfId="175"/>
    <tableColumn id="2" name="Open" dataDxfId="174"/>
    <tableColumn id="3" name="High" dataDxfId="173"/>
    <tableColumn id="4" name="Low" dataDxfId="172"/>
    <tableColumn id="5" name="Close" dataDxfId="171"/>
    <tableColumn id="6" name="Adj Close" dataDxfId="170"/>
    <tableColumn id="7" name="Volume"/>
    <tableColumn id="8" name="EMA" totalsRowDxfId="169" dataCellStyle="Currency">
      <calculatedColumnFormula>IF(tbl_HD[[#This Row],[Date]]=$A$5, $F5, EMA_Beta*$H4 + (1-EMA_Beta)*$F5)</calculatedColumnFormula>
    </tableColumn>
    <tableColumn id="9" name="RSI" dataDxfId="168">
      <calculatedColumnFormula>IF(tbl_HD[[#This Row],[RS]]= "", "", 100-(100/(1+tbl_HD[[#This Row],[RS]])))</calculatedColumnFormula>
    </tableColumn>
    <tableColumn id="10" name="BB_Mean" totalsRowDxfId="167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name="BB_Upper" dataDxfId="166" totalsRowDxfId="165" dataCellStyle="Currency">
      <calculatedColumnFormula>IF(tbl_HD[[#This Row],[BB_Mean]]="", "", tbl_HD[[#This Row],[BB_Mean]]+(BB_Width*tbl_HD[[#This Row],[BB_Stdev]]))</calculatedColumnFormula>
    </tableColumn>
    <tableColumn id="12" name="BB_Lower" dataDxfId="164" totalsRowDxfId="163" dataCellStyle="Currency">
      <calculatedColumnFormula>IF(tbl_HD[[#This Row],[BB_Mean]]="", "", tbl_HD[[#This Row],[BB_Mean]]-(BB_Width*tbl_HD[[#This Row],[BB_Stdev]]))</calculatedColumnFormula>
    </tableColumn>
    <tableColumn id="13" name="Move" dataDxfId="162">
      <calculatedColumnFormula>IF(ROW(tbl_HD[[#This Row],[Adj Close]])=5, 0, $F5-$F4)</calculatedColumnFormula>
    </tableColumn>
    <tableColumn id="14" name="Upmove" dataDxfId="161">
      <calculatedColumnFormula>MAX(tbl_HD[[#This Row],[Move]],0)</calculatedColumnFormula>
    </tableColumn>
    <tableColumn id="15" name="Downmove" dataDxfId="160">
      <calculatedColumnFormula>MAX(-tbl_HD[[#This Row],[Move]],0)</calculatedColumnFormula>
    </tableColumn>
    <tableColumn id="16" name="Avg_Upmove" dataDxfId="159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name="Avg_Downmove" dataDxfId="158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name="RS" dataDxfId="157">
      <calculatedColumnFormula>IF(tbl_HD[[#This Row],[Avg_Upmove]]="", "", tbl_HD[[#This Row],[Avg_Upmove]]/tbl_HD[[#This Row],[Avg_Downmove]])</calculatedColumnFormula>
    </tableColumn>
    <tableColumn id="19" name="BB_Stdev" totalsRowFunction="count" totalsRowDxfId="156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7.xml><?xml version="1.0" encoding="utf-8"?>
<table xmlns="http://schemas.openxmlformats.org/spreadsheetml/2006/main" id="6" name="tbl_AAPL" displayName="tbl_AAPL" ref="A4:S33" totalsRowCount="1">
  <autoFilter ref="A4:S32"/>
  <tableColumns count="19">
    <tableColumn id="1" name="Date" totalsRowLabel="Total" dataDxfId="155"/>
    <tableColumn id="2" name="Open" totalsRowDxfId="154" dataCellStyle="Currency"/>
    <tableColumn id="3" name="High" totalsRowDxfId="153" dataCellStyle="Currency"/>
    <tableColumn id="4" name="Low" totalsRowDxfId="152" dataCellStyle="Currency"/>
    <tableColumn id="5" name="Close" totalsRowDxfId="151" dataCellStyle="Currency"/>
    <tableColumn id="6" name="Adj Close" totalsRowDxfId="150" dataCellStyle="Currency"/>
    <tableColumn id="7" name="Volume"/>
    <tableColumn id="8" name="EMA" dataDxfId="149" totalsRowDxfId="148" dataCellStyle="Currency">
      <calculatedColumnFormula>IF(tbl_AAPL[[#This Row],[Date]]=$A$5, $F5, EMA_Beta*$H4 + (1-EMA_Beta)*$F5)</calculatedColumnFormula>
    </tableColumn>
    <tableColumn id="9" name="RSI" dataDxfId="147" totalsRowDxfId="146" dataCellStyle="Currency">
      <calculatedColumnFormula>IF(tbl_AAPL[[#This Row],[RS]]= "", "", 100-(100/(1+tbl_AAPL[[#This Row],[RS]])))</calculatedColumnFormula>
    </tableColumn>
    <tableColumn id="10" name="BB_Mean" dataDxfId="145" totalsRowDxfId="144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name="BB_Upper" dataDxfId="143" totalsRowDxfId="142" dataCellStyle="Currency">
      <calculatedColumnFormula>IF(tbl_AAPL[[#This Row],[BB_Mean]]="", "", tbl_AAPL[[#This Row],[BB_Mean]]+(BB_Width*tbl_AAPL[[#This Row],[BB_Stdev]]))</calculatedColumnFormula>
    </tableColumn>
    <tableColumn id="12" name="BB_Lower" dataDxfId="141" totalsRowDxfId="140" dataCellStyle="Currency">
      <calculatedColumnFormula>IF(tbl_AAPL[[#This Row],[BB_Mean]]="", "", tbl_AAPL[[#This Row],[BB_Mean]]-(BB_Width*tbl_AAPL[[#This Row],[BB_Stdev]]))</calculatedColumnFormula>
    </tableColumn>
    <tableColumn id="13" name="Move" dataDxfId="139" totalsRowDxfId="138" dataCellStyle="Currency">
      <calculatedColumnFormula>IF(ROW(tbl_AAPL[[#This Row],[Adj Close]])=5, 0, $F5-$F4)</calculatedColumnFormula>
    </tableColumn>
    <tableColumn id="14" name="Upmove" dataDxfId="137" totalsRowDxfId="136" dataCellStyle="Currency">
      <calculatedColumnFormula>MAX(tbl_AAPL[[#This Row],[Move]],0)</calculatedColumnFormula>
    </tableColumn>
    <tableColumn id="15" name="Downmove" dataDxfId="135" totalsRowDxfId="134" dataCellStyle="Currency">
      <calculatedColumnFormula>MAX(-tbl_AAPL[[#This Row],[Move]],0)</calculatedColumnFormula>
    </tableColumn>
    <tableColumn id="16" name="Avg_Upmove" dataDxfId="133" totalsRowDxfId="132" dataCellStyle="Currency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name="Avg_Downmove" dataDxfId="131" totalsRowDxfId="130" dataCellStyle="Currency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name="RS" dataDxfId="129" totalsRowDxfId="128" dataCellStyle="Currency">
      <calculatedColumnFormula>IF(tbl_AAPL[[#This Row],[Avg_Upmove]]="", "", tbl_AAPL[[#This Row],[Avg_Upmove]]/tbl_AAPL[[#This Row],[Avg_Downmove]])</calculatedColumnFormula>
    </tableColumn>
    <tableColumn id="19" name="BB_Stdev" totalsRowFunction="count" dataDxfId="127" totalsRowDxfId="126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8.xml><?xml version="1.0" encoding="utf-8"?>
<table xmlns="http://schemas.openxmlformats.org/spreadsheetml/2006/main" id="9" name="tbl_WMT" displayName="tbl_WMT" ref="A4:S33" totalsRowCount="1">
  <autoFilter ref="A4:S32"/>
  <tableColumns count="19">
    <tableColumn id="1" name="Date" totalsRowLabel="Total" dataDxfId="125"/>
    <tableColumn id="2" name="Open" dataDxfId="124"/>
    <tableColumn id="3" name="High" dataDxfId="123"/>
    <tableColumn id="4" name="Low" dataDxfId="122"/>
    <tableColumn id="5" name="Close" dataDxfId="121"/>
    <tableColumn id="6" name="Adj Close" dataDxfId="120"/>
    <tableColumn id="7" name="Volume"/>
    <tableColumn id="8" name="EMA" dataDxfId="119">
      <calculatedColumnFormula>IF(tbl_WMT[[#This Row],[Date]]=$A$5, $F5, EMA_Beta*$H4 + (1-EMA_Beta)*$F5)</calculatedColumnFormula>
    </tableColumn>
    <tableColumn id="9" name="RSI" dataDxfId="118" totalsRowDxfId="117" dataCellStyle="Currency">
      <calculatedColumnFormula>IF(tbl_WMT[[#This Row],[RS]]= "", "", 100-(100/(1+tbl_WMT[[#This Row],[RS]])))</calculatedColumnFormula>
    </tableColumn>
    <tableColumn id="10" name="BB_Mean" dataDxfId="116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name="BB_Upper" dataDxfId="115">
      <calculatedColumnFormula>IF(tbl_WMT[[#This Row],[BB_Mean]]="", "", tbl_WMT[[#This Row],[BB_Mean]]+(BB_Width*tbl_WMT[[#This Row],[BB_Stdev]]))</calculatedColumnFormula>
    </tableColumn>
    <tableColumn id="12" name="BB_Lower" dataDxfId="114">
      <calculatedColumnFormula>IF(tbl_WMT[[#This Row],[BB_Mean]]="", "", tbl_WMT[[#This Row],[BB_Mean]]-(BB_Width*tbl_WMT[[#This Row],[BB_Stdev]]))</calculatedColumnFormula>
    </tableColumn>
    <tableColumn id="13" name="Move" dataDxfId="113">
      <calculatedColumnFormula>IF(ROW(tbl_WMT[[#This Row],[Adj Close]])=5, 0, $F5-$F4)</calculatedColumnFormula>
    </tableColumn>
    <tableColumn id="14" name="Upmove" dataDxfId="112">
      <calculatedColumnFormula>MAX(tbl_WMT[[#This Row],[Move]],0)</calculatedColumnFormula>
    </tableColumn>
    <tableColumn id="15" name="Downmove" dataDxfId="111">
      <calculatedColumnFormula>MAX(-tbl_WMT[[#This Row],[Move]],0)</calculatedColumnFormula>
    </tableColumn>
    <tableColumn id="16" name="Avg_Upmove" dataDxfId="110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name="Avg_Downmove" dataDxfId="109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name="RS" dataDxfId="108">
      <calculatedColumnFormula>IF(tbl_WMT[[#This Row],[Avg_Upmove]]="", "", tbl_WMT[[#This Row],[Avg_Upmove]]/tbl_WMT[[#This Row],[Avg_Downmove]])</calculatedColumnFormula>
    </tableColumn>
    <tableColumn id="19" name="BB_Stdev" totalsRowFunction="count" dataDxfId="107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9.xml><?xml version="1.0" encoding="utf-8"?>
<table xmlns="http://schemas.openxmlformats.org/spreadsheetml/2006/main" id="10" name="tbl_RIOT" displayName="tbl_RIOT" ref="A4:S33" totalsRowCount="1">
  <autoFilter ref="A4:S32"/>
  <tableColumns count="19">
    <tableColumn id="1" name="Date" totalsRowLabel="Total" dataDxfId="106"/>
    <tableColumn id="2" name="Open" dataDxfId="105"/>
    <tableColumn id="3" name="High" dataDxfId="104"/>
    <tableColumn id="4" name="Low" dataDxfId="103"/>
    <tableColumn id="5" name="Close" dataDxfId="102"/>
    <tableColumn id="6" name="Adj Close" dataDxfId="101"/>
    <tableColumn id="7" name="Volume"/>
    <tableColumn id="8" name="EMA" dataDxfId="100">
      <calculatedColumnFormula>IF(tbl_RIOT[[#This Row],[Date]]=$A$5, $F5, EMA_Beta*$H4 + (1-EMA_Beta)*$F5)</calculatedColumnFormula>
    </tableColumn>
    <tableColumn id="9" name="RSI" dataDxfId="99">
      <calculatedColumnFormula>IF(tbl_RIOT[[#This Row],[RS]]= "", "", 100-(100/(1+tbl_RIOT[[#This Row],[RS]])))</calculatedColumnFormula>
    </tableColumn>
    <tableColumn id="10" name="BB_Mean" dataDxfId="98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name="BB_Upper" dataDxfId="97">
      <calculatedColumnFormula>IF(tbl_RIOT[[#This Row],[BB_Mean]]="", "", tbl_RIOT[[#This Row],[BB_Mean]]+(BB_Width*tbl_RIOT[[#This Row],[BB_Stdev]]))</calculatedColumnFormula>
    </tableColumn>
    <tableColumn id="12" name="BB_Lower" dataDxfId="96">
      <calculatedColumnFormula>IF(tbl_RIOT[[#This Row],[BB_Mean]]="", "", tbl_RIOT[[#This Row],[BB_Mean]]-(BB_Width*tbl_RIOT[[#This Row],[BB_Stdev]]))</calculatedColumnFormula>
    </tableColumn>
    <tableColumn id="13" name="Move" dataDxfId="95">
      <calculatedColumnFormula>IF(ROW(tbl_RIOT[[#This Row],[Adj Close]])=5, 0, $F5-$F4)</calculatedColumnFormula>
    </tableColumn>
    <tableColumn id="14" name="Upmove" dataDxfId="94">
      <calculatedColumnFormula>MAX(tbl_RIOT[[#This Row],[Move]],0)</calculatedColumnFormula>
    </tableColumn>
    <tableColumn id="15" name="Downmove" dataDxfId="93">
      <calculatedColumnFormula>MAX(-tbl_RIOT[[#This Row],[Move]],0)</calculatedColumnFormula>
    </tableColumn>
    <tableColumn id="16" name="Avg_Upmove" dataDxfId="92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name="Avg_Downmove" dataDxfId="91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name="RS" dataDxfId="90">
      <calculatedColumnFormula>IF(tbl_RIOT[[#This Row],[Avg_Upmove]]="", "", tbl_RIOT[[#This Row],[Avg_Upmove]]/tbl_RIOT[[#This Row],[Avg_Downmove]])</calculatedColumnFormula>
    </tableColumn>
    <tableColumn id="19" name="BB_Stdev" totalsRowFunction="count" dataDxfId="89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25"/>
  <sheetViews>
    <sheetView topLeftCell="A19" workbookViewId="0">
      <selection activeCell="M44" sqref="M44"/>
    </sheetView>
  </sheetViews>
  <sheetFormatPr defaultRowHeight="15" x14ac:dyDescent="0.25"/>
  <cols>
    <col min="10" max="10" width="10.85546875" customWidth="1"/>
  </cols>
  <sheetData>
    <row r="1" spans="1:9" ht="23.25" x14ac:dyDescent="0.35">
      <c r="B1" s="5" t="s">
        <v>0</v>
      </c>
      <c r="C1" s="5"/>
      <c r="D1" s="5"/>
      <c r="E1" s="5"/>
      <c r="F1" s="6"/>
      <c r="G1" s="6"/>
      <c r="H1" s="6"/>
    </row>
    <row r="3" spans="1:9" ht="15.75" x14ac:dyDescent="0.25">
      <c r="A3" s="4" t="s">
        <v>1</v>
      </c>
      <c r="B3" s="3" t="s">
        <v>2</v>
      </c>
      <c r="C3" s="2"/>
      <c r="D3" s="2"/>
      <c r="E3" s="2"/>
      <c r="F3" s="2"/>
      <c r="G3" s="2"/>
      <c r="H3" s="2"/>
      <c r="I3" s="2"/>
    </row>
    <row r="4" spans="1:9" x14ac:dyDescent="0.25">
      <c r="B4" t="s">
        <v>3</v>
      </c>
    </row>
    <row r="5" spans="1:9" x14ac:dyDescent="0.25">
      <c r="B5" t="s">
        <v>4</v>
      </c>
    </row>
    <row r="6" spans="1:9" x14ac:dyDescent="0.25">
      <c r="B6" t="s">
        <v>10</v>
      </c>
    </row>
    <row r="8" spans="1:9" ht="15.75" x14ac:dyDescent="0.25">
      <c r="A8" s="4" t="s">
        <v>5</v>
      </c>
      <c r="B8" s="3" t="s">
        <v>6</v>
      </c>
      <c r="C8" s="2"/>
      <c r="D8" s="2"/>
      <c r="E8" s="2"/>
      <c r="F8" s="2"/>
      <c r="G8" s="2"/>
      <c r="H8" s="2"/>
      <c r="I8" s="2"/>
    </row>
    <row r="9" spans="1:9" x14ac:dyDescent="0.25">
      <c r="B9" t="s">
        <v>7</v>
      </c>
    </row>
    <row r="10" spans="1:9" x14ac:dyDescent="0.25">
      <c r="B10" t="s">
        <v>8</v>
      </c>
    </row>
    <row r="11" spans="1:9" x14ac:dyDescent="0.25">
      <c r="B11" t="s">
        <v>9</v>
      </c>
    </row>
    <row r="13" spans="1:9" ht="15.75" x14ac:dyDescent="0.25">
      <c r="A13" s="4" t="s">
        <v>11</v>
      </c>
      <c r="B13" s="3" t="s">
        <v>12</v>
      </c>
      <c r="C13" s="2"/>
      <c r="D13" s="2"/>
      <c r="E13" s="2"/>
      <c r="F13" s="2"/>
      <c r="G13" s="2"/>
      <c r="H13" s="2"/>
      <c r="I13" s="2"/>
    </row>
    <row r="14" spans="1:9" x14ac:dyDescent="0.25">
      <c r="B14" t="s">
        <v>13</v>
      </c>
    </row>
    <row r="15" spans="1:9" x14ac:dyDescent="0.25">
      <c r="B15" t="s">
        <v>14</v>
      </c>
    </row>
    <row r="18" spans="1:13" ht="19.5" thickBot="1" x14ac:dyDescent="0.35">
      <c r="A18" s="12" t="s">
        <v>87</v>
      </c>
      <c r="B18" s="12"/>
      <c r="C18" s="13"/>
      <c r="D18" s="13"/>
      <c r="E18" s="13"/>
      <c r="F18" s="13"/>
      <c r="G18" s="13"/>
      <c r="H18" s="13"/>
      <c r="I18" s="13"/>
    </row>
    <row r="19" spans="1:13" ht="15.75" thickBot="1" x14ac:dyDescent="0.3">
      <c r="A19" t="s">
        <v>88</v>
      </c>
      <c r="J19" s="34" t="s">
        <v>104</v>
      </c>
      <c r="K19" s="35" t="s">
        <v>105</v>
      </c>
      <c r="L19" s="35"/>
      <c r="M19" s="36"/>
    </row>
    <row r="20" spans="1:13" ht="15.75" thickBot="1" x14ac:dyDescent="0.3">
      <c r="A20" t="s">
        <v>89</v>
      </c>
      <c r="J20" s="38" t="s">
        <v>106</v>
      </c>
      <c r="K20" s="39" t="s">
        <v>107</v>
      </c>
      <c r="L20" s="32"/>
      <c r="M20" s="33"/>
    </row>
    <row r="21" spans="1:13" ht="16.5" thickBot="1" x14ac:dyDescent="0.3">
      <c r="A21" s="25" t="s">
        <v>90</v>
      </c>
      <c r="B21" s="26"/>
      <c r="C21" s="37" t="s">
        <v>91</v>
      </c>
      <c r="D21" s="25"/>
      <c r="E21" s="27"/>
      <c r="F21" s="27"/>
      <c r="G21" s="27"/>
      <c r="H21" s="24"/>
      <c r="I21" s="24"/>
      <c r="J21" s="24"/>
      <c r="K21" s="23"/>
    </row>
    <row r="22" spans="1:13" x14ac:dyDescent="0.25">
      <c r="A22" s="14" t="s">
        <v>42</v>
      </c>
      <c r="B22" s="15"/>
      <c r="C22" s="18" t="s">
        <v>93</v>
      </c>
      <c r="D22" s="19"/>
      <c r="E22" s="19"/>
      <c r="F22" s="19"/>
      <c r="G22" s="19"/>
      <c r="H22" s="19"/>
      <c r="I22" s="19"/>
      <c r="J22" s="19"/>
      <c r="K22" s="20"/>
    </row>
    <row r="23" spans="1:13" x14ac:dyDescent="0.25">
      <c r="A23" s="14" t="s">
        <v>43</v>
      </c>
      <c r="B23" s="15"/>
      <c r="C23" s="14" t="s">
        <v>92</v>
      </c>
      <c r="D23" s="21"/>
      <c r="E23" s="21"/>
      <c r="F23" s="21"/>
      <c r="G23" s="21"/>
      <c r="H23" s="21"/>
      <c r="I23" s="21"/>
      <c r="J23" s="21"/>
      <c r="K23" s="15"/>
    </row>
    <row r="24" spans="1:13" x14ac:dyDescent="0.25">
      <c r="A24" s="14" t="s">
        <v>44</v>
      </c>
      <c r="B24" s="15"/>
      <c r="C24" s="14" t="s">
        <v>94</v>
      </c>
      <c r="D24" s="21"/>
      <c r="E24" s="21"/>
      <c r="F24" s="21"/>
      <c r="G24" s="21"/>
      <c r="H24" s="21"/>
      <c r="I24" s="21"/>
      <c r="J24" s="21"/>
      <c r="K24" s="15"/>
    </row>
    <row r="25" spans="1:13" x14ac:dyDescent="0.25">
      <c r="A25" s="14" t="s">
        <v>45</v>
      </c>
      <c r="B25" s="15"/>
      <c r="C25" s="14" t="s">
        <v>95</v>
      </c>
      <c r="D25" s="21"/>
      <c r="E25" s="21"/>
      <c r="F25" s="21"/>
      <c r="G25" s="21"/>
      <c r="H25" s="21"/>
      <c r="I25" s="21"/>
      <c r="J25" s="21"/>
      <c r="K25" s="15"/>
    </row>
    <row r="26" spans="1:13" x14ac:dyDescent="0.25">
      <c r="A26" s="14" t="s">
        <v>46</v>
      </c>
      <c r="B26" s="15"/>
      <c r="C26" s="14" t="s">
        <v>96</v>
      </c>
      <c r="D26" s="21"/>
      <c r="E26" s="21"/>
      <c r="F26" s="21"/>
      <c r="G26" s="21"/>
      <c r="H26" s="21"/>
      <c r="I26" s="21"/>
      <c r="J26" s="21"/>
      <c r="K26" s="15"/>
    </row>
    <row r="27" spans="1:13" x14ac:dyDescent="0.25">
      <c r="A27" s="14" t="s">
        <v>47</v>
      </c>
      <c r="B27" s="15"/>
      <c r="C27" s="14" t="s">
        <v>97</v>
      </c>
      <c r="D27" s="21"/>
      <c r="E27" s="21"/>
      <c r="F27" s="21"/>
      <c r="G27" s="21"/>
      <c r="H27" s="21"/>
      <c r="I27" s="21"/>
      <c r="J27" s="21"/>
      <c r="K27" s="15"/>
    </row>
    <row r="28" spans="1:13" x14ac:dyDescent="0.25">
      <c r="A28" s="14" t="s">
        <v>48</v>
      </c>
      <c r="B28" s="15"/>
      <c r="C28" s="14" t="s">
        <v>98</v>
      </c>
      <c r="D28" s="21"/>
      <c r="E28" s="21"/>
      <c r="F28" s="21"/>
      <c r="G28" s="21"/>
      <c r="H28" s="21"/>
      <c r="I28" s="21"/>
      <c r="J28" s="21"/>
      <c r="K28" s="15"/>
    </row>
    <row r="29" spans="1:13" x14ac:dyDescent="0.25">
      <c r="A29" s="14" t="s">
        <v>49</v>
      </c>
      <c r="B29" s="15"/>
      <c r="C29" s="14" t="s">
        <v>99</v>
      </c>
      <c r="D29" s="21"/>
      <c r="E29" s="21"/>
      <c r="F29" s="21"/>
      <c r="G29" s="21"/>
      <c r="H29" s="21"/>
      <c r="I29" s="21"/>
      <c r="J29" s="21"/>
      <c r="K29" s="15"/>
    </row>
    <row r="30" spans="1:13" x14ac:dyDescent="0.25">
      <c r="A30" s="14" t="s">
        <v>50</v>
      </c>
      <c r="B30" s="15"/>
      <c r="C30" s="14" t="s">
        <v>100</v>
      </c>
      <c r="D30" s="21"/>
      <c r="E30" s="21"/>
      <c r="F30" s="21"/>
      <c r="G30" s="21"/>
      <c r="H30" s="21"/>
      <c r="I30" s="21"/>
      <c r="J30" s="21"/>
      <c r="K30" s="15"/>
    </row>
    <row r="31" spans="1:13" x14ac:dyDescent="0.25">
      <c r="A31" s="14" t="s">
        <v>51</v>
      </c>
      <c r="B31" s="15"/>
      <c r="C31" s="14" t="s">
        <v>101</v>
      </c>
      <c r="D31" s="21"/>
      <c r="E31" s="21"/>
      <c r="F31" s="21"/>
      <c r="G31" s="21"/>
      <c r="H31" s="21"/>
      <c r="I31" s="21"/>
      <c r="J31" s="21"/>
      <c r="K31" s="15"/>
    </row>
    <row r="32" spans="1:13" x14ac:dyDescent="0.25">
      <c r="A32" s="14" t="s">
        <v>52</v>
      </c>
      <c r="B32" s="15"/>
      <c r="C32" s="14" t="s">
        <v>102</v>
      </c>
      <c r="D32" s="21"/>
      <c r="E32" s="21"/>
      <c r="F32" s="21"/>
      <c r="G32" s="21"/>
      <c r="H32" s="21"/>
      <c r="I32" s="21"/>
      <c r="J32" s="21"/>
      <c r="K32" s="15"/>
    </row>
    <row r="33" spans="1:16" x14ac:dyDescent="0.25">
      <c r="A33" s="14" t="s">
        <v>53</v>
      </c>
      <c r="B33" s="15"/>
      <c r="C33" s="14" t="s">
        <v>103</v>
      </c>
      <c r="D33" s="21"/>
      <c r="E33" s="21"/>
      <c r="F33" s="21"/>
      <c r="G33" s="21"/>
      <c r="H33" s="21"/>
      <c r="I33" s="21"/>
      <c r="J33" s="21"/>
      <c r="K33" s="15"/>
    </row>
    <row r="34" spans="1:16" x14ac:dyDescent="0.25">
      <c r="A34" s="14" t="s">
        <v>54</v>
      </c>
      <c r="B34" s="15"/>
      <c r="C34" s="14" t="s">
        <v>108</v>
      </c>
      <c r="D34" s="21"/>
      <c r="E34" s="21"/>
      <c r="F34" s="21"/>
      <c r="G34" s="21"/>
      <c r="H34" s="21"/>
      <c r="I34" s="21"/>
      <c r="J34" s="21"/>
      <c r="K34" s="15"/>
    </row>
    <row r="35" spans="1:16" x14ac:dyDescent="0.25">
      <c r="A35" s="14" t="s">
        <v>55</v>
      </c>
      <c r="B35" s="15"/>
      <c r="C35" s="14" t="s">
        <v>109</v>
      </c>
      <c r="D35" s="21"/>
      <c r="E35" s="21"/>
      <c r="F35" s="21"/>
      <c r="G35" s="21"/>
      <c r="H35" s="21"/>
      <c r="I35" s="21"/>
      <c r="J35" s="21"/>
      <c r="K35" s="15"/>
    </row>
    <row r="36" spans="1:16" x14ac:dyDescent="0.25">
      <c r="A36" s="14" t="s">
        <v>56</v>
      </c>
      <c r="B36" s="15"/>
      <c r="C36" s="14" t="s">
        <v>110</v>
      </c>
      <c r="D36" s="21"/>
      <c r="E36" s="21"/>
      <c r="F36" s="21"/>
      <c r="G36" s="21"/>
      <c r="H36" s="21"/>
      <c r="I36" s="21"/>
      <c r="J36" s="21"/>
      <c r="K36" s="15"/>
    </row>
    <row r="37" spans="1:16" ht="15.75" thickBot="1" x14ac:dyDescent="0.3">
      <c r="A37" s="16" t="s">
        <v>57</v>
      </c>
      <c r="B37" s="17"/>
      <c r="C37" s="16" t="s">
        <v>111</v>
      </c>
      <c r="D37" s="22"/>
      <c r="E37" s="22"/>
      <c r="F37" s="22"/>
      <c r="G37" s="22"/>
      <c r="H37" s="22"/>
      <c r="I37" s="22"/>
      <c r="J37" s="22"/>
      <c r="K37" s="17"/>
    </row>
    <row r="38" spans="1:16" ht="15.75" thickBot="1" x14ac:dyDescent="0.3"/>
    <row r="39" spans="1:16" x14ac:dyDescent="0.25">
      <c r="A39" t="s">
        <v>125</v>
      </c>
      <c r="J39" s="43" t="s">
        <v>117</v>
      </c>
      <c r="K39" s="28" t="s">
        <v>119</v>
      </c>
      <c r="L39" s="28"/>
      <c r="M39" s="28"/>
      <c r="N39" s="28"/>
      <c r="O39" s="28"/>
      <c r="P39" s="29"/>
    </row>
    <row r="40" spans="1:16" ht="15.75" thickBot="1" x14ac:dyDescent="0.3">
      <c r="A40" t="s">
        <v>113</v>
      </c>
      <c r="J40" s="42"/>
      <c r="K40" s="30" t="s">
        <v>118</v>
      </c>
      <c r="L40" s="30"/>
      <c r="M40" s="30"/>
      <c r="N40" s="30"/>
      <c r="O40" s="30"/>
      <c r="P40" s="31"/>
    </row>
    <row r="41" spans="1:16" ht="16.5" thickBot="1" x14ac:dyDescent="0.3">
      <c r="A41" s="25" t="s">
        <v>90</v>
      </c>
      <c r="B41" s="26"/>
      <c r="C41" s="27" t="s">
        <v>91</v>
      </c>
      <c r="D41" s="27"/>
      <c r="E41" s="27"/>
      <c r="F41" s="27"/>
      <c r="G41" s="27"/>
      <c r="H41" s="27"/>
      <c r="I41" s="27"/>
      <c r="J41" s="26"/>
    </row>
    <row r="42" spans="1:16" x14ac:dyDescent="0.25">
      <c r="A42" s="14" t="s">
        <v>58</v>
      </c>
      <c r="B42" s="15"/>
      <c r="C42" s="21" t="s">
        <v>116</v>
      </c>
      <c r="D42" s="21"/>
      <c r="E42" s="21"/>
      <c r="F42" s="21"/>
      <c r="G42" s="21"/>
      <c r="H42" s="21"/>
      <c r="I42" s="21"/>
      <c r="J42" s="15"/>
    </row>
    <row r="43" spans="1:16" x14ac:dyDescent="0.25">
      <c r="A43" s="14" t="s">
        <v>114</v>
      </c>
      <c r="B43" s="15"/>
      <c r="C43" s="21" t="s">
        <v>124</v>
      </c>
      <c r="D43" s="21"/>
      <c r="E43" s="21"/>
      <c r="F43" s="21"/>
      <c r="G43" s="21"/>
      <c r="H43" s="21"/>
      <c r="I43" s="21"/>
      <c r="J43" s="15"/>
    </row>
    <row r="44" spans="1:16" x14ac:dyDescent="0.25">
      <c r="A44" s="14" t="s">
        <v>115</v>
      </c>
      <c r="B44" s="15"/>
      <c r="C44" s="21" t="s">
        <v>123</v>
      </c>
      <c r="D44" s="21"/>
      <c r="E44" s="21"/>
      <c r="F44" s="21"/>
      <c r="G44" s="21"/>
      <c r="H44" s="21"/>
      <c r="I44" s="21"/>
      <c r="J44" s="15"/>
    </row>
    <row r="45" spans="1:16" x14ac:dyDescent="0.25">
      <c r="A45" s="14" t="s">
        <v>71</v>
      </c>
      <c r="B45" s="15"/>
      <c r="C45" s="21" t="s">
        <v>120</v>
      </c>
      <c r="D45" s="21"/>
      <c r="E45" s="21"/>
      <c r="F45" s="21"/>
      <c r="G45" s="21"/>
      <c r="H45" s="21"/>
      <c r="I45" s="21"/>
      <c r="J45" s="15"/>
    </row>
    <row r="46" spans="1:16" x14ac:dyDescent="0.25">
      <c r="A46" s="14" t="s">
        <v>72</v>
      </c>
      <c r="B46" s="15"/>
      <c r="C46" s="21" t="s">
        <v>121</v>
      </c>
      <c r="D46" s="21"/>
      <c r="E46" s="21"/>
      <c r="F46" s="21"/>
      <c r="G46" s="21"/>
      <c r="H46" s="21"/>
      <c r="I46" s="21"/>
      <c r="J46" s="15"/>
    </row>
    <row r="47" spans="1:16" ht="15.75" thickBot="1" x14ac:dyDescent="0.3">
      <c r="A47" s="16" t="s">
        <v>73</v>
      </c>
      <c r="B47" s="17"/>
      <c r="C47" s="22" t="s">
        <v>122</v>
      </c>
      <c r="D47" s="22"/>
      <c r="E47" s="22"/>
      <c r="F47" s="22"/>
      <c r="G47" s="22"/>
      <c r="H47" s="22"/>
      <c r="I47" s="22"/>
      <c r="J47" s="17"/>
    </row>
    <row r="49" spans="1:10" x14ac:dyDescent="0.25">
      <c r="A49" t="s">
        <v>145</v>
      </c>
    </row>
    <row r="50" spans="1:10" ht="15.75" thickBot="1" x14ac:dyDescent="0.3">
      <c r="A50" t="s">
        <v>128</v>
      </c>
    </row>
    <row r="51" spans="1:10" ht="16.5" thickBot="1" x14ac:dyDescent="0.3">
      <c r="A51" s="25" t="s">
        <v>90</v>
      </c>
      <c r="B51" s="26"/>
      <c r="C51" s="27" t="s">
        <v>91</v>
      </c>
      <c r="D51" s="27"/>
      <c r="E51" s="27"/>
      <c r="F51" s="27"/>
      <c r="G51" s="27"/>
      <c r="H51" s="27"/>
      <c r="I51" s="27"/>
      <c r="J51" s="26"/>
    </row>
    <row r="52" spans="1:10" x14ac:dyDescent="0.25">
      <c r="A52" s="14" t="s">
        <v>58</v>
      </c>
      <c r="B52" s="15"/>
      <c r="C52" s="21" t="s">
        <v>132</v>
      </c>
      <c r="D52" s="21"/>
      <c r="E52" s="21"/>
      <c r="F52" s="21"/>
      <c r="G52" s="21"/>
      <c r="H52" s="21"/>
      <c r="I52" s="21"/>
      <c r="J52" s="15"/>
    </row>
    <row r="53" spans="1:10" x14ac:dyDescent="0.25">
      <c r="A53" s="14" t="s">
        <v>75</v>
      </c>
      <c r="B53" s="15"/>
      <c r="C53" s="21" t="s">
        <v>133</v>
      </c>
      <c r="D53" s="21"/>
      <c r="E53" s="21"/>
      <c r="F53" s="21"/>
      <c r="G53" s="21"/>
      <c r="H53" s="21"/>
      <c r="I53" s="21"/>
      <c r="J53" s="15"/>
    </row>
    <row r="54" spans="1:10" x14ac:dyDescent="0.25">
      <c r="A54" s="14" t="s">
        <v>76</v>
      </c>
      <c r="B54" s="15"/>
      <c r="C54" s="21" t="s">
        <v>134</v>
      </c>
      <c r="D54" s="21"/>
      <c r="E54" s="21"/>
      <c r="F54" s="21"/>
      <c r="G54" s="21"/>
      <c r="H54" s="21"/>
      <c r="I54" s="21"/>
      <c r="J54" s="15"/>
    </row>
    <row r="55" spans="1:10" x14ac:dyDescent="0.25">
      <c r="A55" s="14" t="s">
        <v>77</v>
      </c>
      <c r="B55" s="15"/>
      <c r="C55" s="21" t="s">
        <v>135</v>
      </c>
      <c r="D55" s="21"/>
      <c r="E55" s="21"/>
      <c r="F55" s="21"/>
      <c r="G55" s="21"/>
      <c r="H55" s="21"/>
      <c r="I55" s="21"/>
      <c r="J55" s="15"/>
    </row>
    <row r="56" spans="1:10" x14ac:dyDescent="0.25">
      <c r="A56" s="14" t="s">
        <v>78</v>
      </c>
      <c r="B56" s="15"/>
      <c r="C56" s="21" t="s">
        <v>136</v>
      </c>
      <c r="D56" s="21"/>
      <c r="E56" s="21"/>
      <c r="F56" s="21"/>
      <c r="G56" s="21"/>
      <c r="H56" s="21"/>
      <c r="I56" s="21"/>
      <c r="J56" s="15"/>
    </row>
    <row r="57" spans="1:10" x14ac:dyDescent="0.25">
      <c r="A57" s="14" t="s">
        <v>79</v>
      </c>
      <c r="B57" s="15"/>
      <c r="C57" s="21" t="s">
        <v>138</v>
      </c>
      <c r="D57" s="21"/>
      <c r="E57" s="21"/>
      <c r="F57" s="21"/>
      <c r="G57" s="21"/>
      <c r="H57" s="21"/>
      <c r="I57" s="21"/>
      <c r="J57" s="15"/>
    </row>
    <row r="58" spans="1:10" x14ac:dyDescent="0.25">
      <c r="A58" s="14" t="s">
        <v>80</v>
      </c>
      <c r="B58" s="15"/>
      <c r="C58" s="21" t="s">
        <v>137</v>
      </c>
      <c r="D58" s="21"/>
      <c r="E58" s="21"/>
      <c r="F58" s="21"/>
      <c r="G58" s="21"/>
      <c r="H58" s="21"/>
      <c r="I58" s="21"/>
      <c r="J58" s="15"/>
    </row>
    <row r="59" spans="1:10" x14ac:dyDescent="0.25">
      <c r="A59" s="14" t="s">
        <v>84</v>
      </c>
      <c r="B59" s="15"/>
      <c r="C59" s="21" t="s">
        <v>139</v>
      </c>
      <c r="D59" s="21"/>
      <c r="E59" s="21"/>
      <c r="F59" s="21"/>
      <c r="G59" s="21"/>
      <c r="H59" s="21"/>
      <c r="I59" s="21"/>
      <c r="J59" s="15"/>
    </row>
    <row r="60" spans="1:10" x14ac:dyDescent="0.25">
      <c r="A60" s="14" t="s">
        <v>85</v>
      </c>
      <c r="B60" s="15"/>
      <c r="C60" s="21" t="s">
        <v>140</v>
      </c>
      <c r="D60" s="21"/>
      <c r="E60" s="21"/>
      <c r="F60" s="21"/>
      <c r="G60" s="21"/>
      <c r="H60" s="21"/>
      <c r="I60" s="21"/>
      <c r="J60" s="15"/>
    </row>
    <row r="61" spans="1:10" x14ac:dyDescent="0.25">
      <c r="A61" s="14" t="s">
        <v>129</v>
      </c>
      <c r="B61" s="15"/>
      <c r="C61" s="21" t="s">
        <v>141</v>
      </c>
      <c r="D61" s="21"/>
      <c r="E61" s="21"/>
      <c r="F61" s="21"/>
      <c r="G61" s="21"/>
      <c r="H61" s="21"/>
      <c r="I61" s="21"/>
      <c r="J61" s="15"/>
    </row>
    <row r="62" spans="1:10" x14ac:dyDescent="0.25">
      <c r="A62" s="14" t="s">
        <v>130</v>
      </c>
      <c r="B62" s="15"/>
      <c r="C62" s="21" t="s">
        <v>142</v>
      </c>
      <c r="D62" s="21"/>
      <c r="E62" s="21"/>
      <c r="F62" s="21"/>
      <c r="G62" s="21"/>
      <c r="H62" s="21"/>
      <c r="I62" s="21"/>
      <c r="J62" s="15"/>
    </row>
    <row r="63" spans="1:10" ht="15.75" thickBot="1" x14ac:dyDescent="0.3">
      <c r="A63" s="16" t="s">
        <v>131</v>
      </c>
      <c r="B63" s="17"/>
      <c r="C63" s="22" t="s">
        <v>143</v>
      </c>
      <c r="D63" s="22"/>
      <c r="E63" s="22"/>
      <c r="F63" s="22"/>
      <c r="G63" s="22"/>
      <c r="H63" s="22"/>
      <c r="I63" s="22"/>
      <c r="J63" s="17"/>
    </row>
    <row r="65" spans="1:10" x14ac:dyDescent="0.25">
      <c r="A65" t="s">
        <v>146</v>
      </c>
    </row>
    <row r="66" spans="1:10" x14ac:dyDescent="0.25">
      <c r="A66" t="s">
        <v>147</v>
      </c>
    </row>
    <row r="68" spans="1:10" ht="18.75" x14ac:dyDescent="0.3">
      <c r="A68" s="44" t="s">
        <v>148</v>
      </c>
      <c r="B68" s="44"/>
      <c r="C68" s="44"/>
      <c r="D68" s="44"/>
      <c r="E68" s="44"/>
      <c r="F68" s="44"/>
      <c r="G68" s="44"/>
      <c r="H68" s="44"/>
      <c r="I68" s="44"/>
      <c r="J68" s="44"/>
    </row>
    <row r="98" spans="1:9" ht="18.75" x14ac:dyDescent="0.3">
      <c r="A98" s="45" t="s">
        <v>149</v>
      </c>
      <c r="B98" s="45"/>
      <c r="C98" s="45"/>
      <c r="D98" s="45"/>
      <c r="E98" s="45"/>
      <c r="F98" s="45"/>
      <c r="G98" s="45"/>
      <c r="H98" s="45"/>
      <c r="I98" s="45"/>
    </row>
    <row r="99" spans="1:9" ht="15.75" x14ac:dyDescent="0.25">
      <c r="A99" t="s">
        <v>151</v>
      </c>
    </row>
    <row r="100" spans="1:9" x14ac:dyDescent="0.25">
      <c r="A100" t="s">
        <v>154</v>
      </c>
    </row>
    <row r="101" spans="1:9" x14ac:dyDescent="0.25">
      <c r="A101" t="s">
        <v>155</v>
      </c>
    </row>
    <row r="102" spans="1:9" x14ac:dyDescent="0.25">
      <c r="A102" t="s">
        <v>156</v>
      </c>
    </row>
    <row r="103" spans="1:9" ht="15.75" x14ac:dyDescent="0.25">
      <c r="A103" t="s">
        <v>152</v>
      </c>
    </row>
    <row r="104" spans="1:9" x14ac:dyDescent="0.25">
      <c r="A104" t="s">
        <v>157</v>
      </c>
    </row>
    <row r="105" spans="1:9" ht="15.75" x14ac:dyDescent="0.25">
      <c r="A105" t="s">
        <v>153</v>
      </c>
    </row>
    <row r="106" spans="1:9" x14ac:dyDescent="0.25">
      <c r="A106" t="s">
        <v>158</v>
      </c>
    </row>
    <row r="125" spans="2:9" ht="18.75" x14ac:dyDescent="0.3">
      <c r="B125" s="40" t="s">
        <v>159</v>
      </c>
      <c r="C125" s="40"/>
      <c r="D125" s="40"/>
      <c r="E125" s="40"/>
      <c r="F125" s="40"/>
      <c r="G125" s="40"/>
      <c r="H125" s="40"/>
      <c r="I125" s="40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opLeftCell="A10" workbookViewId="0">
      <selection activeCell="L6" sqref="L6"/>
    </sheetView>
  </sheetViews>
  <sheetFormatPr defaultRowHeight="15" x14ac:dyDescent="0.25"/>
  <cols>
    <col min="1" max="1" width="9.7109375" bestFit="1" customWidth="1"/>
    <col min="6" max="6" width="11.42578125" customWidth="1"/>
    <col min="7" max="7" width="10.140625" customWidth="1"/>
  </cols>
  <sheetData>
    <row r="1" spans="1:19" ht="21" x14ac:dyDescent="0.35">
      <c r="A1" s="41" t="s">
        <v>170</v>
      </c>
      <c r="B1" s="41"/>
      <c r="C1" s="41"/>
      <c r="D1" s="41"/>
      <c r="E1" s="41"/>
      <c r="F1" s="41"/>
    </row>
    <row r="2" spans="1:19" x14ac:dyDescent="0.25">
      <c r="A2" t="s">
        <v>164</v>
      </c>
    </row>
    <row r="4" spans="1:19" x14ac:dyDescent="0.2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25">
      <c r="A5" s="8">
        <v>44053</v>
      </c>
      <c r="B5" s="48">
        <v>125.41999800000001</v>
      </c>
      <c r="C5" s="48">
        <v>127.239998</v>
      </c>
      <c r="D5" s="48">
        <v>125.18</v>
      </c>
      <c r="E5" s="48">
        <v>127.110001</v>
      </c>
      <c r="F5" s="48">
        <v>127.110001</v>
      </c>
      <c r="G5">
        <v>3968300</v>
      </c>
      <c r="H5" s="48">
        <f>IF(tbl_IBM[[#This Row],[Date]]=$A$5, $F5, EMA_Beta*$H4 + (1-EMA_Beta)*$F5)</f>
        <v>127.110001</v>
      </c>
      <c r="I5" s="46" t="str">
        <f ca="1">IF(tbl_IBM[[#This Row],[RS]]= "", "", 100-(100/(1+tbl_IBM[[#This Row],[RS]])))</f>
        <v/>
      </c>
      <c r="J5" s="48" t="str">
        <f ca="1">IF(ROW($N5)-4&lt;BB_Periods, "", AVERAGE(INDIRECT(ADDRESS(ROW($F5)-RSI_Periods +1, MATCH("Adj Close", Price_Header,0))): INDIRECT(ADDRESS(ROW($F5),MATCH("Adj Close", Price_Header,0)))))</f>
        <v/>
      </c>
      <c r="K5" s="48" t="str">
        <f ca="1">IF(tbl_IBM[[#This Row],[BB_Mean]]="", "", tbl_IBM[[#This Row],[BB_Mean]]+(BB_Width*tbl_IBM[[#This Row],[BB_Stdev]]))</f>
        <v/>
      </c>
      <c r="L5" s="48" t="str">
        <f ca="1">IF(tbl_IBM[[#This Row],[BB_Mean]]="", "", tbl_IBM[[#This Row],[BB_Mean]]-(BB_Width*tbl_IBM[[#This Row],[BB_Stdev]]))</f>
        <v/>
      </c>
      <c r="M5" s="46">
        <f>IF(ROW(tbl_IBM[[#This Row],[Adj Close]])=5, 0, $F5-$F4)</f>
        <v>0</v>
      </c>
      <c r="N5" s="46">
        <f>MAX(tbl_IBM[[#This Row],[Move]],0)</f>
        <v>0</v>
      </c>
      <c r="O5" s="46">
        <f>MAX(-tbl_IBM[[#This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IF(tbl_IBM[[#This Row],[Avg_Upmove]]="", "", tbl_IBM[[#This Row],[Avg_Upmove]]/tbl_IBM[[#This Row],[Avg_Downmove]])</f>
        <v/>
      </c>
      <c r="S5" s="48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25">
      <c r="A6" s="8">
        <v>44054</v>
      </c>
      <c r="B6" s="48">
        <v>128.759995</v>
      </c>
      <c r="C6" s="48">
        <v>130.470001</v>
      </c>
      <c r="D6" s="48">
        <v>126.610001</v>
      </c>
      <c r="E6" s="48">
        <v>126.75</v>
      </c>
      <c r="F6" s="48">
        <v>126.75</v>
      </c>
      <c r="G6">
        <v>5001200</v>
      </c>
      <c r="H6" s="48">
        <f>IF(tbl_IBM[[#This Row],[Date]]=$A$5, $F6, EMA_Beta*$H5 + (1-EMA_Beta)*$F6)</f>
        <v>127.0740009</v>
      </c>
      <c r="I6" s="46" t="str">
        <f ca="1">IF(tbl_IBM[[#This Row],[RS]]= "", "", 100-(100/(1+tbl_IBM[[#This Row],[RS]])))</f>
        <v/>
      </c>
      <c r="J6" s="48" t="str">
        <f ca="1">IF(ROW($N6)-4&lt;BB_Periods, "", AVERAGE(INDIRECT(ADDRESS(ROW($F6)-RSI_Periods +1, MATCH("Adj Close", Price_Header,0))): INDIRECT(ADDRESS(ROW($F6),MATCH("Adj Close", Price_Header,0)))))</f>
        <v/>
      </c>
      <c r="K6" s="48" t="str">
        <f ca="1">IF(tbl_IBM[[#This Row],[BB_Mean]]="", "", tbl_IBM[[#This Row],[BB_Mean]]+(BB_Width*tbl_IBM[[#This Row],[BB_Stdev]]))</f>
        <v/>
      </c>
      <c r="L6" s="48" t="str">
        <f ca="1">IF(tbl_IBM[[#This Row],[BB_Mean]]="", "", tbl_IBM[[#This Row],[BB_Mean]]-(BB_Width*tbl_IBM[[#This Row],[BB_Stdev]]))</f>
        <v/>
      </c>
      <c r="M6" s="46">
        <f>IF(ROW(tbl_IBM[[#This Row],[Adj Close]])=5, 0, $F6-$F5)</f>
        <v>-0.36000099999999691</v>
      </c>
      <c r="N6" s="46">
        <f>MAX(tbl_IBM[[#This Row],[Move]],0)</f>
        <v>0</v>
      </c>
      <c r="O6" s="46">
        <f>MAX(-tbl_IBM[[#This Row],[Move]],0)</f>
        <v>0.36000099999999691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IF(tbl_IBM[[#This Row],[Avg_Upmove]]="", "", tbl_IBM[[#This Row],[Avg_Upmove]]/tbl_IBM[[#This Row],[Avg_Downmove]])</f>
        <v/>
      </c>
      <c r="S6" s="48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25">
      <c r="A7" s="8">
        <v>44055</v>
      </c>
      <c r="B7" s="48">
        <v>127.610001</v>
      </c>
      <c r="C7" s="48">
        <v>127.790001</v>
      </c>
      <c r="D7" s="48">
        <v>125.879997</v>
      </c>
      <c r="E7" s="48">
        <v>126.699997</v>
      </c>
      <c r="F7" s="48">
        <v>126.699997</v>
      </c>
      <c r="G7">
        <v>3530200</v>
      </c>
      <c r="H7" s="48">
        <f>IF(tbl_IBM[[#This Row],[Date]]=$A$5, $F7, EMA_Beta*$H6 + (1-EMA_Beta)*$F7)</f>
        <v>127.03660051</v>
      </c>
      <c r="I7" s="46" t="str">
        <f ca="1">IF(tbl_IBM[[#This Row],[RS]]= "", "", 100-(100/(1+tbl_IBM[[#This Row],[RS]])))</f>
        <v/>
      </c>
      <c r="J7" s="48" t="str">
        <f ca="1">IF(ROW($N7)-4&lt;BB_Periods, "", AVERAGE(INDIRECT(ADDRESS(ROW($F7)-RSI_Periods +1, MATCH("Adj Close", Price_Header,0))): INDIRECT(ADDRESS(ROW($F7),MATCH("Adj Close", Price_Header,0)))))</f>
        <v/>
      </c>
      <c r="K7" s="48" t="str">
        <f ca="1">IF(tbl_IBM[[#This Row],[BB_Mean]]="", "", tbl_IBM[[#This Row],[BB_Mean]]+(BB_Width*tbl_IBM[[#This Row],[BB_Stdev]]))</f>
        <v/>
      </c>
      <c r="L7" s="48" t="str">
        <f ca="1">IF(tbl_IBM[[#This Row],[BB_Mean]]="", "", tbl_IBM[[#This Row],[BB_Mean]]-(BB_Width*tbl_IBM[[#This Row],[BB_Stdev]]))</f>
        <v/>
      </c>
      <c r="M7" s="46">
        <f>IF(ROW(tbl_IBM[[#This Row],[Adj Close]])=5, 0, $F7-$F6)</f>
        <v>-5.0003000000003794E-2</v>
      </c>
      <c r="N7" s="46">
        <f>MAX(tbl_IBM[[#This Row],[Move]],0)</f>
        <v>0</v>
      </c>
      <c r="O7" s="46">
        <f>MAX(-tbl_IBM[[#This Row],[Move]],0)</f>
        <v>5.0003000000003794E-2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IF(tbl_IBM[[#This Row],[Avg_Upmove]]="", "", tbl_IBM[[#This Row],[Avg_Upmove]]/tbl_IBM[[#This Row],[Avg_Downmove]])</f>
        <v/>
      </c>
      <c r="S7" s="48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25">
      <c r="A8" s="8">
        <v>44056</v>
      </c>
      <c r="B8" s="48">
        <v>125.959999</v>
      </c>
      <c r="C8" s="48">
        <v>126.389999</v>
      </c>
      <c r="D8" s="48">
        <v>124.769997</v>
      </c>
      <c r="E8" s="48">
        <v>125.029999</v>
      </c>
      <c r="F8" s="48">
        <v>125.029999</v>
      </c>
      <c r="G8">
        <v>3171300</v>
      </c>
      <c r="H8" s="48">
        <f>IF(tbl_IBM[[#This Row],[Date]]=$A$5, $F8, EMA_Beta*$H7 + (1-EMA_Beta)*$F8)</f>
        <v>126.83594035899999</v>
      </c>
      <c r="I8" s="46" t="str">
        <f ca="1">IF(tbl_IBM[[#This Row],[RS]]= "", "", 100-(100/(1+tbl_IBM[[#This Row],[RS]])))</f>
        <v/>
      </c>
      <c r="J8" s="48" t="str">
        <f ca="1">IF(ROW($N8)-4&lt;BB_Periods, "", AVERAGE(INDIRECT(ADDRESS(ROW($F8)-RSI_Periods +1, MATCH("Adj Close", Price_Header,0))): INDIRECT(ADDRESS(ROW($F8),MATCH("Adj Close", Price_Header,0)))))</f>
        <v/>
      </c>
      <c r="K8" s="48" t="str">
        <f ca="1">IF(tbl_IBM[[#This Row],[BB_Mean]]="", "", tbl_IBM[[#This Row],[BB_Mean]]+(BB_Width*tbl_IBM[[#This Row],[BB_Stdev]]))</f>
        <v/>
      </c>
      <c r="L8" s="48" t="str">
        <f ca="1">IF(tbl_IBM[[#This Row],[BB_Mean]]="", "", tbl_IBM[[#This Row],[BB_Mean]]-(BB_Width*tbl_IBM[[#This Row],[BB_Stdev]]))</f>
        <v/>
      </c>
      <c r="M8" s="46">
        <f>IF(ROW(tbl_IBM[[#This Row],[Adj Close]])=5, 0, $F8-$F7)</f>
        <v>-1.6699979999999925</v>
      </c>
      <c r="N8" s="46">
        <f>MAX(tbl_IBM[[#This Row],[Move]],0)</f>
        <v>0</v>
      </c>
      <c r="O8" s="46">
        <f>MAX(-tbl_IBM[[#This Row],[Move]],0)</f>
        <v>1.6699979999999925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IF(tbl_IBM[[#This Row],[Avg_Upmove]]="", "", tbl_IBM[[#This Row],[Avg_Upmove]]/tbl_IBM[[#This Row],[Avg_Downmove]])</f>
        <v/>
      </c>
      <c r="S8" s="48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25">
      <c r="A9" s="8">
        <v>44057</v>
      </c>
      <c r="B9" s="48">
        <v>124.199997</v>
      </c>
      <c r="C9" s="48">
        <v>125.55999799999999</v>
      </c>
      <c r="D9" s="48">
        <v>123.910004</v>
      </c>
      <c r="E9" s="48">
        <v>125.269997</v>
      </c>
      <c r="F9" s="48">
        <v>125.269997</v>
      </c>
      <c r="G9">
        <v>2963400</v>
      </c>
      <c r="H9" s="48">
        <f>IF(tbl_IBM[[#This Row],[Date]]=$A$5, $F9, EMA_Beta*$H8 + (1-EMA_Beta)*$F9)</f>
        <v>126.67934602309998</v>
      </c>
      <c r="I9" s="46" t="str">
        <f ca="1">IF(tbl_IBM[[#This Row],[RS]]= "", "", 100-(100/(1+tbl_IBM[[#This Row],[RS]])))</f>
        <v/>
      </c>
      <c r="J9" s="48" t="str">
        <f ca="1">IF(ROW($N9)-4&lt;BB_Periods, "", AVERAGE(INDIRECT(ADDRESS(ROW($F9)-RSI_Periods +1, MATCH("Adj Close", Price_Header,0))): INDIRECT(ADDRESS(ROW($F9),MATCH("Adj Close", Price_Header,0)))))</f>
        <v/>
      </c>
      <c r="K9" s="48" t="str">
        <f ca="1">IF(tbl_IBM[[#This Row],[BB_Mean]]="", "", tbl_IBM[[#This Row],[BB_Mean]]+(BB_Width*tbl_IBM[[#This Row],[BB_Stdev]]))</f>
        <v/>
      </c>
      <c r="L9" s="48" t="str">
        <f ca="1">IF(tbl_IBM[[#This Row],[BB_Mean]]="", "", tbl_IBM[[#This Row],[BB_Mean]]-(BB_Width*tbl_IBM[[#This Row],[BB_Stdev]]))</f>
        <v/>
      </c>
      <c r="M9" s="46">
        <f>IF(ROW(tbl_IBM[[#This Row],[Adj Close]])=5, 0, $F9-$F8)</f>
        <v>0.23999799999999993</v>
      </c>
      <c r="N9" s="46">
        <f>MAX(tbl_IBM[[#This Row],[Move]],0)</f>
        <v>0.23999799999999993</v>
      </c>
      <c r="O9" s="46">
        <f>MAX(-tbl_IBM[[#This Row],[Move]],0)</f>
        <v>0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IF(tbl_IBM[[#This Row],[Avg_Upmove]]="", "", tbl_IBM[[#This Row],[Avg_Upmove]]/tbl_IBM[[#This Row],[Avg_Downmove]])</f>
        <v/>
      </c>
      <c r="S9" s="48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25">
      <c r="A10" s="8">
        <v>44060</v>
      </c>
      <c r="B10" s="48">
        <v>125.25</v>
      </c>
      <c r="C10" s="48">
        <v>125.589996</v>
      </c>
      <c r="D10" s="48">
        <v>124.410004</v>
      </c>
      <c r="E10" s="48">
        <v>124.44000200000001</v>
      </c>
      <c r="F10" s="48">
        <v>124.44000200000001</v>
      </c>
      <c r="G10">
        <v>3360100</v>
      </c>
      <c r="H10" s="48">
        <f>IF(tbl_IBM[[#This Row],[Date]]=$A$5, $F10, EMA_Beta*$H9 + (1-EMA_Beta)*$F10)</f>
        <v>126.45541162078999</v>
      </c>
      <c r="I10" s="46" t="str">
        <f ca="1">IF(tbl_IBM[[#This Row],[RS]]= "", "", 100-(100/(1+tbl_IBM[[#This Row],[RS]])))</f>
        <v/>
      </c>
      <c r="J10" s="48" t="str">
        <f ca="1">IF(ROW($N10)-4&lt;BB_Periods, "", AVERAGE(INDIRECT(ADDRESS(ROW($F10)-RSI_Periods +1, MATCH("Adj Close", Price_Header,0))): INDIRECT(ADDRESS(ROW($F10),MATCH("Adj Close", Price_Header,0)))))</f>
        <v/>
      </c>
      <c r="K10" s="48" t="str">
        <f ca="1">IF(tbl_IBM[[#This Row],[BB_Mean]]="", "", tbl_IBM[[#This Row],[BB_Mean]]+(BB_Width*tbl_IBM[[#This Row],[BB_Stdev]]))</f>
        <v/>
      </c>
      <c r="L10" s="48" t="str">
        <f ca="1">IF(tbl_IBM[[#This Row],[BB_Mean]]="", "", tbl_IBM[[#This Row],[BB_Mean]]-(BB_Width*tbl_IBM[[#This Row],[BB_Stdev]]))</f>
        <v/>
      </c>
      <c r="M10" s="46">
        <f>IF(ROW(tbl_IBM[[#This Row],[Adj Close]])=5, 0, $F10-$F9)</f>
        <v>-0.82999499999999671</v>
      </c>
      <c r="N10" s="46">
        <f>MAX(tbl_IBM[[#This Row],[Move]],0)</f>
        <v>0</v>
      </c>
      <c r="O10" s="46">
        <f>MAX(-tbl_IBM[[#This Row],[Move]],0)</f>
        <v>0.82999499999999671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IF(tbl_IBM[[#This Row],[Avg_Upmove]]="", "", tbl_IBM[[#This Row],[Avg_Upmove]]/tbl_IBM[[#This Row],[Avg_Downmove]])</f>
        <v/>
      </c>
      <c r="S10" s="48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25">
      <c r="A11" s="8">
        <v>44061</v>
      </c>
      <c r="B11" s="48">
        <v>125</v>
      </c>
      <c r="C11" s="48">
        <v>125.5</v>
      </c>
      <c r="D11" s="48">
        <v>124.239998</v>
      </c>
      <c r="E11" s="48">
        <v>124.91999800000001</v>
      </c>
      <c r="F11" s="48">
        <v>124.91999800000001</v>
      </c>
      <c r="G11">
        <v>2882400</v>
      </c>
      <c r="H11" s="48">
        <f>IF(tbl_IBM[[#This Row],[Date]]=$A$5, $F11, EMA_Beta*$H10 + (1-EMA_Beta)*$F11)</f>
        <v>126.30187025871099</v>
      </c>
      <c r="I11" s="46" t="str">
        <f ca="1">IF(tbl_IBM[[#This Row],[RS]]= "", "", 100-(100/(1+tbl_IBM[[#This Row],[RS]])))</f>
        <v/>
      </c>
      <c r="J11" s="48" t="str">
        <f ca="1">IF(ROW($N11)-4&lt;BB_Periods, "", AVERAGE(INDIRECT(ADDRESS(ROW($F11)-RSI_Periods +1, MATCH("Adj Close", Price_Header,0))): INDIRECT(ADDRESS(ROW($F11),MATCH("Adj Close", Price_Header,0)))))</f>
        <v/>
      </c>
      <c r="K11" s="48" t="str">
        <f ca="1">IF(tbl_IBM[[#This Row],[BB_Mean]]="", "", tbl_IBM[[#This Row],[BB_Mean]]+(BB_Width*tbl_IBM[[#This Row],[BB_Stdev]]))</f>
        <v/>
      </c>
      <c r="L11" s="48" t="str">
        <f ca="1">IF(tbl_IBM[[#This Row],[BB_Mean]]="", "", tbl_IBM[[#This Row],[BB_Mean]]-(BB_Width*tbl_IBM[[#This Row],[BB_Stdev]]))</f>
        <v/>
      </c>
      <c r="M11" s="46">
        <f>IF(ROW(tbl_IBM[[#This Row],[Adj Close]])=5, 0, $F11-$F10)</f>
        <v>0.47999599999999987</v>
      </c>
      <c r="N11" s="46">
        <f>MAX(tbl_IBM[[#This Row],[Move]],0)</f>
        <v>0.47999599999999987</v>
      </c>
      <c r="O11" s="46">
        <f>MAX(-tbl_IBM[[#This Row],[Move]],0)</f>
        <v>0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IF(tbl_IBM[[#This Row],[Avg_Upmove]]="", "", tbl_IBM[[#This Row],[Avg_Upmove]]/tbl_IBM[[#This Row],[Avg_Downmove]])</f>
        <v/>
      </c>
      <c r="S11" s="48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25">
      <c r="A12" s="8">
        <v>44062</v>
      </c>
      <c r="B12" s="48">
        <v>124.83000199999999</v>
      </c>
      <c r="C12" s="48">
        <v>125.5</v>
      </c>
      <c r="D12" s="48">
        <v>123.5</v>
      </c>
      <c r="E12" s="48">
        <v>123.839996</v>
      </c>
      <c r="F12" s="48">
        <v>123.839996</v>
      </c>
      <c r="G12">
        <v>3743900</v>
      </c>
      <c r="H12" s="48">
        <f>IF(tbl_IBM[[#This Row],[Date]]=$A$5, $F12, EMA_Beta*$H11 + (1-EMA_Beta)*$F12)</f>
        <v>126.05568283283989</v>
      </c>
      <c r="I12" s="46" t="str">
        <f ca="1">IF(tbl_IBM[[#This Row],[RS]]= "", "", 100-(100/(1+tbl_IBM[[#This Row],[RS]])))</f>
        <v/>
      </c>
      <c r="J12" s="48" t="str">
        <f ca="1">IF(ROW($N12)-4&lt;BB_Periods, "", AVERAGE(INDIRECT(ADDRESS(ROW($F12)-RSI_Periods +1, MATCH("Adj Close", Price_Header,0))): INDIRECT(ADDRESS(ROW($F12),MATCH("Adj Close", Price_Header,0)))))</f>
        <v/>
      </c>
      <c r="K12" s="48" t="str">
        <f ca="1">IF(tbl_IBM[[#This Row],[BB_Mean]]="", "", tbl_IBM[[#This Row],[BB_Mean]]+(BB_Width*tbl_IBM[[#This Row],[BB_Stdev]]))</f>
        <v/>
      </c>
      <c r="L12" s="48" t="str">
        <f ca="1">IF(tbl_IBM[[#This Row],[BB_Mean]]="", "", tbl_IBM[[#This Row],[BB_Mean]]-(BB_Width*tbl_IBM[[#This Row],[BB_Stdev]]))</f>
        <v/>
      </c>
      <c r="M12" s="46">
        <f>IF(ROW(tbl_IBM[[#This Row],[Adj Close]])=5, 0, $F12-$F11)</f>
        <v>-1.0800020000000075</v>
      </c>
      <c r="N12" s="46">
        <f>MAX(tbl_IBM[[#This Row],[Move]],0)</f>
        <v>0</v>
      </c>
      <c r="O12" s="46">
        <f>MAX(-tbl_IBM[[#This Row],[Move]],0)</f>
        <v>1.0800020000000075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IF(tbl_IBM[[#This Row],[Avg_Upmove]]="", "", tbl_IBM[[#This Row],[Avg_Upmove]]/tbl_IBM[[#This Row],[Avg_Downmove]])</f>
        <v/>
      </c>
      <c r="S12" s="48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25">
      <c r="A13" s="8">
        <v>44063</v>
      </c>
      <c r="B13" s="48">
        <v>123.199997</v>
      </c>
      <c r="C13" s="48">
        <v>124.040001</v>
      </c>
      <c r="D13" s="48">
        <v>122.80999799999999</v>
      </c>
      <c r="E13" s="48">
        <v>123.150002</v>
      </c>
      <c r="F13" s="48">
        <v>123.150002</v>
      </c>
      <c r="G13">
        <v>2561200</v>
      </c>
      <c r="H13" s="48">
        <f>IF(tbl_IBM[[#This Row],[Date]]=$A$5, $F13, EMA_Beta*$H12 + (1-EMA_Beta)*$F13)</f>
        <v>125.76511474955591</v>
      </c>
      <c r="I13" s="46" t="str">
        <f ca="1">IF(tbl_IBM[[#This Row],[RS]]= "", "", 100-(100/(1+tbl_IBM[[#This Row],[RS]])))</f>
        <v/>
      </c>
      <c r="J13" s="48" t="str">
        <f ca="1">IF(ROW($N13)-4&lt;BB_Periods, "", AVERAGE(INDIRECT(ADDRESS(ROW($F13)-RSI_Periods +1, MATCH("Adj Close", Price_Header,0))): INDIRECT(ADDRESS(ROW($F13),MATCH("Adj Close", Price_Header,0)))))</f>
        <v/>
      </c>
      <c r="K13" s="48" t="str">
        <f ca="1">IF(tbl_IBM[[#This Row],[BB_Mean]]="", "", tbl_IBM[[#This Row],[BB_Mean]]+(BB_Width*tbl_IBM[[#This Row],[BB_Stdev]]))</f>
        <v/>
      </c>
      <c r="L13" s="48" t="str">
        <f ca="1">IF(tbl_IBM[[#This Row],[BB_Mean]]="", "", tbl_IBM[[#This Row],[BB_Mean]]-(BB_Width*tbl_IBM[[#This Row],[BB_Stdev]]))</f>
        <v/>
      </c>
      <c r="M13" s="46">
        <f>IF(ROW(tbl_IBM[[#This Row],[Adj Close]])=5, 0, $F13-$F12)</f>
        <v>-0.68999399999999866</v>
      </c>
      <c r="N13" s="46">
        <f>MAX(tbl_IBM[[#This Row],[Move]],0)</f>
        <v>0</v>
      </c>
      <c r="O13" s="46">
        <f>MAX(-tbl_IBM[[#This Row],[Move]],0)</f>
        <v>0.68999399999999866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IF(tbl_IBM[[#This Row],[Avg_Upmove]]="", "", tbl_IBM[[#This Row],[Avg_Upmove]]/tbl_IBM[[#This Row],[Avg_Downmove]])</f>
        <v/>
      </c>
      <c r="S13" s="48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25">
      <c r="A14" s="8">
        <v>44064</v>
      </c>
      <c r="B14" s="48">
        <v>123.010002</v>
      </c>
      <c r="C14" s="48">
        <v>123.480003</v>
      </c>
      <c r="D14" s="48">
        <v>122.30999799999999</v>
      </c>
      <c r="E14" s="48">
        <v>123.160004</v>
      </c>
      <c r="F14" s="48">
        <v>123.160004</v>
      </c>
      <c r="G14">
        <v>3385100</v>
      </c>
      <c r="H14" s="48">
        <f>IF(tbl_IBM[[#This Row],[Date]]=$A$5, $F14, EMA_Beta*$H13 + (1-EMA_Beta)*$F14)</f>
        <v>125.5046036746003</v>
      </c>
      <c r="I14" s="46" t="str">
        <f ca="1">IF(tbl_IBM[[#This Row],[RS]]= "", "", 100-(100/(1+tbl_IBM[[#This Row],[RS]])))</f>
        <v/>
      </c>
      <c r="J14" s="48" t="str">
        <f ca="1">IF(ROW($N14)-4&lt;BB_Periods, "", AVERAGE(INDIRECT(ADDRESS(ROW($F14)-RSI_Periods +1, MATCH("Adj Close", Price_Header,0))): INDIRECT(ADDRESS(ROW($F14),MATCH("Adj Close", Price_Header,0)))))</f>
        <v/>
      </c>
      <c r="K14" s="48" t="str">
        <f ca="1">IF(tbl_IBM[[#This Row],[BB_Mean]]="", "", tbl_IBM[[#This Row],[BB_Mean]]+(BB_Width*tbl_IBM[[#This Row],[BB_Stdev]]))</f>
        <v/>
      </c>
      <c r="L14" s="48" t="str">
        <f ca="1">IF(tbl_IBM[[#This Row],[BB_Mean]]="", "", tbl_IBM[[#This Row],[BB_Mean]]-(BB_Width*tbl_IBM[[#This Row],[BB_Stdev]]))</f>
        <v/>
      </c>
      <c r="M14" s="46">
        <f>IF(ROW(tbl_IBM[[#This Row],[Adj Close]])=5, 0, $F14-$F13)</f>
        <v>1.0002000000000066E-2</v>
      </c>
      <c r="N14" s="46">
        <f>MAX(tbl_IBM[[#This Row],[Move]],0)</f>
        <v>1.0002000000000066E-2</v>
      </c>
      <c r="O14" s="46">
        <f>MAX(-tbl_IBM[[#This Row],[Move]],0)</f>
        <v>0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IF(tbl_IBM[[#This Row],[Avg_Upmove]]="", "", tbl_IBM[[#This Row],[Avg_Upmove]]/tbl_IBM[[#This Row],[Avg_Downmove]])</f>
        <v/>
      </c>
      <c r="S14" s="48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25">
      <c r="A15" s="8">
        <v>44067</v>
      </c>
      <c r="B15" s="48">
        <v>123.790001</v>
      </c>
      <c r="C15" s="48">
        <v>126.05999799999999</v>
      </c>
      <c r="D15" s="48">
        <v>123.360001</v>
      </c>
      <c r="E15" s="48">
        <v>125.68</v>
      </c>
      <c r="F15" s="48">
        <v>125.68</v>
      </c>
      <c r="G15">
        <v>4070800</v>
      </c>
      <c r="H15" s="48">
        <f>IF(tbl_IBM[[#This Row],[Date]]=$A$5, $F15, EMA_Beta*$H14 + (1-EMA_Beta)*$F15)</f>
        <v>125.52214330714027</v>
      </c>
      <c r="I15" s="46" t="str">
        <f ca="1">IF(tbl_IBM[[#This Row],[RS]]= "", "", 100-(100/(1+tbl_IBM[[#This Row],[RS]])))</f>
        <v/>
      </c>
      <c r="J15" s="48" t="str">
        <f ca="1">IF(ROW($N15)-4&lt;BB_Periods, "", AVERAGE(INDIRECT(ADDRESS(ROW($F15)-RSI_Periods +1, MATCH("Adj Close", Price_Header,0))): INDIRECT(ADDRESS(ROW($F15),MATCH("Adj Close", Price_Header,0)))))</f>
        <v/>
      </c>
      <c r="K15" s="48" t="str">
        <f ca="1">IF(tbl_IBM[[#This Row],[BB_Mean]]="", "", tbl_IBM[[#This Row],[BB_Mean]]+(BB_Width*tbl_IBM[[#This Row],[BB_Stdev]]))</f>
        <v/>
      </c>
      <c r="L15" s="48" t="str">
        <f ca="1">IF(tbl_IBM[[#This Row],[BB_Mean]]="", "", tbl_IBM[[#This Row],[BB_Mean]]-(BB_Width*tbl_IBM[[#This Row],[BB_Stdev]]))</f>
        <v/>
      </c>
      <c r="M15" s="46">
        <f>IF(ROW(tbl_IBM[[#This Row],[Adj Close]])=5, 0, $F15-$F14)</f>
        <v>2.5199960000000061</v>
      </c>
      <c r="N15" s="46">
        <f>MAX(tbl_IBM[[#This Row],[Move]],0)</f>
        <v>2.5199960000000061</v>
      </c>
      <c r="O15" s="46">
        <f>MAX(-tbl_IBM[[#This Row],[Move]],0)</f>
        <v>0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IF(tbl_IBM[[#This Row],[Avg_Upmove]]="", "", tbl_IBM[[#This Row],[Avg_Upmove]]/tbl_IBM[[#This Row],[Avg_Downmove]])</f>
        <v/>
      </c>
      <c r="S15" s="48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25">
      <c r="A16" s="8">
        <v>44068</v>
      </c>
      <c r="B16" s="48">
        <v>126</v>
      </c>
      <c r="C16" s="48">
        <v>126.82</v>
      </c>
      <c r="D16" s="48">
        <v>124.489998</v>
      </c>
      <c r="E16" s="48">
        <v>124.639999</v>
      </c>
      <c r="F16" s="48">
        <v>124.639999</v>
      </c>
      <c r="G16">
        <v>2977700</v>
      </c>
      <c r="H16" s="48">
        <f>IF(tbl_IBM[[#This Row],[Date]]=$A$5, $F16, EMA_Beta*$H15 + (1-EMA_Beta)*$F16)</f>
        <v>125.43392887642625</v>
      </c>
      <c r="I16" s="46" t="str">
        <f ca="1">IF(tbl_IBM[[#This Row],[RS]]= "", "", 100-(100/(1+tbl_IBM[[#This Row],[RS]])))</f>
        <v/>
      </c>
      <c r="J16" s="48" t="str">
        <f ca="1">IF(ROW($N16)-4&lt;BB_Periods, "", AVERAGE(INDIRECT(ADDRESS(ROW($F16)-RSI_Periods +1, MATCH("Adj Close", Price_Header,0))): INDIRECT(ADDRESS(ROW($F16),MATCH("Adj Close", Price_Header,0)))))</f>
        <v/>
      </c>
      <c r="K16" s="48" t="str">
        <f ca="1">IF(tbl_IBM[[#This Row],[BB_Mean]]="", "", tbl_IBM[[#This Row],[BB_Mean]]+(BB_Width*tbl_IBM[[#This Row],[BB_Stdev]]))</f>
        <v/>
      </c>
      <c r="L16" s="48" t="str">
        <f ca="1">IF(tbl_IBM[[#This Row],[BB_Mean]]="", "", tbl_IBM[[#This Row],[BB_Mean]]-(BB_Width*tbl_IBM[[#This Row],[BB_Stdev]]))</f>
        <v/>
      </c>
      <c r="M16" s="46">
        <f>IF(ROW(tbl_IBM[[#This Row],[Adj Close]])=5, 0, $F16-$F15)</f>
        <v>-1.0400010000000037</v>
      </c>
      <c r="N16" s="46">
        <f>MAX(tbl_IBM[[#This Row],[Move]],0)</f>
        <v>0</v>
      </c>
      <c r="O16" s="46">
        <f>MAX(-tbl_IBM[[#This Row],[Move]],0)</f>
        <v>1.0400010000000037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IF(tbl_IBM[[#This Row],[Avg_Upmove]]="", "", tbl_IBM[[#This Row],[Avg_Upmove]]/tbl_IBM[[#This Row],[Avg_Downmove]])</f>
        <v/>
      </c>
      <c r="S16" s="48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25">
      <c r="A17" s="8">
        <v>44069</v>
      </c>
      <c r="B17" s="48">
        <v>124.949997</v>
      </c>
      <c r="C17" s="48">
        <v>125.120003</v>
      </c>
      <c r="D17" s="48">
        <v>123.949997</v>
      </c>
      <c r="E17" s="48">
        <v>124.16999800000001</v>
      </c>
      <c r="F17" s="48">
        <v>124.16999800000001</v>
      </c>
      <c r="G17">
        <v>3388300</v>
      </c>
      <c r="H17" s="48">
        <f>IF(tbl_IBM[[#This Row],[Date]]=$A$5, $F17, EMA_Beta*$H16 + (1-EMA_Beta)*$F17)</f>
        <v>125.30753578878362</v>
      </c>
      <c r="I17" s="46" t="str">
        <f ca="1">IF(tbl_IBM[[#This Row],[RS]]= "", "", 100-(100/(1+tbl_IBM[[#This Row],[RS]])))</f>
        <v/>
      </c>
      <c r="J17" s="48" t="str">
        <f ca="1">IF(ROW($N17)-4&lt;BB_Periods, "", AVERAGE(INDIRECT(ADDRESS(ROW($F17)-RSI_Periods +1, MATCH("Adj Close", Price_Header,0))): INDIRECT(ADDRESS(ROW($F17),MATCH("Adj Close", Price_Header,0)))))</f>
        <v/>
      </c>
      <c r="K17" s="48" t="str">
        <f ca="1">IF(tbl_IBM[[#This Row],[BB_Mean]]="", "", tbl_IBM[[#This Row],[BB_Mean]]+(BB_Width*tbl_IBM[[#This Row],[BB_Stdev]]))</f>
        <v/>
      </c>
      <c r="L17" s="48" t="str">
        <f ca="1">IF(tbl_IBM[[#This Row],[BB_Mean]]="", "", tbl_IBM[[#This Row],[BB_Mean]]-(BB_Width*tbl_IBM[[#This Row],[BB_Stdev]]))</f>
        <v/>
      </c>
      <c r="M17" s="46">
        <f>IF(ROW(tbl_IBM[[#This Row],[Adj Close]])=5, 0, $F17-$F16)</f>
        <v>-0.47000099999999634</v>
      </c>
      <c r="N17" s="46">
        <f>MAX(tbl_IBM[[#This Row],[Move]],0)</f>
        <v>0</v>
      </c>
      <c r="O17" s="46">
        <f>MAX(-tbl_IBM[[#This Row],[Move]],0)</f>
        <v>0.47000099999999634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IF(tbl_IBM[[#This Row],[Avg_Upmove]]="", "", tbl_IBM[[#This Row],[Avg_Upmove]]/tbl_IBM[[#This Row],[Avg_Downmove]])</f>
        <v/>
      </c>
      <c r="S17" s="48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25">
      <c r="A18" s="8">
        <v>44070</v>
      </c>
      <c r="B18" s="48">
        <v>124.599998</v>
      </c>
      <c r="C18" s="48">
        <v>125.099998</v>
      </c>
      <c r="D18" s="48">
        <v>123.980003</v>
      </c>
      <c r="E18" s="48">
        <v>124.650002</v>
      </c>
      <c r="F18" s="48">
        <v>124.650002</v>
      </c>
      <c r="G18">
        <v>3422700</v>
      </c>
      <c r="H18" s="48">
        <f>IF(tbl_IBM[[#This Row],[Date]]=$A$5, $F18, EMA_Beta*$H17 + (1-EMA_Beta)*$F18)</f>
        <v>125.24178240990526</v>
      </c>
      <c r="I18" s="46" t="str">
        <f ca="1">IF(tbl_IBM[[#This Row],[RS]]= "", "", 100-(100/(1+tbl_IBM[[#This Row],[RS]])))</f>
        <v/>
      </c>
      <c r="J18" s="48">
        <f ca="1">IF(ROW($N18)-4&lt;BB_Periods, "", AVERAGE(INDIRECT(ADDRESS(ROW($F18)-RSI_Periods +1, MATCH("Adj Close", Price_Header,0))): INDIRECT(ADDRESS(ROW($F18),MATCH("Adj Close", Price_Header,0)))))</f>
        <v>124.96499964285717</v>
      </c>
      <c r="K18" s="48">
        <f ca="1">IF(tbl_IBM[[#This Row],[BB_Mean]]="", "", tbl_IBM[[#This Row],[BB_Mean]]+(BB_Width*tbl_IBM[[#This Row],[BB_Stdev]]))</f>
        <v>127.4665886683227</v>
      </c>
      <c r="L18" s="48">
        <f ca="1">IF(tbl_IBM[[#This Row],[BB_Mean]]="", "", tbl_IBM[[#This Row],[BB_Mean]]-(BB_Width*tbl_IBM[[#This Row],[BB_Stdev]]))</f>
        <v>122.46341061739163</v>
      </c>
      <c r="M18" s="46">
        <f>IF(ROW(tbl_IBM[[#This Row],[Adj Close]])=5, 0, $F18-$F17)</f>
        <v>0.48000399999999388</v>
      </c>
      <c r="N18" s="46">
        <f>MAX(tbl_IBM[[#This Row],[Move]],0)</f>
        <v>0.48000399999999388</v>
      </c>
      <c r="O18" s="46">
        <f>MAX(-tbl_IBM[[#This Row],[Move]],0)</f>
        <v>0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IF(tbl_IBM[[#This Row],[Avg_Upmove]]="", "", tbl_IBM[[#This Row],[Avg_Upmove]]/tbl_IBM[[#This Row],[Avg_Downmove]])</f>
        <v/>
      </c>
      <c r="S18" s="48">
        <f ca="1">IF(ROW($N18)-4&lt;BB_Periods, "", _xlfn.STDEV.S(INDIRECT(ADDRESS(ROW($F18)-RSI_Periods +1, MATCH("Adj Close", Price_Header,0))): INDIRECT(ADDRESS(ROW($F18),MATCH("Adj Close", Price_Header,0)))))</f>
        <v>1.2507945127327662</v>
      </c>
    </row>
    <row r="19" spans="1:19" x14ac:dyDescent="0.25">
      <c r="A19" s="8">
        <v>44071</v>
      </c>
      <c r="B19" s="48">
        <v>124.959999</v>
      </c>
      <c r="C19" s="48">
        <v>125.300003</v>
      </c>
      <c r="D19" s="48">
        <v>124.220001</v>
      </c>
      <c r="E19" s="48">
        <v>125.07</v>
      </c>
      <c r="F19" s="48">
        <v>125.07</v>
      </c>
      <c r="G19">
        <v>3099600</v>
      </c>
      <c r="H19" s="48">
        <f>IF(tbl_IBM[[#This Row],[Date]]=$A$5, $F19, EMA_Beta*$H18 + (1-EMA_Beta)*$F19)</f>
        <v>125.22460416891472</v>
      </c>
      <c r="I19" s="46">
        <f ca="1">IF(tbl_IBM[[#This Row],[RS]]= "", "", 100-(100/(1+tbl_IBM[[#This Row],[RS]])))</f>
        <v>40.135381188509939</v>
      </c>
      <c r="J19" s="48">
        <f ca="1">IF(ROW($N19)-4&lt;BB_Periods, "", AVERAGE(INDIRECT(ADDRESS(ROW($F19)-RSI_Periods +1, MATCH("Adj Close", Price_Header,0))): INDIRECT(ADDRESS(ROW($F19),MATCH("Adj Close", Price_Header,0)))))</f>
        <v>124.8192852857143</v>
      </c>
      <c r="K19" s="48">
        <f ca="1">IF(tbl_IBM[[#This Row],[BB_Mean]]="", "", tbl_IBM[[#This Row],[BB_Mean]]+(BB_Width*tbl_IBM[[#This Row],[BB_Stdev]]))</f>
        <v>126.99969221235337</v>
      </c>
      <c r="L19" s="48">
        <f ca="1">IF(tbl_IBM[[#This Row],[BB_Mean]]="", "", tbl_IBM[[#This Row],[BB_Mean]]-(BB_Width*tbl_IBM[[#This Row],[BB_Stdev]]))</f>
        <v>122.63887835907524</v>
      </c>
      <c r="M19" s="46">
        <f>IF(ROW(tbl_IBM[[#This Row],[Adj Close]])=5, 0, $F19-$F18)</f>
        <v>0.41999799999999254</v>
      </c>
      <c r="N19" s="46">
        <f>MAX(tbl_IBM[[#This Row],[Move]],0)</f>
        <v>0.41999799999999254</v>
      </c>
      <c r="O19" s="46">
        <f>MAX(-tbl_IBM[[#This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0.29642814285714231</v>
      </c>
      <c r="Q19" s="46">
        <f ca="1">IF(ROW($O19)-5&lt;RSI_Periods, "", AVERAGE(INDIRECT(ADDRESS(ROW($O19)-RSI_Periods +1, MATCH("Downmove", Price_Header,0))): INDIRECT(ADDRESS(ROW($O19),MATCH("Downmove", Price_Header,0)))))</f>
        <v>0.44214249999999972</v>
      </c>
      <c r="R19" s="46">
        <f ca="1">IF(tbl_IBM[[#This Row],[Avg_Upmove]]="", "", tbl_IBM[[#This Row],[Avg_Upmove]]/tbl_IBM[[#This Row],[Avg_Downmove]])</f>
        <v>0.67043575964116209</v>
      </c>
      <c r="S19" s="48">
        <f ca="1">IF(ROW($N19)-4&lt;BB_Periods, "", _xlfn.STDEV.S(INDIRECT(ADDRESS(ROW($F19)-RSI_Periods +1, MATCH("Adj Close", Price_Header,0))): INDIRECT(ADDRESS(ROW($F19),MATCH("Adj Close", Price_Header,0)))))</f>
        <v>1.0902034633195359</v>
      </c>
    </row>
    <row r="20" spans="1:19" x14ac:dyDescent="0.25">
      <c r="A20" s="8">
        <v>44074</v>
      </c>
      <c r="B20" s="48">
        <v>125.25</v>
      </c>
      <c r="C20" s="48">
        <v>125.25</v>
      </c>
      <c r="D20" s="48">
        <v>123.029999</v>
      </c>
      <c r="E20" s="48">
        <v>123.30999799999999</v>
      </c>
      <c r="F20" s="48">
        <v>123.30999799999999</v>
      </c>
      <c r="G20">
        <v>4827900</v>
      </c>
      <c r="H20" s="48">
        <f>IF(tbl_IBM[[#This Row],[Date]]=$A$5, $F20, EMA_Beta*$H19 + (1-EMA_Beta)*$F20)</f>
        <v>125.03314355202325</v>
      </c>
      <c r="I20" s="46">
        <f ca="1">IF(tbl_IBM[[#This Row],[RS]]= "", "", 100-(100/(1+tbl_IBM[[#This Row],[RS]])))</f>
        <v>35.349212392855492</v>
      </c>
      <c r="J20" s="48">
        <f ca="1">IF(ROW($N20)-4&lt;BB_Periods, "", AVERAGE(INDIRECT(ADDRESS(ROW($F20)-RSI_Periods +1, MATCH("Adj Close", Price_Header,0))): INDIRECT(ADDRESS(ROW($F20),MATCH("Adj Close", Price_Header,0)))))</f>
        <v>124.57357085714285</v>
      </c>
      <c r="K20" s="48">
        <f ca="1">IF(tbl_IBM[[#This Row],[BB_Mean]]="", "", tbl_IBM[[#This Row],[BB_Mean]]+(BB_Width*tbl_IBM[[#This Row],[BB_Stdev]]))</f>
        <v>126.58554251666078</v>
      </c>
      <c r="L20" s="48">
        <f ca="1">IF(tbl_IBM[[#This Row],[BB_Mean]]="", "", tbl_IBM[[#This Row],[BB_Mean]]-(BB_Width*tbl_IBM[[#This Row],[BB_Stdev]]))</f>
        <v>122.56159919762493</v>
      </c>
      <c r="M20" s="46">
        <f>IF(ROW(tbl_IBM[[#This Row],[Adj Close]])=5, 0, $F20-$F19)</f>
        <v>-1.7600020000000001</v>
      </c>
      <c r="N20" s="46">
        <f>MAX(tbl_IBM[[#This Row],[Move]],0)</f>
        <v>0</v>
      </c>
      <c r="O20" s="46">
        <f>MAX(-tbl_IBM[[#This Row],[Move]],0)</f>
        <v>1.7600020000000001</v>
      </c>
      <c r="P20" s="46">
        <f ca="1">IF(ROW($N20)-5&lt;RSI_Periods, "", AVERAGE(INDIRECT(ADDRESS(ROW($N20)-RSI_Periods +1, MATCH("Upmove", Price_Header,0))): INDIRECT(ADDRESS(ROW($N20),MATCH("Upmove", Price_Header,0)))))</f>
        <v>0.29642814285714231</v>
      </c>
      <c r="Q20" s="46">
        <f ca="1">IF(ROW($O20)-5&lt;RSI_Periods, "", AVERAGE(INDIRECT(ADDRESS(ROW($O20)-RSI_Periods +1, MATCH("Downmove", Price_Header,0))): INDIRECT(ADDRESS(ROW($O20),MATCH("Downmove", Price_Header,0)))))</f>
        <v>0.54214257142857136</v>
      </c>
      <c r="R20" s="46">
        <f ca="1">IF(tbl_IBM[[#This Row],[Avg_Upmove]]="", "", tbl_IBM[[#This Row],[Avg_Upmove]]/tbl_IBM[[#This Row],[Avg_Downmove]])</f>
        <v>0.54677156615102207</v>
      </c>
      <c r="S20" s="48">
        <f ca="1">IF(ROW($N20)-4&lt;BB_Periods, "", _xlfn.STDEV.S(INDIRECT(ADDRESS(ROW($F20)-RSI_Periods +1, MATCH("Adj Close", Price_Header,0))): INDIRECT(ADDRESS(ROW($F20),MATCH("Adj Close", Price_Header,0)))))</f>
        <v>1.005985829758961</v>
      </c>
    </row>
    <row r="21" spans="1:19" x14ac:dyDescent="0.25">
      <c r="A21" s="8">
        <v>44075</v>
      </c>
      <c r="B21" s="48">
        <v>122.849998</v>
      </c>
      <c r="C21" s="48">
        <v>123.949997</v>
      </c>
      <c r="D21" s="48">
        <v>122.150002</v>
      </c>
      <c r="E21" s="48">
        <v>123.400002</v>
      </c>
      <c r="F21" s="48">
        <v>123.400002</v>
      </c>
      <c r="G21">
        <v>3155300</v>
      </c>
      <c r="H21" s="48">
        <f>IF(tbl_IBM[[#This Row],[Date]]=$A$5, $F21, EMA_Beta*$H20 + (1-EMA_Beta)*$F21)</f>
        <v>124.86982939682092</v>
      </c>
      <c r="I21" s="46">
        <f ca="1">IF(tbl_IBM[[#This Row],[RS]]= "", "", 100-(100/(1+tbl_IBM[[#This Row],[RS]])))</f>
        <v>35.993219349658261</v>
      </c>
      <c r="J21" s="48">
        <f ca="1">IF(ROW($N21)-4&lt;BB_Periods, "", AVERAGE(INDIRECT(ADDRESS(ROW($F21)-RSI_Periods +1, MATCH("Adj Close", Price_Header,0))): INDIRECT(ADDRESS(ROW($F21),MATCH("Adj Close", Price_Header,0)))))</f>
        <v>124.33785692857144</v>
      </c>
      <c r="K21" s="48">
        <f ca="1">IF(tbl_IBM[[#This Row],[BB_Mean]]="", "", tbl_IBM[[#This Row],[BB_Mean]]+(BB_Width*tbl_IBM[[#This Row],[BB_Stdev]]))</f>
        <v>126.02343542333212</v>
      </c>
      <c r="L21" s="48">
        <f ca="1">IF(tbl_IBM[[#This Row],[BB_Mean]]="", "", tbl_IBM[[#This Row],[BB_Mean]]-(BB_Width*tbl_IBM[[#This Row],[BB_Stdev]]))</f>
        <v>122.65227843381076</v>
      </c>
      <c r="M21" s="46">
        <f>IF(ROW(tbl_IBM[[#This Row],[Adj Close]])=5, 0, $F21-$F20)</f>
        <v>9.0004000000007522E-2</v>
      </c>
      <c r="N21" s="46">
        <f>MAX(tbl_IBM[[#This Row],[Move]],0)</f>
        <v>9.0004000000007522E-2</v>
      </c>
      <c r="O21" s="46">
        <f>MAX(-tbl_IBM[[#This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0.30285699999999999</v>
      </c>
      <c r="Q21" s="46">
        <f ca="1">IF(ROW($O21)-5&lt;RSI_Periods, "", AVERAGE(INDIRECT(ADDRESS(ROW($O21)-RSI_Periods +1, MATCH("Downmove", Price_Header,0))): INDIRECT(ADDRESS(ROW($O21),MATCH("Downmove", Price_Header,0)))))</f>
        <v>0.5385709285714283</v>
      </c>
      <c r="R21" s="46">
        <f ca="1">IF(tbl_IBM[[#This Row],[Avg_Upmove]]="", "", tbl_IBM[[#This Row],[Avg_Upmove]]/tbl_IBM[[#This Row],[Avg_Downmove]])</f>
        <v>0.56233447431582517</v>
      </c>
      <c r="S21" s="48">
        <f ca="1">IF(ROW($N21)-4&lt;BB_Periods, "", _xlfn.STDEV.S(INDIRECT(ADDRESS(ROW($F21)-RSI_Periods +1, MATCH("Adj Close", Price_Header,0))): INDIRECT(ADDRESS(ROW($F21),MATCH("Adj Close", Price_Header,0)))))</f>
        <v>0.84278924738034044</v>
      </c>
    </row>
    <row r="22" spans="1:19" x14ac:dyDescent="0.25">
      <c r="A22" s="8">
        <v>44076</v>
      </c>
      <c r="B22" s="48">
        <v>123.720001</v>
      </c>
      <c r="C22" s="48">
        <v>128.699997</v>
      </c>
      <c r="D22" s="48">
        <v>123.58000199999999</v>
      </c>
      <c r="E22" s="48">
        <v>128.179993</v>
      </c>
      <c r="F22" s="48">
        <v>128.179993</v>
      </c>
      <c r="G22">
        <v>6592400</v>
      </c>
      <c r="H22" s="48">
        <f>IF(tbl_IBM[[#This Row],[Date]]=$A$5, $F22, EMA_Beta*$H21 + (1-EMA_Beta)*$F22)</f>
        <v>125.20084575713882</v>
      </c>
      <c r="I22" s="46">
        <f ca="1">IF(tbl_IBM[[#This Row],[RS]]= "", "", 100-(100/(1+tbl_IBM[[#This Row],[RS]])))</f>
        <v>60.577560056478212</v>
      </c>
      <c r="J22" s="48">
        <f ca="1">IF(ROW($N22)-4&lt;BB_Periods, "", AVERAGE(INDIRECT(ADDRESS(ROW($F22)-RSI_Periods +1, MATCH("Adj Close", Price_Header,0))): INDIRECT(ADDRESS(ROW($F22),MATCH("Adj Close", Price_Header,0)))))</f>
        <v>124.5628565</v>
      </c>
      <c r="K22" s="48">
        <f ca="1">IF(tbl_IBM[[#This Row],[BB_Mean]]="", "", tbl_IBM[[#This Row],[BB_Mean]]+(BB_Width*tbl_IBM[[#This Row],[BB_Stdev]]))</f>
        <v>127.21197942863579</v>
      </c>
      <c r="L22" s="48">
        <f ca="1">IF(tbl_IBM[[#This Row],[BB_Mean]]="", "", tbl_IBM[[#This Row],[BB_Mean]]-(BB_Width*tbl_IBM[[#This Row],[BB_Stdev]]))</f>
        <v>121.9137335713642</v>
      </c>
      <c r="M22" s="46">
        <f>IF(ROW(tbl_IBM[[#This Row],[Adj Close]])=5, 0, $F22-$F21)</f>
        <v>4.7799909999999954</v>
      </c>
      <c r="N22" s="46">
        <f>MAX(tbl_IBM[[#This Row],[Move]],0)</f>
        <v>4.7799909999999954</v>
      </c>
      <c r="O22" s="46">
        <f>MAX(-tbl_IBM[[#This Row],[Move]],0)</f>
        <v>0</v>
      </c>
      <c r="P22" s="46">
        <f ca="1">IF(ROW($N22)-5&lt;RSI_Periods, "", AVERAGE(INDIRECT(ADDRESS(ROW($N22)-RSI_Periods +1, MATCH("Upmove", Price_Header,0))): INDIRECT(ADDRESS(ROW($N22),MATCH("Upmove", Price_Header,0)))))</f>
        <v>0.64428492857142827</v>
      </c>
      <c r="Q22" s="46">
        <f ca="1">IF(ROW($O22)-5&lt;RSI_Periods, "", AVERAGE(INDIRECT(ADDRESS(ROW($O22)-RSI_Periods +1, MATCH("Downmove", Price_Header,0))): INDIRECT(ADDRESS(ROW($O22),MATCH("Downmove", Price_Header,0)))))</f>
        <v>0.41928535714285736</v>
      </c>
      <c r="R22" s="46">
        <f ca="1">IF(tbl_IBM[[#This Row],[Avg_Upmove]]="", "", tbl_IBM[[#This Row],[Avg_Upmove]]/tbl_IBM[[#This Row],[Avg_Downmove]])</f>
        <v>1.5366263514704852</v>
      </c>
      <c r="S22" s="48">
        <f ca="1">IF(ROW($N22)-4&lt;BB_Periods, "", _xlfn.STDEV.S(INDIRECT(ADDRESS(ROW($F22)-RSI_Periods +1, MATCH("Adj Close", Price_Header,0))): INDIRECT(ADDRESS(ROW($F22),MATCH("Adj Close", Price_Header,0)))))</f>
        <v>1.3245614643178931</v>
      </c>
    </row>
    <row r="23" spans="1:19" x14ac:dyDescent="0.25">
      <c r="A23" s="8">
        <v>44077</v>
      </c>
      <c r="B23" s="48">
        <v>128.19000199999999</v>
      </c>
      <c r="C23" s="48">
        <v>129.949997</v>
      </c>
      <c r="D23" s="48">
        <v>123.650002</v>
      </c>
      <c r="E23" s="48">
        <v>124.449997</v>
      </c>
      <c r="F23" s="48">
        <v>124.449997</v>
      </c>
      <c r="G23">
        <v>5716800</v>
      </c>
      <c r="H23" s="48">
        <f>IF(tbl_IBM[[#This Row],[Date]]=$A$5, $F23, EMA_Beta*$H22 + (1-EMA_Beta)*$F23)</f>
        <v>125.12576088142494</v>
      </c>
      <c r="I23" s="46">
        <f ca="1">IF(tbl_IBM[[#This Row],[RS]]= "", "", 100-(100/(1+tbl_IBM[[#This Row],[RS]])))</f>
        <v>47.769312287683391</v>
      </c>
      <c r="J23" s="48">
        <f ca="1">IF(ROW($N23)-4&lt;BB_Periods, "", AVERAGE(INDIRECT(ADDRESS(ROW($F23)-RSI_Periods +1, MATCH("Adj Close", Price_Header,0))): INDIRECT(ADDRESS(ROW($F23),MATCH("Adj Close", Price_Header,0)))))</f>
        <v>124.50428507142855</v>
      </c>
      <c r="K23" s="48">
        <f ca="1">IF(tbl_IBM[[#This Row],[BB_Mean]]="", "", tbl_IBM[[#This Row],[BB_Mean]]+(BB_Width*tbl_IBM[[#This Row],[BB_Stdev]]))</f>
        <v>127.12213392141084</v>
      </c>
      <c r="L23" s="48">
        <f ca="1">IF(tbl_IBM[[#This Row],[BB_Mean]]="", "", tbl_IBM[[#This Row],[BB_Mean]]-(BB_Width*tbl_IBM[[#This Row],[BB_Stdev]]))</f>
        <v>121.88643622144627</v>
      </c>
      <c r="M23" s="46">
        <f>IF(ROW(tbl_IBM[[#This Row],[Adj Close]])=5, 0, $F23-$F22)</f>
        <v>-3.7299959999999999</v>
      </c>
      <c r="N23" s="46">
        <f>MAX(tbl_IBM[[#This Row],[Move]],0)</f>
        <v>0</v>
      </c>
      <c r="O23" s="46">
        <f>MAX(-tbl_IBM[[#This Row],[Move]],0)</f>
        <v>3.7299959999999999</v>
      </c>
      <c r="P23" s="46">
        <f ca="1">IF(ROW($N23)-5&lt;RSI_Periods, "", AVERAGE(INDIRECT(ADDRESS(ROW($N23)-RSI_Periods +1, MATCH("Upmove", Price_Header,0))): INDIRECT(ADDRESS(ROW($N23),MATCH("Upmove", Price_Header,0)))))</f>
        <v>0.62714221428571393</v>
      </c>
      <c r="Q23" s="46">
        <f ca="1">IF(ROW($O23)-5&lt;RSI_Periods, "", AVERAGE(INDIRECT(ADDRESS(ROW($O23)-RSI_Periods +1, MATCH("Downmove", Price_Header,0))): INDIRECT(ADDRESS(ROW($O23),MATCH("Downmove", Price_Header,0)))))</f>
        <v>0.68571364285714309</v>
      </c>
      <c r="R23" s="46">
        <f ca="1">IF(tbl_IBM[[#This Row],[Avg_Upmove]]="", "", tbl_IBM[[#This Row],[Avg_Upmove]]/tbl_IBM[[#This Row],[Avg_Downmove]])</f>
        <v>0.91458325325513246</v>
      </c>
      <c r="S23" s="48">
        <f ca="1">IF(ROW($N23)-4&lt;BB_Periods, "", _xlfn.STDEV.S(INDIRECT(ADDRESS(ROW($F23)-RSI_Periods +1, MATCH("Adj Close", Price_Header,0))): INDIRECT(ADDRESS(ROW($F23),MATCH("Adj Close", Price_Header,0)))))</f>
        <v>1.3089244249911369</v>
      </c>
    </row>
    <row r="24" spans="1:19" x14ac:dyDescent="0.25">
      <c r="A24" s="8">
        <v>44078</v>
      </c>
      <c r="B24" s="48">
        <v>124.349998</v>
      </c>
      <c r="C24" s="48">
        <v>125.349998</v>
      </c>
      <c r="D24" s="48">
        <v>121.239998</v>
      </c>
      <c r="E24" s="48">
        <v>122.300003</v>
      </c>
      <c r="F24" s="48">
        <v>122.300003</v>
      </c>
      <c r="G24">
        <v>6018200</v>
      </c>
      <c r="H24" s="48">
        <f>IF(tbl_IBM[[#This Row],[Date]]=$A$5, $F24, EMA_Beta*$H23 + (1-EMA_Beta)*$F24)</f>
        <v>124.84318509328244</v>
      </c>
      <c r="I24" s="46">
        <f ca="1">IF(tbl_IBM[[#This Row],[RS]]= "", "", 100-(100/(1+tbl_IBM[[#This Row],[RS]])))</f>
        <v>44.568525218374567</v>
      </c>
      <c r="J24" s="48">
        <f ca="1">IF(ROW($N24)-4&lt;BB_Periods, "", AVERAGE(INDIRECT(ADDRESS(ROW($F24)-RSI_Periods +1, MATCH("Adj Close", Price_Header,0))): INDIRECT(ADDRESS(ROW($F24),MATCH("Adj Close", Price_Header,0)))))</f>
        <v>124.35142799999998</v>
      </c>
      <c r="K24" s="48">
        <f ca="1">IF(tbl_IBM[[#This Row],[BB_Mean]]="", "", tbl_IBM[[#This Row],[BB_Mean]]+(BB_Width*tbl_IBM[[#This Row],[BB_Stdev]]))</f>
        <v>127.22305547270858</v>
      </c>
      <c r="L24" s="48">
        <f ca="1">IF(tbl_IBM[[#This Row],[BB_Mean]]="", "", tbl_IBM[[#This Row],[BB_Mean]]-(BB_Width*tbl_IBM[[#This Row],[BB_Stdev]]))</f>
        <v>121.47980052729139</v>
      </c>
      <c r="M24" s="46">
        <f>IF(ROW(tbl_IBM[[#This Row],[Adj Close]])=5, 0, $F24-$F23)</f>
        <v>-2.1499939999999924</v>
      </c>
      <c r="N24" s="46">
        <f>MAX(tbl_IBM[[#This Row],[Move]],0)</f>
        <v>0</v>
      </c>
      <c r="O24" s="46">
        <f>MAX(-tbl_IBM[[#This Row],[Move]],0)</f>
        <v>2.1499939999999924</v>
      </c>
      <c r="P24" s="46">
        <f ca="1">IF(ROW($N24)-5&lt;RSI_Periods, "", AVERAGE(INDIRECT(ADDRESS(ROW($N24)-RSI_Periods +1, MATCH("Upmove", Price_Header,0))): INDIRECT(ADDRESS(ROW($N24),MATCH("Upmove", Price_Header,0)))))</f>
        <v>0.62714221428571393</v>
      </c>
      <c r="Q24" s="46">
        <f ca="1">IF(ROW($O24)-5&lt;RSI_Periods, "", AVERAGE(INDIRECT(ADDRESS(ROW($O24)-RSI_Periods +1, MATCH("Downmove", Price_Header,0))): INDIRECT(ADDRESS(ROW($O24),MATCH("Downmove", Price_Header,0)))))</f>
        <v>0.77999928571428556</v>
      </c>
      <c r="R24" s="46">
        <f ca="1">IF(tbl_IBM[[#This Row],[Avg_Upmove]]="", "", tbl_IBM[[#This Row],[Avg_Upmove]]/tbl_IBM[[#This Row],[Avg_Downmove]])</f>
        <v>0.80402921614397049</v>
      </c>
      <c r="S24" s="48">
        <f ca="1">IF(ROW($N24)-4&lt;BB_Periods, "", _xlfn.STDEV.S(INDIRECT(ADDRESS(ROW($F24)-RSI_Periods +1, MATCH("Adj Close", Price_Header,0))): INDIRECT(ADDRESS(ROW($F24),MATCH("Adj Close", Price_Header,0)))))</f>
        <v>1.4358137363542984</v>
      </c>
    </row>
    <row r="25" spans="1:19" x14ac:dyDescent="0.25">
      <c r="A25" s="8">
        <v>44082</v>
      </c>
      <c r="B25" s="48">
        <v>122.160004</v>
      </c>
      <c r="C25" s="48">
        <v>122.870003</v>
      </c>
      <c r="D25" s="48">
        <v>120.709999</v>
      </c>
      <c r="E25" s="48">
        <v>121.209999</v>
      </c>
      <c r="F25" s="48">
        <v>121.209999</v>
      </c>
      <c r="G25">
        <v>5210300</v>
      </c>
      <c r="H25" s="48">
        <f>IF(tbl_IBM[[#This Row],[Date]]=$A$5, $F25, EMA_Beta*$H24 + (1-EMA_Beta)*$F25)</f>
        <v>124.4798664839542</v>
      </c>
      <c r="I25" s="46">
        <f ca="1">IF(tbl_IBM[[#This Row],[RS]]= "", "", 100-(100/(1+tbl_IBM[[#This Row],[RS]])))</f>
        <v>40.86656570813502</v>
      </c>
      <c r="J25" s="48">
        <f ca="1">IF(ROW($N25)-4&lt;BB_Periods, "", AVERAGE(INDIRECT(ADDRESS(ROW($F25)-RSI_Periods +1, MATCH("Adj Close", Price_Header,0))): INDIRECT(ADDRESS(ROW($F25),MATCH("Adj Close", Price_Header,0)))))</f>
        <v>124.08642807142857</v>
      </c>
      <c r="K25" s="48">
        <f ca="1">IF(tbl_IBM[[#This Row],[BB_Mean]]="", "", tbl_IBM[[#This Row],[BB_Mean]]+(BB_Width*tbl_IBM[[#This Row],[BB_Stdev]]))</f>
        <v>127.38502679296934</v>
      </c>
      <c r="L25" s="48">
        <f ca="1">IF(tbl_IBM[[#This Row],[BB_Mean]]="", "", tbl_IBM[[#This Row],[BB_Mean]]-(BB_Width*tbl_IBM[[#This Row],[BB_Stdev]]))</f>
        <v>120.7878293498878</v>
      </c>
      <c r="M25" s="46">
        <f>IF(ROW(tbl_IBM[[#This Row],[Adj Close]])=5, 0, $F25-$F24)</f>
        <v>-1.0900040000000075</v>
      </c>
      <c r="N25" s="46">
        <f>MAX(tbl_IBM[[#This Row],[Move]],0)</f>
        <v>0</v>
      </c>
      <c r="O25" s="46">
        <f>MAX(-tbl_IBM[[#This Row],[Move]],0)</f>
        <v>1.0900040000000075</v>
      </c>
      <c r="P25" s="46">
        <f ca="1">IF(ROW($N25)-5&lt;RSI_Periods, "", AVERAGE(INDIRECT(ADDRESS(ROW($N25)-RSI_Periods +1, MATCH("Upmove", Price_Header,0))): INDIRECT(ADDRESS(ROW($N25),MATCH("Upmove", Price_Header,0)))))</f>
        <v>0.59285678571428535</v>
      </c>
      <c r="Q25" s="46">
        <f ca="1">IF(ROW($O25)-5&lt;RSI_Periods, "", AVERAGE(INDIRECT(ADDRESS(ROW($O25)-RSI_Periods +1, MATCH("Downmove", Price_Header,0))): INDIRECT(ADDRESS(ROW($O25),MATCH("Downmove", Price_Header,0)))))</f>
        <v>0.85785671428571475</v>
      </c>
      <c r="R25" s="46">
        <f ca="1">IF(tbl_IBM[[#This Row],[Avg_Upmove]]="", "", tbl_IBM[[#This Row],[Avg_Upmove]]/tbl_IBM[[#This Row],[Avg_Downmove]])</f>
        <v>0.69109068663980933</v>
      </c>
      <c r="S25" s="48">
        <f ca="1">IF(ROW($N25)-4&lt;BB_Periods, "", _xlfn.STDEV.S(INDIRECT(ADDRESS(ROW($F25)-RSI_Periods +1, MATCH("Adj Close", Price_Header,0))): INDIRECT(ADDRESS(ROW($F25),MATCH("Adj Close", Price_Header,0)))))</f>
        <v>1.6492993607703874</v>
      </c>
    </row>
    <row r="26" spans="1:19" x14ac:dyDescent="0.25">
      <c r="A26" s="8">
        <v>44083</v>
      </c>
      <c r="B26" s="48">
        <v>122.129997</v>
      </c>
      <c r="C26" s="48">
        <v>123.699997</v>
      </c>
      <c r="D26" s="48">
        <v>121.290001</v>
      </c>
      <c r="E26" s="48">
        <v>122.260002</v>
      </c>
      <c r="F26" s="48">
        <v>122.260002</v>
      </c>
      <c r="G26">
        <v>3770700</v>
      </c>
      <c r="H26" s="48">
        <f>IF(tbl_IBM[[#This Row],[Date]]=$A$5, $F26, EMA_Beta*$H25 + (1-EMA_Beta)*$F26)</f>
        <v>124.25788003555878</v>
      </c>
      <c r="I26" s="46">
        <f ca="1">IF(tbl_IBM[[#This Row],[RS]]= "", "", 100-(100/(1+tbl_IBM[[#This Row],[RS]])))</f>
        <v>46.104549361217636</v>
      </c>
      <c r="J26" s="48">
        <f ca="1">IF(ROW($N26)-4&lt;BB_Periods, "", AVERAGE(INDIRECT(ADDRESS(ROW($F26)-RSI_Periods +1, MATCH("Adj Close", Price_Header,0))): INDIRECT(ADDRESS(ROW($F26),MATCH("Adj Close", Price_Header,0)))))</f>
        <v>123.97357135714284</v>
      </c>
      <c r="K26" s="48">
        <f ca="1">IF(tbl_IBM[[#This Row],[BB_Mean]]="", "", tbl_IBM[[#This Row],[BB_Mean]]+(BB_Width*tbl_IBM[[#This Row],[BB_Stdev]]))</f>
        <v>127.41357312171409</v>
      </c>
      <c r="L26" s="48">
        <f ca="1">IF(tbl_IBM[[#This Row],[BB_Mean]]="", "", tbl_IBM[[#This Row],[BB_Mean]]-(BB_Width*tbl_IBM[[#This Row],[BB_Stdev]]))</f>
        <v>120.5335695925716</v>
      </c>
      <c r="M26" s="46">
        <f>IF(ROW(tbl_IBM[[#This Row],[Adj Close]])=5, 0, $F26-$F25)</f>
        <v>1.0500030000000038</v>
      </c>
      <c r="N26" s="46">
        <f>MAX(tbl_IBM[[#This Row],[Move]],0)</f>
        <v>1.0500030000000038</v>
      </c>
      <c r="O26" s="46">
        <f>MAX(-tbl_IBM[[#This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0.66785699999999992</v>
      </c>
      <c r="Q26" s="46">
        <f ca="1">IF(ROW($O26)-5&lt;RSI_Periods, "", AVERAGE(INDIRECT(ADDRESS(ROW($O26)-RSI_Periods +1, MATCH("Downmove", Price_Header,0))): INDIRECT(ADDRESS(ROW($O26),MATCH("Downmove", Price_Header,0)))))</f>
        <v>0.78071371428571423</v>
      </c>
      <c r="R26" s="46">
        <f ca="1">IF(tbl_IBM[[#This Row],[Avg_Upmove]]="", "", tbl_IBM[[#This Row],[Avg_Upmove]]/tbl_IBM[[#This Row],[Avg_Downmove]])</f>
        <v>0.85544417598841793</v>
      </c>
      <c r="S26" s="48">
        <f ca="1">IF(ROW($N26)-4&lt;BB_Periods, "", _xlfn.STDEV.S(INDIRECT(ADDRESS(ROW($F26)-RSI_Periods +1, MATCH("Adj Close", Price_Header,0))): INDIRECT(ADDRESS(ROW($F26),MATCH("Adj Close", Price_Header,0)))))</f>
        <v>1.7200008822856239</v>
      </c>
    </row>
    <row r="27" spans="1:19" x14ac:dyDescent="0.25">
      <c r="A27" s="8">
        <v>44084</v>
      </c>
      <c r="B27" s="48">
        <v>122.529999</v>
      </c>
      <c r="C27" s="48">
        <v>123.58000199999999</v>
      </c>
      <c r="D27" s="48">
        <v>120.239998</v>
      </c>
      <c r="E27" s="48">
        <v>120.55999799999999</v>
      </c>
      <c r="F27" s="48">
        <v>120.55999799999999</v>
      </c>
      <c r="G27">
        <v>3978400</v>
      </c>
      <c r="H27" s="48">
        <f>IF(tbl_IBM[[#This Row],[Date]]=$A$5, $F27, EMA_Beta*$H26 + (1-EMA_Beta)*$F27)</f>
        <v>123.8880918320029</v>
      </c>
      <c r="I27" s="46">
        <f ca="1">IF(tbl_IBM[[#This Row],[RS]]= "", "", 100-(100/(1+tbl_IBM[[#This Row],[RS]])))</f>
        <v>43.917322686707358</v>
      </c>
      <c r="J27" s="48">
        <f ca="1">IF(ROW($N27)-4&lt;BB_Periods, "", AVERAGE(INDIRECT(ADDRESS(ROW($F27)-RSI_Periods +1, MATCH("Adj Close", Price_Header,0))): INDIRECT(ADDRESS(ROW($F27),MATCH("Adj Close", Price_Header,0)))))</f>
        <v>123.78857107142856</v>
      </c>
      <c r="K27" s="48">
        <f ca="1">IF(tbl_IBM[[#This Row],[BB_Mean]]="", "", tbl_IBM[[#This Row],[BB_Mean]]+(BB_Width*tbl_IBM[[#This Row],[BB_Stdev]]))</f>
        <v>127.66966150322904</v>
      </c>
      <c r="L27" s="48">
        <f ca="1">IF(tbl_IBM[[#This Row],[BB_Mean]]="", "", tbl_IBM[[#This Row],[BB_Mean]]-(BB_Width*tbl_IBM[[#This Row],[BB_Stdev]]))</f>
        <v>119.90748063962809</v>
      </c>
      <c r="M27" s="46">
        <f>IF(ROW(tbl_IBM[[#This Row],[Adj Close]])=5, 0, $F27-$F26)</f>
        <v>-1.700004000000007</v>
      </c>
      <c r="N27" s="46">
        <f>MAX(tbl_IBM[[#This Row],[Move]],0)</f>
        <v>0</v>
      </c>
      <c r="O27" s="46">
        <f>MAX(-tbl_IBM[[#This Row],[Move]],0)</f>
        <v>1.700004000000007</v>
      </c>
      <c r="P27" s="46">
        <f ca="1">IF(ROW($N27)-5&lt;RSI_Periods, "", AVERAGE(INDIRECT(ADDRESS(ROW($N27)-RSI_Periods +1, MATCH("Upmove", Price_Header,0))): INDIRECT(ADDRESS(ROW($N27),MATCH("Upmove", Price_Header,0)))))</f>
        <v>0.66785699999999992</v>
      </c>
      <c r="Q27" s="46">
        <f ca="1">IF(ROW($O27)-5&lt;RSI_Periods, "", AVERAGE(INDIRECT(ADDRESS(ROW($O27)-RSI_Periods +1, MATCH("Downmove", Price_Header,0))): INDIRECT(ADDRESS(ROW($O27),MATCH("Downmove", Price_Header,0)))))</f>
        <v>0.85285728571428621</v>
      </c>
      <c r="R27" s="46">
        <f ca="1">IF(tbl_IBM[[#This Row],[Avg_Upmove]]="", "", tbl_IBM[[#This Row],[Avg_Upmove]]/tbl_IBM[[#This Row],[Avg_Downmove]])</f>
        <v>0.78308177837826098</v>
      </c>
      <c r="S27" s="48">
        <f ca="1">IF(ROW($N27)-4&lt;BB_Periods, "", _xlfn.STDEV.S(INDIRECT(ADDRESS(ROW($F27)-RSI_Periods +1, MATCH("Adj Close", Price_Header,0))): INDIRECT(ADDRESS(ROW($F27),MATCH("Adj Close", Price_Header,0)))))</f>
        <v>1.940545215900239</v>
      </c>
    </row>
    <row r="28" spans="1:19" x14ac:dyDescent="0.25">
      <c r="A28" s="8">
        <v>44085</v>
      </c>
      <c r="B28" s="48">
        <v>121.389999</v>
      </c>
      <c r="C28" s="48">
        <v>122.699997</v>
      </c>
      <c r="D28" s="48">
        <v>120.730003</v>
      </c>
      <c r="E28" s="48">
        <v>121.459999</v>
      </c>
      <c r="F28" s="48">
        <v>121.459999</v>
      </c>
      <c r="G28">
        <v>3547400</v>
      </c>
      <c r="H28" s="48">
        <f>IF(tbl_IBM[[#This Row],[Date]]=$A$5, $F28, EMA_Beta*$H27 + (1-EMA_Beta)*$F28)</f>
        <v>123.6452825488026</v>
      </c>
      <c r="I28" s="46">
        <f ca="1">IF(tbl_IBM[[#This Row],[RS]]= "", "", 100-(100/(1+tbl_IBM[[#This Row],[RS]])))</f>
        <v>46.167707221267221</v>
      </c>
      <c r="J28" s="48">
        <f ca="1">IF(ROW($N28)-4&lt;BB_Periods, "", AVERAGE(INDIRECT(ADDRESS(ROW($F28)-RSI_Periods +1, MATCH("Adj Close", Price_Header,0))): INDIRECT(ADDRESS(ROW($F28),MATCH("Adj Close", Price_Header,0)))))</f>
        <v>123.66714214285712</v>
      </c>
      <c r="K28" s="48">
        <f ca="1">IF(tbl_IBM[[#This Row],[BB_Mean]]="", "", tbl_IBM[[#This Row],[BB_Mean]]+(BB_Width*tbl_IBM[[#This Row],[BB_Stdev]]))</f>
        <v>127.73483951066494</v>
      </c>
      <c r="L28" s="48">
        <f ca="1">IF(tbl_IBM[[#This Row],[BB_Mean]]="", "", tbl_IBM[[#This Row],[BB_Mean]]-(BB_Width*tbl_IBM[[#This Row],[BB_Stdev]]))</f>
        <v>119.59944477504929</v>
      </c>
      <c r="M28" s="46">
        <f>IF(ROW(tbl_IBM[[#This Row],[Adj Close]])=5, 0, $F28-$F27)</f>
        <v>0.90000100000000316</v>
      </c>
      <c r="N28" s="46">
        <f>MAX(tbl_IBM[[#This Row],[Move]],0)</f>
        <v>0.90000100000000316</v>
      </c>
      <c r="O28" s="46">
        <f>MAX(-tbl_IBM[[#This Row],[Move]],0)</f>
        <v>0</v>
      </c>
      <c r="P28" s="46">
        <f ca="1">IF(ROW($N28)-5&lt;RSI_Periods, "", AVERAGE(INDIRECT(ADDRESS(ROW($N28)-RSI_Periods +1, MATCH("Upmove", Price_Header,0))): INDIRECT(ADDRESS(ROW($N28),MATCH("Upmove", Price_Header,0)))))</f>
        <v>0.73142835714285737</v>
      </c>
      <c r="Q28" s="46">
        <f ca="1">IF(ROW($O28)-5&lt;RSI_Periods, "", AVERAGE(INDIRECT(ADDRESS(ROW($O28)-RSI_Periods +1, MATCH("Downmove", Price_Header,0))): INDIRECT(ADDRESS(ROW($O28),MATCH("Downmove", Price_Header,0)))))</f>
        <v>0.85285728571428621</v>
      </c>
      <c r="R28" s="46">
        <f ca="1">IF(tbl_IBM[[#This Row],[Avg_Upmove]]="", "", tbl_IBM[[#This Row],[Avg_Upmove]]/tbl_IBM[[#This Row],[Avg_Downmove]])</f>
        <v>0.85762104562461527</v>
      </c>
      <c r="S28" s="48">
        <f ca="1">IF(ROW($N28)-4&lt;BB_Periods, "", _xlfn.STDEV.S(INDIRECT(ADDRESS(ROW($F28)-RSI_Periods +1, MATCH("Adj Close", Price_Header,0))): INDIRECT(ADDRESS(ROW($F28),MATCH("Adj Close", Price_Header,0)))))</f>
        <v>2.0338486839039116</v>
      </c>
    </row>
    <row r="29" spans="1:19" x14ac:dyDescent="0.25">
      <c r="A29" s="8">
        <v>44088</v>
      </c>
      <c r="B29" s="48">
        <v>122.360001</v>
      </c>
      <c r="C29" s="48">
        <v>123.379997</v>
      </c>
      <c r="D29" s="48">
        <v>121.760002</v>
      </c>
      <c r="E29" s="48">
        <v>122.089996</v>
      </c>
      <c r="F29" s="48">
        <v>122.089996</v>
      </c>
      <c r="G29">
        <v>3641500</v>
      </c>
      <c r="H29" s="48">
        <f>IF(tbl_IBM[[#This Row],[Date]]=$A$5, $F29, EMA_Beta*$H28 + (1-EMA_Beta)*$F29)</f>
        <v>123.48975389392234</v>
      </c>
      <c r="I29" s="46">
        <f ca="1">IF(tbl_IBM[[#This Row],[RS]]= "", "", 100-(100/(1+tbl_IBM[[#This Row],[RS]])))</f>
        <v>41.153267619516988</v>
      </c>
      <c r="J29" s="48">
        <f ca="1">IF(ROW($N29)-4&lt;BB_Periods, "", AVERAGE(INDIRECT(ADDRESS(ROW($F29)-RSI_Periods +1, MATCH("Adj Close", Price_Header,0))): INDIRECT(ADDRESS(ROW($F29),MATCH("Adj Close", Price_Header,0)))))</f>
        <v>123.41071328571427</v>
      </c>
      <c r="K29" s="48">
        <f ca="1">IF(tbl_IBM[[#This Row],[BB_Mean]]="", "", tbl_IBM[[#This Row],[BB_Mean]]+(BB_Width*tbl_IBM[[#This Row],[BB_Stdev]]))</f>
        <v>127.38332098100572</v>
      </c>
      <c r="L29" s="48">
        <f ca="1">IF(tbl_IBM[[#This Row],[BB_Mean]]="", "", tbl_IBM[[#This Row],[BB_Mean]]-(BB_Width*tbl_IBM[[#This Row],[BB_Stdev]]))</f>
        <v>119.43810559042281</v>
      </c>
      <c r="M29" s="46">
        <f>IF(ROW(tbl_IBM[[#This Row],[Adj Close]])=5, 0, $F29-$F28)</f>
        <v>0.62999700000000303</v>
      </c>
      <c r="N29" s="46">
        <f>MAX(tbl_IBM[[#This Row],[Move]],0)</f>
        <v>0.62999700000000303</v>
      </c>
      <c r="O29" s="46">
        <f>MAX(-tbl_IBM[[#This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0.59642842857142853</v>
      </c>
      <c r="Q29" s="46">
        <f ca="1">IF(ROW($O29)-5&lt;RSI_Periods, "", AVERAGE(INDIRECT(ADDRESS(ROW($O29)-RSI_Periods +1, MATCH("Downmove", Price_Header,0))): INDIRECT(ADDRESS(ROW($O29),MATCH("Downmove", Price_Header,0)))))</f>
        <v>0.85285728571428621</v>
      </c>
      <c r="R29" s="46">
        <f ca="1">IF(tbl_IBM[[#This Row],[Avg_Upmove]]="", "", tbl_IBM[[#This Row],[Avg_Upmove]]/tbl_IBM[[#This Row],[Avg_Downmove]])</f>
        <v>0.69932969860474015</v>
      </c>
      <c r="S29" s="48">
        <f ca="1">IF(ROW($N29)-4&lt;BB_Periods, "", _xlfn.STDEV.S(INDIRECT(ADDRESS(ROW($F29)-RSI_Periods +1, MATCH("Adj Close", Price_Header,0))): INDIRECT(ADDRESS(ROW($F29),MATCH("Adj Close", Price_Header,0)))))</f>
        <v>1.9863038476457275</v>
      </c>
    </row>
    <row r="30" spans="1:19" x14ac:dyDescent="0.25">
      <c r="A30" s="8">
        <v>44089</v>
      </c>
      <c r="B30" s="48">
        <v>122.82</v>
      </c>
      <c r="C30" s="48">
        <v>123.400002</v>
      </c>
      <c r="D30" s="48">
        <v>122.239998</v>
      </c>
      <c r="E30" s="48">
        <v>122.44000200000001</v>
      </c>
      <c r="F30" s="48">
        <v>122.44000200000001</v>
      </c>
      <c r="G30">
        <v>2915200</v>
      </c>
      <c r="H30" s="48">
        <f>IF(tbl_IBM[[#This Row],[Date]]=$A$5, $F30, EMA_Beta*$H29 + (1-EMA_Beta)*$F30)</f>
        <v>123.38477870453011</v>
      </c>
      <c r="I30" s="46">
        <f ca="1">IF(tbl_IBM[[#This Row],[RS]]= "", "", 100-(100/(1+tbl_IBM[[#This Row],[RS]])))</f>
        <v>44.387764186794868</v>
      </c>
      <c r="J30" s="48">
        <f ca="1">IF(ROW($N30)-4&lt;BB_Periods, "", AVERAGE(INDIRECT(ADDRESS(ROW($F30)-RSI_Periods +1, MATCH("Adj Close", Price_Header,0))): INDIRECT(ADDRESS(ROW($F30),MATCH("Adj Close", Price_Header,0)))))</f>
        <v>123.25357064285713</v>
      </c>
      <c r="K30" s="48">
        <f ca="1">IF(tbl_IBM[[#This Row],[BB_Mean]]="", "", tbl_IBM[[#This Row],[BB_Mean]]+(BB_Width*tbl_IBM[[#This Row],[BB_Stdev]]))</f>
        <v>127.1906004630778</v>
      </c>
      <c r="L30" s="48">
        <f ca="1">IF(tbl_IBM[[#This Row],[BB_Mean]]="", "", tbl_IBM[[#This Row],[BB_Mean]]-(BB_Width*tbl_IBM[[#This Row],[BB_Stdev]]))</f>
        <v>119.31654082263645</v>
      </c>
      <c r="M30" s="46">
        <f>IF(ROW(tbl_IBM[[#This Row],[Adj Close]])=5, 0, $F30-$F29)</f>
        <v>0.35000600000000759</v>
      </c>
      <c r="N30" s="46">
        <f>MAX(tbl_IBM[[#This Row],[Move]],0)</f>
        <v>0.35000600000000759</v>
      </c>
      <c r="O30" s="46">
        <f>MAX(-tbl_IBM[[#This Row],[Move]],0)</f>
        <v>0</v>
      </c>
      <c r="P30" s="46">
        <f ca="1">IF(ROW($N30)-5&lt;RSI_Periods, "", AVERAGE(INDIRECT(ADDRESS(ROW($N30)-RSI_Periods +1, MATCH("Upmove", Price_Header,0))): INDIRECT(ADDRESS(ROW($N30),MATCH("Upmove", Price_Header,0)))))</f>
        <v>0.62142885714285767</v>
      </c>
      <c r="Q30" s="46">
        <f ca="1">IF(ROW($O30)-5&lt;RSI_Periods, "", AVERAGE(INDIRECT(ADDRESS(ROW($O30)-RSI_Periods +1, MATCH("Downmove", Price_Header,0))): INDIRECT(ADDRESS(ROW($O30),MATCH("Downmove", Price_Header,0)))))</f>
        <v>0.77857150000000019</v>
      </c>
      <c r="R30" s="46">
        <f ca="1">IF(tbl_IBM[[#This Row],[Avg_Upmove]]="", "", tbl_IBM[[#This Row],[Avg_Upmove]]/tbl_IBM[[#This Row],[Avg_Downmove]])</f>
        <v>0.79816543136097007</v>
      </c>
      <c r="S30" s="48">
        <f ca="1">IF(ROW($N30)-4&lt;BB_Periods, "", _xlfn.STDEV.S(INDIRECT(ADDRESS(ROW($F30)-RSI_Periods +1, MATCH("Adj Close", Price_Header,0))): INDIRECT(ADDRESS(ROW($F30),MATCH("Adj Close", Price_Header,0)))))</f>
        <v>1.9685149101103372</v>
      </c>
    </row>
    <row r="31" spans="1:19" x14ac:dyDescent="0.25">
      <c r="A31" s="8">
        <v>44090</v>
      </c>
      <c r="B31" s="48">
        <v>122.709999</v>
      </c>
      <c r="C31" s="48">
        <v>125.82</v>
      </c>
      <c r="D31" s="48">
        <v>122.709999</v>
      </c>
      <c r="E31" s="48">
        <v>124.220001</v>
      </c>
      <c r="F31" s="48">
        <v>124.220001</v>
      </c>
      <c r="G31">
        <v>3788400</v>
      </c>
      <c r="H31" s="48">
        <f>IF(tbl_IBM[[#This Row],[Date]]=$A$5, $F31, EMA_Beta*$H30 + (1-EMA_Beta)*$F31)</f>
        <v>123.46830093407709</v>
      </c>
      <c r="I31" s="46">
        <f ca="1">IF(tbl_IBM[[#This Row],[RS]]= "", "", 100-(100/(1+tbl_IBM[[#This Row],[RS]])))</f>
        <v>50.119567175576186</v>
      </c>
      <c r="J31" s="48">
        <f ca="1">IF(ROW($N31)-4&lt;BB_Periods, "", AVERAGE(INDIRECT(ADDRESS(ROW($F31)-RSI_Periods +1, MATCH("Adj Close", Price_Header,0))): INDIRECT(ADDRESS(ROW($F31),MATCH("Adj Close", Price_Header,0)))))</f>
        <v>123.25714228571428</v>
      </c>
      <c r="K31" s="48">
        <f ca="1">IF(tbl_IBM[[#This Row],[BB_Mean]]="", "", tbl_IBM[[#This Row],[BB_Mean]]+(BB_Width*tbl_IBM[[#This Row],[BB_Stdev]]))</f>
        <v>127.19784243079498</v>
      </c>
      <c r="L31" s="48">
        <f ca="1">IF(tbl_IBM[[#This Row],[BB_Mean]]="", "", tbl_IBM[[#This Row],[BB_Mean]]-(BB_Width*tbl_IBM[[#This Row],[BB_Stdev]]))</f>
        <v>119.31644214063358</v>
      </c>
      <c r="M31" s="46">
        <f>IF(ROW(tbl_IBM[[#This Row],[Adj Close]])=5, 0, $F31-$F30)</f>
        <v>1.7799989999999895</v>
      </c>
      <c r="N31" s="46">
        <f>MAX(tbl_IBM[[#This Row],[Move]],0)</f>
        <v>1.7799989999999895</v>
      </c>
      <c r="O31" s="46">
        <f>MAX(-tbl_IBM[[#This Row],[Move]],0)</f>
        <v>0</v>
      </c>
      <c r="P31" s="46">
        <f ca="1">IF(ROW($N31)-5&lt;RSI_Periods, "", AVERAGE(INDIRECT(ADDRESS(ROW($N31)-RSI_Periods +1, MATCH("Upmove", Price_Header,0))): INDIRECT(ADDRESS(ROW($N31),MATCH("Upmove", Price_Header,0)))))</f>
        <v>0.74857164285714262</v>
      </c>
      <c r="Q31" s="46">
        <f ca="1">IF(ROW($O31)-5&lt;RSI_Periods, "", AVERAGE(INDIRECT(ADDRESS(ROW($O31)-RSI_Periods +1, MATCH("Downmove", Price_Header,0))): INDIRECT(ADDRESS(ROW($O31),MATCH("Downmove", Price_Header,0)))))</f>
        <v>0.74500000000000044</v>
      </c>
      <c r="R31" s="46">
        <f ca="1">IF(tbl_IBM[[#This Row],[Avg_Upmove]]="", "", tbl_IBM[[#This Row],[Avg_Upmove]]/tbl_IBM[[#This Row],[Avg_Downmove]])</f>
        <v>1.004794151486097</v>
      </c>
      <c r="S31" s="48">
        <f ca="1">IF(ROW($N31)-4&lt;BB_Periods, "", _xlfn.STDEV.S(INDIRECT(ADDRESS(ROW($F31)-RSI_Periods +1, MATCH("Adj Close", Price_Header,0))): INDIRECT(ADDRESS(ROW($F31),MATCH("Adj Close", Price_Header,0)))))</f>
        <v>1.9703500725403484</v>
      </c>
    </row>
    <row r="32" spans="1:19" x14ac:dyDescent="0.25">
      <c r="A32" s="8">
        <v>44091</v>
      </c>
      <c r="B32" s="48">
        <v>122.620003</v>
      </c>
      <c r="C32" s="48">
        <v>125.550003</v>
      </c>
      <c r="D32" s="48">
        <v>121.970001</v>
      </c>
      <c r="E32" s="48">
        <v>124.91999800000001</v>
      </c>
      <c r="F32" s="48">
        <v>124.91999800000001</v>
      </c>
      <c r="G32">
        <v>2962906</v>
      </c>
      <c r="H32" s="48">
        <f>IF(tbl_IBM[[#This Row],[Date]]=$A$5, $F32, EMA_Beta*$H31 + (1-EMA_Beta)*$F32)</f>
        <v>123.61347064066939</v>
      </c>
      <c r="I32" s="46">
        <f ca="1">IF(tbl_IBM[[#This Row],[RS]]= "", "", 100-(100/(1+tbl_IBM[[#This Row],[RS]])))</f>
        <v>50.638892690751121</v>
      </c>
      <c r="J32" s="48">
        <f ca="1">IF(ROW($N32)-4&lt;BB_Periods, "", AVERAGE(INDIRECT(ADDRESS(ROW($F32)-RSI_Periods +1, MATCH("Adj Close", Price_Header,0))): INDIRECT(ADDRESS(ROW($F32),MATCH("Adj Close", Price_Header,0)))))</f>
        <v>123.2764277142857</v>
      </c>
      <c r="K32" s="48">
        <f ca="1">IF(tbl_IBM[[#This Row],[BB_Mean]]="", "", tbl_IBM[[#This Row],[BB_Mean]]+(BB_Width*tbl_IBM[[#This Row],[BB_Stdev]]))</f>
        <v>127.24900510910545</v>
      </c>
      <c r="L32" s="48">
        <f ca="1">IF(tbl_IBM[[#This Row],[BB_Mean]]="", "", tbl_IBM[[#This Row],[BB_Mean]]-(BB_Width*tbl_IBM[[#This Row],[BB_Stdev]]))</f>
        <v>119.30385031946595</v>
      </c>
      <c r="M32" s="46">
        <f>IF(ROW(tbl_IBM[[#This Row],[Adj Close]])=5, 0, $F32-$F31)</f>
        <v>0.69999700000001042</v>
      </c>
      <c r="N32" s="46">
        <f>MAX(tbl_IBM[[#This Row],[Move]],0)</f>
        <v>0.69999700000001042</v>
      </c>
      <c r="O32" s="46">
        <f>MAX(-tbl_IBM[[#This Row],[Move]],0)</f>
        <v>0</v>
      </c>
      <c r="P32" s="46">
        <f ca="1">IF(ROW($N32)-5&lt;RSI_Periods, "", AVERAGE(INDIRECT(ADDRESS(ROW($N32)-RSI_Periods +1, MATCH("Upmove", Price_Header,0))): INDIRECT(ADDRESS(ROW($N32),MATCH("Upmove", Price_Header,0)))))</f>
        <v>0.76428542857142945</v>
      </c>
      <c r="Q32" s="46">
        <f ca="1">IF(ROW($O32)-5&lt;RSI_Periods, "", AVERAGE(INDIRECT(ADDRESS(ROW($O32)-RSI_Periods +1, MATCH("Downmove", Price_Header,0))): INDIRECT(ADDRESS(ROW($O32),MATCH("Downmove", Price_Header,0)))))</f>
        <v>0.74500000000000044</v>
      </c>
      <c r="R32" s="46">
        <f ca="1">IF(tbl_IBM[[#This Row],[Avg_Upmove]]="", "", tbl_IBM[[#This Row],[Avg_Upmove]]/tbl_IBM[[#This Row],[Avg_Downmove]])</f>
        <v>1.0258864813039315</v>
      </c>
      <c r="S32" s="48">
        <f ca="1">IF(ROW($N32)-4&lt;BB_Periods, "", _xlfn.STDEV.S(INDIRECT(ADDRESS(ROW($F32)-RSI_Periods +1, MATCH("Adj Close", Price_Header,0))): INDIRECT(ADDRESS(ROW($F32),MATCH("Adj Close", Price_Header,0)))))</f>
        <v>1.9862886974098755</v>
      </c>
    </row>
    <row r="33" spans="1:19" x14ac:dyDescent="0.25">
      <c r="A33" t="s">
        <v>162</v>
      </c>
      <c r="S33">
        <f ca="1">SUBTOTAL(103,tbl_IBM[BB_Stdev])</f>
        <v>28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workbookViewId="0">
      <selection activeCell="L6" sqref="L6"/>
    </sheetView>
  </sheetViews>
  <sheetFormatPr defaultRowHeight="15" x14ac:dyDescent="0.25"/>
  <cols>
    <col min="1" max="1" width="9.7109375" bestFit="1" customWidth="1"/>
    <col min="6" max="6" width="11.42578125" customWidth="1"/>
    <col min="7" max="7" width="10.140625" customWidth="1"/>
  </cols>
  <sheetData>
    <row r="1" spans="1:19" ht="21" x14ac:dyDescent="0.35">
      <c r="A1" s="41" t="s">
        <v>171</v>
      </c>
      <c r="B1" s="41"/>
      <c r="C1" s="41"/>
      <c r="D1" s="41"/>
      <c r="E1" s="41"/>
      <c r="F1" s="41"/>
    </row>
    <row r="2" spans="1:19" x14ac:dyDescent="0.25">
      <c r="A2" t="s">
        <v>164</v>
      </c>
    </row>
    <row r="4" spans="1:19" x14ac:dyDescent="0.2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25">
      <c r="A5" s="8">
        <v>44053</v>
      </c>
      <c r="B5" s="10">
        <v>55.240001999999997</v>
      </c>
      <c r="C5" s="10">
        <v>55.619999</v>
      </c>
      <c r="D5" s="10">
        <v>54.880001</v>
      </c>
      <c r="E5" s="10">
        <v>54.939999</v>
      </c>
      <c r="F5" s="10">
        <v>54.939999</v>
      </c>
      <c r="G5">
        <v>10046900</v>
      </c>
      <c r="H5" s="10">
        <f>IF(tbl_ORCL[[#This Row],[Date]]=$A$5, $F5, EMA_Beta*$H4 + (1-EMA_Beta)*$F5)</f>
        <v>54.939999</v>
      </c>
      <c r="I5" s="50" t="str">
        <f ca="1">IF(tbl_ORCL[[#This Row],[RS]]= "", "", 100-(100/(1+tbl_ORCL[[#This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IF(tbl_ORCL[[#This Row],[BB_Mean]]="", "", tbl_ORCL[[#This Row],[BB_Mean]]+(BB_Width*tbl_ORCL[[#This Row],[BB_Stdev]]))</f>
        <v/>
      </c>
      <c r="L5" s="10" t="str">
        <f ca="1">IF(tbl_ORCL[[#This Row],[BB_Mean]]="", "", tbl_ORCL[[#This Row],[BB_Mean]]-(BB_Width*tbl_ORCL[[#This Row],[BB_Stdev]]))</f>
        <v/>
      </c>
      <c r="M5" s="50">
        <f>IF(ROW(tbl_ORCL[[#This Row],[Adj Close]])=5, 0, $F5-$F4)</f>
        <v>0</v>
      </c>
      <c r="N5" s="50">
        <f>MAX(tbl_ORCL[[#This Row],[Move]],0)</f>
        <v>0</v>
      </c>
      <c r="O5" s="50">
        <f>MAX(-tbl_ORCL[[#This Row],[Move]],0)</f>
        <v>0</v>
      </c>
      <c r="P5" s="50" t="str">
        <f ca="1">IF(ROW($N5)-5&lt;RSI_Periods, "", AVERAGE(INDIRECT(ADDRESS(ROW($N5)-RSI_Periods +1, MATCH("Upmove", Price_Header,0))): INDIRECT(ADDRESS(ROW($N5),MATCH("Upmove", Price_Header,0)))))</f>
        <v/>
      </c>
      <c r="Q5" s="50" t="str">
        <f ca="1">IF(ROW($O5)-5&lt;RSI_Periods, "", AVERAGE(INDIRECT(ADDRESS(ROW($O5)-RSI_Periods +1, MATCH("Downmove", Price_Header,0))): INDIRECT(ADDRESS(ROW($O5),MATCH("Downmove", Price_Header,0)))))</f>
        <v/>
      </c>
      <c r="R5" s="50" t="str">
        <f ca="1">IF(tbl_ORCL[[#This Row],[Avg_Upmove]]="", "", tbl_ORCL[[#This Row],[Avg_Upmove]]/tbl_ORCL[[#This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25">
      <c r="A6" s="8">
        <v>44054</v>
      </c>
      <c r="B6" s="10">
        <v>55.240001999999997</v>
      </c>
      <c r="C6" s="10">
        <v>55.459999000000003</v>
      </c>
      <c r="D6" s="10">
        <v>54.139999000000003</v>
      </c>
      <c r="E6" s="10">
        <v>54.27</v>
      </c>
      <c r="F6" s="10">
        <v>54.27</v>
      </c>
      <c r="G6">
        <v>8075100</v>
      </c>
      <c r="H6" s="10">
        <f>IF(tbl_ORCL[[#This Row],[Date]]=$A$5, $F6, EMA_Beta*$H5 + (1-EMA_Beta)*$F6)</f>
        <v>54.872999100000001</v>
      </c>
      <c r="I6" s="50" t="str">
        <f ca="1">IF(tbl_ORCL[[#This Row],[RS]]= "", "", 100-(100/(1+tbl_ORCL[[#This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IF(tbl_ORCL[[#This Row],[BB_Mean]]="", "", tbl_ORCL[[#This Row],[BB_Mean]]+(BB_Width*tbl_ORCL[[#This Row],[BB_Stdev]]))</f>
        <v/>
      </c>
      <c r="L6" s="10" t="str">
        <f ca="1">IF(tbl_ORCL[[#This Row],[BB_Mean]]="", "", tbl_ORCL[[#This Row],[BB_Mean]]-(BB_Width*tbl_ORCL[[#This Row],[BB_Stdev]]))</f>
        <v/>
      </c>
      <c r="M6" s="50">
        <f>IF(ROW(tbl_ORCL[[#This Row],[Adj Close]])=5, 0, $F6-$F5)</f>
        <v>-0.66999899999999712</v>
      </c>
      <c r="N6" s="50">
        <f>MAX(tbl_ORCL[[#This Row],[Move]],0)</f>
        <v>0</v>
      </c>
      <c r="O6" s="50">
        <f>MAX(-tbl_ORCL[[#This Row],[Move]],0)</f>
        <v>0.66999899999999712</v>
      </c>
      <c r="P6" s="50" t="str">
        <f ca="1">IF(ROW($N6)-5&lt;RSI_Periods, "", AVERAGE(INDIRECT(ADDRESS(ROW($N6)-RSI_Periods +1, MATCH("Upmove", Price_Header,0))): INDIRECT(ADDRESS(ROW($N6),MATCH("Upmove", Price_Header,0)))))</f>
        <v/>
      </c>
      <c r="Q6" s="50" t="str">
        <f ca="1">IF(ROW($O6)-5&lt;RSI_Periods, "", AVERAGE(INDIRECT(ADDRESS(ROW($O6)-RSI_Periods +1, MATCH("Downmove", Price_Header,0))): INDIRECT(ADDRESS(ROW($O6),MATCH("Downmove", Price_Header,0)))))</f>
        <v/>
      </c>
      <c r="R6" s="50" t="str">
        <f ca="1">IF(tbl_ORCL[[#This Row],[Avg_Upmove]]="", "", tbl_ORCL[[#This Row],[Avg_Upmove]]/tbl_ORCL[[#This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25">
      <c r="A7" s="8">
        <v>44055</v>
      </c>
      <c r="B7" s="10">
        <v>54.52</v>
      </c>
      <c r="C7" s="10">
        <v>54.700001</v>
      </c>
      <c r="D7" s="10">
        <v>53.970001000000003</v>
      </c>
      <c r="E7" s="10">
        <v>54.169998</v>
      </c>
      <c r="F7" s="10">
        <v>54.169998</v>
      </c>
      <c r="G7">
        <v>9068200</v>
      </c>
      <c r="H7" s="10">
        <f>IF(tbl_ORCL[[#This Row],[Date]]=$A$5, $F7, EMA_Beta*$H6 + (1-EMA_Beta)*$F7)</f>
        <v>54.802698990000003</v>
      </c>
      <c r="I7" s="50" t="str">
        <f ca="1">IF(tbl_ORCL[[#This Row],[RS]]= "", "", 100-(100/(1+tbl_ORCL[[#This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IF(tbl_ORCL[[#This Row],[BB_Mean]]="", "", tbl_ORCL[[#This Row],[BB_Mean]]+(BB_Width*tbl_ORCL[[#This Row],[BB_Stdev]]))</f>
        <v/>
      </c>
      <c r="L7" s="10" t="str">
        <f ca="1">IF(tbl_ORCL[[#This Row],[BB_Mean]]="", "", tbl_ORCL[[#This Row],[BB_Mean]]-(BB_Width*tbl_ORCL[[#This Row],[BB_Stdev]]))</f>
        <v/>
      </c>
      <c r="M7" s="50">
        <f>IF(ROW(tbl_ORCL[[#This Row],[Adj Close]])=5, 0, $F7-$F6)</f>
        <v>-0.10000200000000348</v>
      </c>
      <c r="N7" s="50">
        <f>MAX(tbl_ORCL[[#This Row],[Move]],0)</f>
        <v>0</v>
      </c>
      <c r="O7" s="50">
        <f>MAX(-tbl_ORCL[[#This Row],[Move]],0)</f>
        <v>0.10000200000000348</v>
      </c>
      <c r="P7" s="50" t="str">
        <f ca="1">IF(ROW($N7)-5&lt;RSI_Periods, "", AVERAGE(INDIRECT(ADDRESS(ROW($N7)-RSI_Periods +1, MATCH("Upmove", Price_Header,0))): INDIRECT(ADDRESS(ROW($N7),MATCH("Upmove", Price_Header,0)))))</f>
        <v/>
      </c>
      <c r="Q7" s="50" t="str">
        <f ca="1">IF(ROW($O7)-5&lt;RSI_Periods, "", AVERAGE(INDIRECT(ADDRESS(ROW($O7)-RSI_Periods +1, MATCH("Downmove", Price_Header,0))): INDIRECT(ADDRESS(ROW($O7),MATCH("Downmove", Price_Header,0)))))</f>
        <v/>
      </c>
      <c r="R7" s="50" t="str">
        <f ca="1">IF(tbl_ORCL[[#This Row],[Avg_Upmove]]="", "", tbl_ORCL[[#This Row],[Avg_Upmove]]/tbl_ORCL[[#This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25">
      <c r="A8" s="8">
        <v>44056</v>
      </c>
      <c r="B8" s="10">
        <v>53.91</v>
      </c>
      <c r="C8" s="10">
        <v>54.200001</v>
      </c>
      <c r="D8" s="10">
        <v>53.68</v>
      </c>
      <c r="E8" s="10">
        <v>54.02</v>
      </c>
      <c r="F8" s="10">
        <v>54.02</v>
      </c>
      <c r="G8">
        <v>8260300</v>
      </c>
      <c r="H8" s="10">
        <f>IF(tbl_ORCL[[#This Row],[Date]]=$A$5, $F8, EMA_Beta*$H7 + (1-EMA_Beta)*$F8)</f>
        <v>54.724429091000005</v>
      </c>
      <c r="I8" s="50" t="str">
        <f ca="1">IF(tbl_ORCL[[#This Row],[RS]]= "", "", 100-(100/(1+tbl_ORCL[[#This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IF(tbl_ORCL[[#This Row],[BB_Mean]]="", "", tbl_ORCL[[#This Row],[BB_Mean]]+(BB_Width*tbl_ORCL[[#This Row],[BB_Stdev]]))</f>
        <v/>
      </c>
      <c r="L8" s="10" t="str">
        <f ca="1">IF(tbl_ORCL[[#This Row],[BB_Mean]]="", "", tbl_ORCL[[#This Row],[BB_Mean]]-(BB_Width*tbl_ORCL[[#This Row],[BB_Stdev]]))</f>
        <v/>
      </c>
      <c r="M8" s="50">
        <f>IF(ROW(tbl_ORCL[[#This Row],[Adj Close]])=5, 0, $F8-$F7)</f>
        <v>-0.14999799999999652</v>
      </c>
      <c r="N8" s="50">
        <f>MAX(tbl_ORCL[[#This Row],[Move]],0)</f>
        <v>0</v>
      </c>
      <c r="O8" s="50">
        <f>MAX(-tbl_ORCL[[#This Row],[Move]],0)</f>
        <v>0.14999799999999652</v>
      </c>
      <c r="P8" s="50" t="str">
        <f ca="1">IF(ROW($N8)-5&lt;RSI_Periods, "", AVERAGE(INDIRECT(ADDRESS(ROW($N8)-RSI_Periods +1, MATCH("Upmove", Price_Header,0))): INDIRECT(ADDRESS(ROW($N8),MATCH("Upmove", Price_Header,0)))))</f>
        <v/>
      </c>
      <c r="Q8" s="50" t="str">
        <f ca="1">IF(ROW($O8)-5&lt;RSI_Periods, "", AVERAGE(INDIRECT(ADDRESS(ROW($O8)-RSI_Periods +1, MATCH("Downmove", Price_Header,0))): INDIRECT(ADDRESS(ROW($O8),MATCH("Downmove", Price_Header,0)))))</f>
        <v/>
      </c>
      <c r="R8" s="50" t="str">
        <f ca="1">IF(tbl_ORCL[[#This Row],[Avg_Upmove]]="", "", tbl_ORCL[[#This Row],[Avg_Upmove]]/tbl_ORCL[[#This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25">
      <c r="A9" s="8">
        <v>44057</v>
      </c>
      <c r="B9" s="10">
        <v>54.029998999999997</v>
      </c>
      <c r="C9" s="10">
        <v>54.560001</v>
      </c>
      <c r="D9" s="10">
        <v>53.77</v>
      </c>
      <c r="E9" s="10">
        <v>54.200001</v>
      </c>
      <c r="F9" s="10">
        <v>54.200001</v>
      </c>
      <c r="G9">
        <v>5454400</v>
      </c>
      <c r="H9" s="10">
        <f>IF(tbl_ORCL[[#This Row],[Date]]=$A$5, $F9, EMA_Beta*$H8 + (1-EMA_Beta)*$F9)</f>
        <v>54.671986281900004</v>
      </c>
      <c r="I9" s="50" t="str">
        <f ca="1">IF(tbl_ORCL[[#This Row],[RS]]= "", "", 100-(100/(1+tbl_ORCL[[#This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IF(tbl_ORCL[[#This Row],[BB_Mean]]="", "", tbl_ORCL[[#This Row],[BB_Mean]]+(BB_Width*tbl_ORCL[[#This Row],[BB_Stdev]]))</f>
        <v/>
      </c>
      <c r="L9" s="10" t="str">
        <f ca="1">IF(tbl_ORCL[[#This Row],[BB_Mean]]="", "", tbl_ORCL[[#This Row],[BB_Mean]]-(BB_Width*tbl_ORCL[[#This Row],[BB_Stdev]]))</f>
        <v/>
      </c>
      <c r="M9" s="50">
        <f>IF(ROW(tbl_ORCL[[#This Row],[Adj Close]])=5, 0, $F9-$F8)</f>
        <v>0.18000099999999719</v>
      </c>
      <c r="N9" s="50">
        <f>MAX(tbl_ORCL[[#This Row],[Move]],0)</f>
        <v>0.18000099999999719</v>
      </c>
      <c r="O9" s="50">
        <f>MAX(-tbl_ORCL[[#This Row],[Move]],0)</f>
        <v>0</v>
      </c>
      <c r="P9" s="50" t="str">
        <f ca="1">IF(ROW($N9)-5&lt;RSI_Periods, "", AVERAGE(INDIRECT(ADDRESS(ROW($N9)-RSI_Periods +1, MATCH("Upmove", Price_Header,0))): INDIRECT(ADDRESS(ROW($N9),MATCH("Upmove", Price_Header,0)))))</f>
        <v/>
      </c>
      <c r="Q9" s="50" t="str">
        <f ca="1">IF(ROW($O9)-5&lt;RSI_Periods, "", AVERAGE(INDIRECT(ADDRESS(ROW($O9)-RSI_Periods +1, MATCH("Downmove", Price_Header,0))): INDIRECT(ADDRESS(ROW($O9),MATCH("Downmove", Price_Header,0)))))</f>
        <v/>
      </c>
      <c r="R9" s="50" t="str">
        <f ca="1">IF(tbl_ORCL[[#This Row],[Avg_Upmove]]="", "", tbl_ORCL[[#This Row],[Avg_Upmove]]/tbl_ORCL[[#This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25">
      <c r="A10" s="8">
        <v>44060</v>
      </c>
      <c r="B10" s="10">
        <v>54.200001</v>
      </c>
      <c r="C10" s="10">
        <v>54.389999000000003</v>
      </c>
      <c r="D10" s="10">
        <v>53.66</v>
      </c>
      <c r="E10" s="10">
        <v>53.990001999999997</v>
      </c>
      <c r="F10" s="10">
        <v>53.990001999999997</v>
      </c>
      <c r="G10">
        <v>9523700</v>
      </c>
      <c r="H10" s="10">
        <f>IF(tbl_ORCL[[#This Row],[Date]]=$A$5, $F10, EMA_Beta*$H9 + (1-EMA_Beta)*$F10)</f>
        <v>54.603787853710003</v>
      </c>
      <c r="I10" s="50" t="str">
        <f ca="1">IF(tbl_ORCL[[#This Row],[RS]]= "", "", 100-(100/(1+tbl_ORCL[[#This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IF(tbl_ORCL[[#This Row],[BB_Mean]]="", "", tbl_ORCL[[#This Row],[BB_Mean]]+(BB_Width*tbl_ORCL[[#This Row],[BB_Stdev]]))</f>
        <v/>
      </c>
      <c r="L10" s="10" t="str">
        <f ca="1">IF(tbl_ORCL[[#This Row],[BB_Mean]]="", "", tbl_ORCL[[#This Row],[BB_Mean]]-(BB_Width*tbl_ORCL[[#This Row],[BB_Stdev]]))</f>
        <v/>
      </c>
      <c r="M10" s="50">
        <f>IF(ROW(tbl_ORCL[[#This Row],[Adj Close]])=5, 0, $F10-$F9)</f>
        <v>-0.20999900000000338</v>
      </c>
      <c r="N10" s="50">
        <f>MAX(tbl_ORCL[[#This Row],[Move]],0)</f>
        <v>0</v>
      </c>
      <c r="O10" s="50">
        <f>MAX(-tbl_ORCL[[#This Row],[Move]],0)</f>
        <v>0.20999900000000338</v>
      </c>
      <c r="P10" s="50" t="str">
        <f ca="1">IF(ROW($N10)-5&lt;RSI_Periods, "", AVERAGE(INDIRECT(ADDRESS(ROW($N10)-RSI_Periods +1, MATCH("Upmove", Price_Header,0))): INDIRECT(ADDRESS(ROW($N10),MATCH("Upmove", Price_Header,0)))))</f>
        <v/>
      </c>
      <c r="Q10" s="50" t="str">
        <f ca="1">IF(ROW($O10)-5&lt;RSI_Periods, "", AVERAGE(INDIRECT(ADDRESS(ROW($O10)-RSI_Periods +1, MATCH("Downmove", Price_Header,0))): INDIRECT(ADDRESS(ROW($O10),MATCH("Downmove", Price_Header,0)))))</f>
        <v/>
      </c>
      <c r="R10" s="50" t="str">
        <f ca="1">IF(tbl_ORCL[[#This Row],[Avg_Upmove]]="", "", tbl_ORCL[[#This Row],[Avg_Upmove]]/tbl_ORCL[[#This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25">
      <c r="A11" s="8">
        <v>44061</v>
      </c>
      <c r="B11" s="10">
        <v>55.619999</v>
      </c>
      <c r="C11" s="10">
        <v>56.93</v>
      </c>
      <c r="D11" s="10">
        <v>54.869999</v>
      </c>
      <c r="E11" s="10">
        <v>55.18</v>
      </c>
      <c r="F11" s="10">
        <v>55.18</v>
      </c>
      <c r="G11">
        <v>21102600</v>
      </c>
      <c r="H11" s="10">
        <f>IF(tbl_ORCL[[#This Row],[Date]]=$A$5, $F11, EMA_Beta*$H10 + (1-EMA_Beta)*$F11)</f>
        <v>54.661409068339005</v>
      </c>
      <c r="I11" s="50" t="str">
        <f ca="1">IF(tbl_ORCL[[#This Row],[RS]]= "", "", 100-(100/(1+tbl_ORCL[[#This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IF(tbl_ORCL[[#This Row],[BB_Mean]]="", "", tbl_ORCL[[#This Row],[BB_Mean]]+(BB_Width*tbl_ORCL[[#This Row],[BB_Stdev]]))</f>
        <v/>
      </c>
      <c r="L11" s="10" t="str">
        <f ca="1">IF(tbl_ORCL[[#This Row],[BB_Mean]]="", "", tbl_ORCL[[#This Row],[BB_Mean]]-(BB_Width*tbl_ORCL[[#This Row],[BB_Stdev]]))</f>
        <v/>
      </c>
      <c r="M11" s="50">
        <f>IF(ROW(tbl_ORCL[[#This Row],[Adj Close]])=5, 0, $F11-$F10)</f>
        <v>1.1899980000000028</v>
      </c>
      <c r="N11" s="50">
        <f>MAX(tbl_ORCL[[#This Row],[Move]],0)</f>
        <v>1.1899980000000028</v>
      </c>
      <c r="O11" s="50">
        <f>MAX(-tbl_ORCL[[#This Row],[Move]],0)</f>
        <v>0</v>
      </c>
      <c r="P11" s="50" t="str">
        <f ca="1">IF(ROW($N11)-5&lt;RSI_Periods, "", AVERAGE(INDIRECT(ADDRESS(ROW($N11)-RSI_Periods +1, MATCH("Upmove", Price_Header,0))): INDIRECT(ADDRESS(ROW($N11),MATCH("Upmove", Price_Header,0)))))</f>
        <v/>
      </c>
      <c r="Q11" s="50" t="str">
        <f ca="1">IF(ROW($O11)-5&lt;RSI_Periods, "", AVERAGE(INDIRECT(ADDRESS(ROW($O11)-RSI_Periods +1, MATCH("Downmove", Price_Header,0))): INDIRECT(ADDRESS(ROW($O11),MATCH("Downmove", Price_Header,0)))))</f>
        <v/>
      </c>
      <c r="R11" s="50" t="str">
        <f ca="1">IF(tbl_ORCL[[#This Row],[Avg_Upmove]]="", "", tbl_ORCL[[#This Row],[Avg_Upmove]]/tbl_ORCL[[#This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25">
      <c r="A12" s="8">
        <v>44062</v>
      </c>
      <c r="B12" s="10">
        <v>55.580002</v>
      </c>
      <c r="C12" s="10">
        <v>56.799999</v>
      </c>
      <c r="D12" s="10">
        <v>55.459999000000003</v>
      </c>
      <c r="E12" s="10">
        <v>56.200001</v>
      </c>
      <c r="F12" s="10">
        <v>56.200001</v>
      </c>
      <c r="G12">
        <v>16751500</v>
      </c>
      <c r="H12" s="10">
        <f>IF(tbl_ORCL[[#This Row],[Date]]=$A$5, $F12, EMA_Beta*$H11 + (1-EMA_Beta)*$F12)</f>
        <v>54.815268261505103</v>
      </c>
      <c r="I12" s="50" t="str">
        <f ca="1">IF(tbl_ORCL[[#This Row],[RS]]= "", "", 100-(100/(1+tbl_ORCL[[#This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IF(tbl_ORCL[[#This Row],[BB_Mean]]="", "", tbl_ORCL[[#This Row],[BB_Mean]]+(BB_Width*tbl_ORCL[[#This Row],[BB_Stdev]]))</f>
        <v/>
      </c>
      <c r="L12" s="10" t="str">
        <f ca="1">IF(tbl_ORCL[[#This Row],[BB_Mean]]="", "", tbl_ORCL[[#This Row],[BB_Mean]]-(BB_Width*tbl_ORCL[[#This Row],[BB_Stdev]]))</f>
        <v/>
      </c>
      <c r="M12" s="50">
        <f>IF(ROW(tbl_ORCL[[#This Row],[Adj Close]])=5, 0, $F12-$F11)</f>
        <v>1.0200010000000006</v>
      </c>
      <c r="N12" s="50">
        <f>MAX(tbl_ORCL[[#This Row],[Move]],0)</f>
        <v>1.0200010000000006</v>
      </c>
      <c r="O12" s="50">
        <f>MAX(-tbl_ORCL[[#This Row],[Move]],0)</f>
        <v>0</v>
      </c>
      <c r="P12" s="50" t="str">
        <f ca="1">IF(ROW($N12)-5&lt;RSI_Periods, "", AVERAGE(INDIRECT(ADDRESS(ROW($N12)-RSI_Periods +1, MATCH("Upmove", Price_Header,0))): INDIRECT(ADDRESS(ROW($N12),MATCH("Upmove", Price_Header,0)))))</f>
        <v/>
      </c>
      <c r="Q12" s="50" t="str">
        <f ca="1">IF(ROW($O12)-5&lt;RSI_Periods, "", AVERAGE(INDIRECT(ADDRESS(ROW($O12)-RSI_Periods +1, MATCH("Downmove", Price_Header,0))): INDIRECT(ADDRESS(ROW($O12),MATCH("Downmove", Price_Header,0)))))</f>
        <v/>
      </c>
      <c r="R12" s="50" t="str">
        <f ca="1">IF(tbl_ORCL[[#This Row],[Avg_Upmove]]="", "", tbl_ORCL[[#This Row],[Avg_Upmove]]/tbl_ORCL[[#This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25">
      <c r="A13" s="8">
        <v>44063</v>
      </c>
      <c r="B13" s="10">
        <v>55.59</v>
      </c>
      <c r="C13" s="10">
        <v>55.810001</v>
      </c>
      <c r="D13" s="10">
        <v>55.09</v>
      </c>
      <c r="E13" s="10">
        <v>55.259998000000003</v>
      </c>
      <c r="F13" s="10">
        <v>55.259998000000003</v>
      </c>
      <c r="G13">
        <v>10974800</v>
      </c>
      <c r="H13" s="10">
        <f>IF(tbl_ORCL[[#This Row],[Date]]=$A$5, $F13, EMA_Beta*$H12 + (1-EMA_Beta)*$F13)</f>
        <v>54.859741235354598</v>
      </c>
      <c r="I13" s="50" t="str">
        <f ca="1">IF(tbl_ORCL[[#This Row],[RS]]= "", "", 100-(100/(1+tbl_ORCL[[#This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IF(tbl_ORCL[[#This Row],[BB_Mean]]="", "", tbl_ORCL[[#This Row],[BB_Mean]]+(BB_Width*tbl_ORCL[[#This Row],[BB_Stdev]]))</f>
        <v/>
      </c>
      <c r="L13" s="10" t="str">
        <f ca="1">IF(tbl_ORCL[[#This Row],[BB_Mean]]="", "", tbl_ORCL[[#This Row],[BB_Mean]]-(BB_Width*tbl_ORCL[[#This Row],[BB_Stdev]]))</f>
        <v/>
      </c>
      <c r="M13" s="50">
        <f>IF(ROW(tbl_ORCL[[#This Row],[Adj Close]])=5, 0, $F13-$F12)</f>
        <v>-0.94000299999999726</v>
      </c>
      <c r="N13" s="50">
        <f>MAX(tbl_ORCL[[#This Row],[Move]],0)</f>
        <v>0</v>
      </c>
      <c r="O13" s="50">
        <f>MAX(-tbl_ORCL[[#This Row],[Move]],0)</f>
        <v>0.94000299999999726</v>
      </c>
      <c r="P13" s="50" t="str">
        <f ca="1">IF(ROW($N13)-5&lt;RSI_Periods, "", AVERAGE(INDIRECT(ADDRESS(ROW($N13)-RSI_Periods +1, MATCH("Upmove", Price_Header,0))): INDIRECT(ADDRESS(ROW($N13),MATCH("Upmove", Price_Header,0)))))</f>
        <v/>
      </c>
      <c r="Q13" s="50" t="str">
        <f ca="1">IF(ROW($O13)-5&lt;RSI_Periods, "", AVERAGE(INDIRECT(ADDRESS(ROW($O13)-RSI_Periods +1, MATCH("Downmove", Price_Header,0))): INDIRECT(ADDRESS(ROW($O13),MATCH("Downmove", Price_Header,0)))))</f>
        <v/>
      </c>
      <c r="R13" s="50" t="str">
        <f ca="1">IF(tbl_ORCL[[#This Row],[Avg_Upmove]]="", "", tbl_ORCL[[#This Row],[Avg_Upmove]]/tbl_ORCL[[#This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25">
      <c r="A14" s="8">
        <v>44064</v>
      </c>
      <c r="B14" s="10">
        <v>55.380001</v>
      </c>
      <c r="C14" s="10">
        <v>55.450001</v>
      </c>
      <c r="D14" s="10">
        <v>54.73</v>
      </c>
      <c r="E14" s="10">
        <v>55.189999</v>
      </c>
      <c r="F14" s="10">
        <v>55.189999</v>
      </c>
      <c r="G14">
        <v>9552000</v>
      </c>
      <c r="H14" s="10">
        <f>IF(tbl_ORCL[[#This Row],[Date]]=$A$5, $F14, EMA_Beta*$H13 + (1-EMA_Beta)*$F14)</f>
        <v>54.892767011819139</v>
      </c>
      <c r="I14" s="50" t="str">
        <f ca="1">IF(tbl_ORCL[[#This Row],[RS]]= "", "", 100-(100/(1+tbl_ORCL[[#This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IF(tbl_ORCL[[#This Row],[BB_Mean]]="", "", tbl_ORCL[[#This Row],[BB_Mean]]+(BB_Width*tbl_ORCL[[#This Row],[BB_Stdev]]))</f>
        <v/>
      </c>
      <c r="L14" s="10" t="str">
        <f ca="1">IF(tbl_ORCL[[#This Row],[BB_Mean]]="", "", tbl_ORCL[[#This Row],[BB_Mean]]-(BB_Width*tbl_ORCL[[#This Row],[BB_Stdev]]))</f>
        <v/>
      </c>
      <c r="M14" s="50">
        <f>IF(ROW(tbl_ORCL[[#This Row],[Adj Close]])=5, 0, $F14-$F13)</f>
        <v>-6.9999000000002809E-2</v>
      </c>
      <c r="N14" s="50">
        <f>MAX(tbl_ORCL[[#This Row],[Move]],0)</f>
        <v>0</v>
      </c>
      <c r="O14" s="50">
        <f>MAX(-tbl_ORCL[[#This Row],[Move]],0)</f>
        <v>6.9999000000002809E-2</v>
      </c>
      <c r="P14" s="50" t="str">
        <f ca="1">IF(ROW($N14)-5&lt;RSI_Periods, "", AVERAGE(INDIRECT(ADDRESS(ROW($N14)-RSI_Periods +1, MATCH("Upmove", Price_Header,0))): INDIRECT(ADDRESS(ROW($N14),MATCH("Upmove", Price_Header,0)))))</f>
        <v/>
      </c>
      <c r="Q14" s="50" t="str">
        <f ca="1">IF(ROW($O14)-5&lt;RSI_Periods, "", AVERAGE(INDIRECT(ADDRESS(ROW($O14)-RSI_Periods +1, MATCH("Downmove", Price_Header,0))): INDIRECT(ADDRESS(ROW($O14),MATCH("Downmove", Price_Header,0)))))</f>
        <v/>
      </c>
      <c r="R14" s="50" t="str">
        <f ca="1">IF(tbl_ORCL[[#This Row],[Avg_Upmove]]="", "", tbl_ORCL[[#This Row],[Avg_Upmove]]/tbl_ORCL[[#This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25">
      <c r="A15" s="8">
        <v>44067</v>
      </c>
      <c r="B15" s="10">
        <v>55.759998000000003</v>
      </c>
      <c r="C15" s="10">
        <v>56.110000999999997</v>
      </c>
      <c r="D15" s="10">
        <v>55.439999</v>
      </c>
      <c r="E15" s="10">
        <v>56.009998000000003</v>
      </c>
      <c r="F15" s="10">
        <v>56.009998000000003</v>
      </c>
      <c r="G15">
        <v>7892100</v>
      </c>
      <c r="H15" s="10">
        <f>IF(tbl_ORCL[[#This Row],[Date]]=$A$5, $F15, EMA_Beta*$H14 + (1-EMA_Beta)*$F15)</f>
        <v>55.004490110637221</v>
      </c>
      <c r="I15" s="50" t="str">
        <f ca="1">IF(tbl_ORCL[[#This Row],[RS]]= "", "", 100-(100/(1+tbl_ORCL[[#This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IF(tbl_ORCL[[#This Row],[BB_Mean]]="", "", tbl_ORCL[[#This Row],[BB_Mean]]+(BB_Width*tbl_ORCL[[#This Row],[BB_Stdev]]))</f>
        <v/>
      </c>
      <c r="L15" s="10" t="str">
        <f ca="1">IF(tbl_ORCL[[#This Row],[BB_Mean]]="", "", tbl_ORCL[[#This Row],[BB_Mean]]-(BB_Width*tbl_ORCL[[#This Row],[BB_Stdev]]))</f>
        <v/>
      </c>
      <c r="M15" s="50">
        <f>IF(ROW(tbl_ORCL[[#This Row],[Adj Close]])=5, 0, $F15-$F14)</f>
        <v>0.81999900000000281</v>
      </c>
      <c r="N15" s="50">
        <f>MAX(tbl_ORCL[[#This Row],[Move]],0)</f>
        <v>0.81999900000000281</v>
      </c>
      <c r="O15" s="50">
        <f>MAX(-tbl_ORCL[[#This Row],[Move]],0)</f>
        <v>0</v>
      </c>
      <c r="P15" s="50" t="str">
        <f ca="1">IF(ROW($N15)-5&lt;RSI_Periods, "", AVERAGE(INDIRECT(ADDRESS(ROW($N15)-RSI_Periods +1, MATCH("Upmove", Price_Header,0))): INDIRECT(ADDRESS(ROW($N15),MATCH("Upmove", Price_Header,0)))))</f>
        <v/>
      </c>
      <c r="Q15" s="50" t="str">
        <f ca="1">IF(ROW($O15)-5&lt;RSI_Periods, "", AVERAGE(INDIRECT(ADDRESS(ROW($O15)-RSI_Periods +1, MATCH("Downmove", Price_Header,0))): INDIRECT(ADDRESS(ROW($O15),MATCH("Downmove", Price_Header,0)))))</f>
        <v/>
      </c>
      <c r="R15" s="50" t="str">
        <f ca="1">IF(tbl_ORCL[[#This Row],[Avg_Upmove]]="", "", tbl_ORCL[[#This Row],[Avg_Upmove]]/tbl_ORCL[[#This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25">
      <c r="A16" s="8">
        <v>44068</v>
      </c>
      <c r="B16" s="10">
        <v>56.150002000000001</v>
      </c>
      <c r="C16" s="10">
        <v>56.75</v>
      </c>
      <c r="D16" s="10">
        <v>56.02</v>
      </c>
      <c r="E16" s="10">
        <v>56.09</v>
      </c>
      <c r="F16" s="10">
        <v>56.09</v>
      </c>
      <c r="G16">
        <v>7427000</v>
      </c>
      <c r="H16" s="10">
        <f>IF(tbl_ORCL[[#This Row],[Date]]=$A$5, $F16, EMA_Beta*$H15 + (1-EMA_Beta)*$F16)</f>
        <v>55.113041099573501</v>
      </c>
      <c r="I16" s="50" t="str">
        <f ca="1">IF(tbl_ORCL[[#This Row],[RS]]= "", "", 100-(100/(1+tbl_ORCL[[#This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IF(tbl_ORCL[[#This Row],[BB_Mean]]="", "", tbl_ORCL[[#This Row],[BB_Mean]]+(BB_Width*tbl_ORCL[[#This Row],[BB_Stdev]]))</f>
        <v/>
      </c>
      <c r="L16" s="10" t="str">
        <f ca="1">IF(tbl_ORCL[[#This Row],[BB_Mean]]="", "", tbl_ORCL[[#This Row],[BB_Mean]]-(BB_Width*tbl_ORCL[[#This Row],[BB_Stdev]]))</f>
        <v/>
      </c>
      <c r="M16" s="50">
        <f>IF(ROW(tbl_ORCL[[#This Row],[Adj Close]])=5, 0, $F16-$F15)</f>
        <v>8.0002000000000351E-2</v>
      </c>
      <c r="N16" s="50">
        <f>MAX(tbl_ORCL[[#This Row],[Move]],0)</f>
        <v>8.0002000000000351E-2</v>
      </c>
      <c r="O16" s="50">
        <f>MAX(-tbl_ORCL[[#This Row],[Move]],0)</f>
        <v>0</v>
      </c>
      <c r="P16" s="50" t="str">
        <f ca="1">IF(ROW($N16)-5&lt;RSI_Periods, "", AVERAGE(INDIRECT(ADDRESS(ROW($N16)-RSI_Periods +1, MATCH("Upmove", Price_Header,0))): INDIRECT(ADDRESS(ROW($N16),MATCH("Upmove", Price_Header,0)))))</f>
        <v/>
      </c>
      <c r="Q16" s="50" t="str">
        <f ca="1">IF(ROW($O16)-5&lt;RSI_Periods, "", AVERAGE(INDIRECT(ADDRESS(ROW($O16)-RSI_Periods +1, MATCH("Downmove", Price_Header,0))): INDIRECT(ADDRESS(ROW($O16),MATCH("Downmove", Price_Header,0)))))</f>
        <v/>
      </c>
      <c r="R16" s="50" t="str">
        <f ca="1">IF(tbl_ORCL[[#This Row],[Avg_Upmove]]="", "", tbl_ORCL[[#This Row],[Avg_Upmove]]/tbl_ORCL[[#This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25">
      <c r="A17" s="8">
        <v>44069</v>
      </c>
      <c r="B17" s="10">
        <v>56.34</v>
      </c>
      <c r="C17" s="10">
        <v>57.490001999999997</v>
      </c>
      <c r="D17" s="10">
        <v>56.060001</v>
      </c>
      <c r="E17" s="10">
        <v>57.490001999999997</v>
      </c>
      <c r="F17" s="10">
        <v>57.490001999999997</v>
      </c>
      <c r="G17">
        <v>11597600</v>
      </c>
      <c r="H17" s="10">
        <f>IF(tbl_ORCL[[#This Row],[Date]]=$A$5, $F17, EMA_Beta*$H16 + (1-EMA_Beta)*$F17)</f>
        <v>55.350737189616147</v>
      </c>
      <c r="I17" s="50" t="str">
        <f ca="1">IF(tbl_ORCL[[#This Row],[RS]]= "", "", 100-(100/(1+tbl_ORCL[[#This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IF(tbl_ORCL[[#This Row],[BB_Mean]]="", "", tbl_ORCL[[#This Row],[BB_Mean]]+(BB_Width*tbl_ORCL[[#This Row],[BB_Stdev]]))</f>
        <v/>
      </c>
      <c r="L17" s="10" t="str">
        <f ca="1">IF(tbl_ORCL[[#This Row],[BB_Mean]]="", "", tbl_ORCL[[#This Row],[BB_Mean]]-(BB_Width*tbl_ORCL[[#This Row],[BB_Stdev]]))</f>
        <v/>
      </c>
      <c r="M17" s="50">
        <f>IF(ROW(tbl_ORCL[[#This Row],[Adj Close]])=5, 0, $F17-$F16)</f>
        <v>1.4000019999999935</v>
      </c>
      <c r="N17" s="50">
        <f>MAX(tbl_ORCL[[#This Row],[Move]],0)</f>
        <v>1.4000019999999935</v>
      </c>
      <c r="O17" s="50">
        <f>MAX(-tbl_ORCL[[#This Row],[Move]],0)</f>
        <v>0</v>
      </c>
      <c r="P17" s="50" t="str">
        <f ca="1">IF(ROW($N17)-5&lt;RSI_Periods, "", AVERAGE(INDIRECT(ADDRESS(ROW($N17)-RSI_Periods +1, MATCH("Upmove", Price_Header,0))): INDIRECT(ADDRESS(ROW($N17),MATCH("Upmove", Price_Header,0)))))</f>
        <v/>
      </c>
      <c r="Q17" s="50" t="str">
        <f ca="1">IF(ROW($O17)-5&lt;RSI_Periods, "", AVERAGE(INDIRECT(ADDRESS(ROW($O17)-RSI_Periods +1, MATCH("Downmove", Price_Header,0))): INDIRECT(ADDRESS(ROW($O17),MATCH("Downmove", Price_Header,0)))))</f>
        <v/>
      </c>
      <c r="R17" s="50" t="str">
        <f ca="1">IF(tbl_ORCL[[#This Row],[Avg_Upmove]]="", "", tbl_ORCL[[#This Row],[Avg_Upmove]]/tbl_ORCL[[#This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25">
      <c r="A18" s="8">
        <v>44070</v>
      </c>
      <c r="B18" s="10">
        <v>57.450001</v>
      </c>
      <c r="C18" s="10">
        <v>58.450001</v>
      </c>
      <c r="D18" s="10">
        <v>56.580002</v>
      </c>
      <c r="E18" s="10">
        <v>57.18</v>
      </c>
      <c r="F18" s="10">
        <v>57.18</v>
      </c>
      <c r="G18">
        <v>15834700</v>
      </c>
      <c r="H18" s="10">
        <f>IF(tbl_ORCL[[#This Row],[Date]]=$A$5, $F18, EMA_Beta*$H17 + (1-EMA_Beta)*$F18)</f>
        <v>55.533663470654531</v>
      </c>
      <c r="I18" s="50" t="str">
        <f ca="1">IF(tbl_ORCL[[#This Row],[RS]]= "", "", 100-(100/(1+tbl_ORCL[[#This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55.299285571428577</v>
      </c>
      <c r="K18" s="10">
        <f ca="1">IF(tbl_ORCL[[#This Row],[BB_Mean]]="", "", tbl_ORCL[[#This Row],[BB_Mean]]+(BB_Width*tbl_ORCL[[#This Row],[BB_Stdev]]))</f>
        <v>57.608377884225597</v>
      </c>
      <c r="L18" s="10">
        <f ca="1">IF(tbl_ORCL[[#This Row],[BB_Mean]]="", "", tbl_ORCL[[#This Row],[BB_Mean]]-(BB_Width*tbl_ORCL[[#This Row],[BB_Stdev]]))</f>
        <v>52.990193258631557</v>
      </c>
      <c r="M18" s="50">
        <f>IF(ROW(tbl_ORCL[[#This Row],[Adj Close]])=5, 0, $F18-$F17)</f>
        <v>-0.31000199999999722</v>
      </c>
      <c r="N18" s="50">
        <f>MAX(tbl_ORCL[[#This Row],[Move]],0)</f>
        <v>0</v>
      </c>
      <c r="O18" s="50">
        <f>MAX(-tbl_ORCL[[#This Row],[Move]],0)</f>
        <v>0.31000199999999722</v>
      </c>
      <c r="P18" s="50" t="str">
        <f ca="1">IF(ROW($N18)-5&lt;RSI_Periods, "", AVERAGE(INDIRECT(ADDRESS(ROW($N18)-RSI_Periods +1, MATCH("Upmove", Price_Header,0))): INDIRECT(ADDRESS(ROW($N18),MATCH("Upmove", Price_Header,0)))))</f>
        <v/>
      </c>
      <c r="Q18" s="50" t="str">
        <f ca="1">IF(ROW($O18)-5&lt;RSI_Periods, "", AVERAGE(INDIRECT(ADDRESS(ROW($O18)-RSI_Periods +1, MATCH("Downmove", Price_Header,0))): INDIRECT(ADDRESS(ROW($O18),MATCH("Downmove", Price_Header,0)))))</f>
        <v/>
      </c>
      <c r="R18" s="50" t="str">
        <f ca="1">IF(tbl_ORCL[[#This Row],[Avg_Upmove]]="", "", tbl_ORCL[[#This Row],[Avg_Upmove]]/tbl_ORCL[[#This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1.1545461563985091</v>
      </c>
    </row>
    <row r="19" spans="1:19" x14ac:dyDescent="0.25">
      <c r="A19" s="8">
        <v>44071</v>
      </c>
      <c r="B19" s="10">
        <v>57.330002</v>
      </c>
      <c r="C19" s="10">
        <v>58.16</v>
      </c>
      <c r="D19" s="10">
        <v>57.209999000000003</v>
      </c>
      <c r="E19" s="10">
        <v>57.880001</v>
      </c>
      <c r="F19" s="10">
        <v>57.880001</v>
      </c>
      <c r="G19">
        <v>8613800</v>
      </c>
      <c r="H19" s="10">
        <f>IF(tbl_ORCL[[#This Row],[Date]]=$A$5, $F19, EMA_Beta*$H18 + (1-EMA_Beta)*$F19)</f>
        <v>55.76829722358908</v>
      </c>
      <c r="I19" s="50">
        <f ca="1">IF(tbl_ORCL[[#This Row],[RS]]= "", "", 100-(100/(1+tbl_ORCL[[#This Row],[RS]])))</f>
        <v>68.749998405613468</v>
      </c>
      <c r="J19" s="10">
        <f ca="1">IF(ROW($N19)-4&lt;BB_Periods, "", AVERAGE(INDIRECT(ADDRESS(ROW($F19)-RSI_Periods +1, MATCH("Adj Close", Price_Header,0))): INDIRECT(ADDRESS(ROW($F19),MATCH("Adj Close", Price_Header,0)))))</f>
        <v>55.509285714285717</v>
      </c>
      <c r="K19" s="10">
        <f ca="1">IF(tbl_ORCL[[#This Row],[BB_Mean]]="", "", tbl_ORCL[[#This Row],[BB_Mean]]+(BB_Width*tbl_ORCL[[#This Row],[BB_Stdev]]))</f>
        <v>58.183510444337507</v>
      </c>
      <c r="L19" s="10">
        <f ca="1">IF(tbl_ORCL[[#This Row],[BB_Mean]]="", "", tbl_ORCL[[#This Row],[BB_Mean]]-(BB_Width*tbl_ORCL[[#This Row],[BB_Stdev]]))</f>
        <v>52.835060984233927</v>
      </c>
      <c r="M19" s="50">
        <f>IF(ROW(tbl_ORCL[[#This Row],[Adj Close]])=5, 0, $F19-$F18)</f>
        <v>0.70000100000000032</v>
      </c>
      <c r="N19" s="50">
        <f>MAX(tbl_ORCL[[#This Row],[Move]],0)</f>
        <v>0.70000100000000032</v>
      </c>
      <c r="O19" s="50">
        <f>MAX(-tbl_ORCL[[#This Row],[Move]],0)</f>
        <v>0</v>
      </c>
      <c r="P19" s="50">
        <f ca="1">IF(ROW($N19)-5&lt;RSI_Periods, "", AVERAGE(INDIRECT(ADDRESS(ROW($N19)-RSI_Periods +1, MATCH("Upmove", Price_Header,0))): INDIRECT(ADDRESS(ROW($N19),MATCH("Upmove", Price_Header,0)))))</f>
        <v>0.38500028571428552</v>
      </c>
      <c r="Q19" s="50">
        <f ca="1">IF(ROW($O19)-5&lt;RSI_Periods, "", AVERAGE(INDIRECT(ADDRESS(ROW($O19)-RSI_Periods +1, MATCH("Downmove", Price_Header,0))): INDIRECT(ADDRESS(ROW($O19),MATCH("Downmove", Price_Header,0)))))</f>
        <v>0.17500014285714269</v>
      </c>
      <c r="R19" s="50">
        <f ca="1">IF(tbl_ORCL[[#This Row],[Avg_Upmove]]="", "", tbl_ORCL[[#This Row],[Avg_Upmove]]/tbl_ORCL[[#This Row],[Avg_Downmove]])</f>
        <v>2.1999998367348281</v>
      </c>
      <c r="S19" s="10">
        <f ca="1">IF(ROW($N19)-4&lt;BB_Periods, "", _xlfn.STDEV.S(INDIRECT(ADDRESS(ROW($F19)-RSI_Periods +1, MATCH("Adj Close", Price_Header,0))): INDIRECT(ADDRESS(ROW($F19),MATCH("Adj Close", Price_Header,0)))))</f>
        <v>1.3371123650258947</v>
      </c>
    </row>
    <row r="20" spans="1:19" x14ac:dyDescent="0.25">
      <c r="A20" s="8">
        <v>44074</v>
      </c>
      <c r="B20" s="10">
        <v>57.130001</v>
      </c>
      <c r="C20" s="10">
        <v>57.759998000000003</v>
      </c>
      <c r="D20" s="10">
        <v>57.040000999999997</v>
      </c>
      <c r="E20" s="10">
        <v>57.220001000000003</v>
      </c>
      <c r="F20" s="10">
        <v>57.220001000000003</v>
      </c>
      <c r="G20">
        <v>18683500</v>
      </c>
      <c r="H20" s="10">
        <f>IF(tbl_ORCL[[#This Row],[Date]]=$A$5, $F20, EMA_Beta*$H19 + (1-EMA_Beta)*$F20)</f>
        <v>55.913467601230167</v>
      </c>
      <c r="I20" s="50">
        <f ca="1">IF(tbl_ORCL[[#This Row],[RS]]= "", "", 100-(100/(1+tbl_ORCL[[#This Row],[RS]])))</f>
        <v>68.837792865319287</v>
      </c>
      <c r="J20" s="10">
        <f ca="1">IF(ROW($N20)-4&lt;BB_Periods, "", AVERAGE(INDIRECT(ADDRESS(ROW($F20)-RSI_Periods +1, MATCH("Adj Close", Price_Header,0))): INDIRECT(ADDRESS(ROW($F20),MATCH("Adj Close", Price_Header,0)))))</f>
        <v>55.720000071428565</v>
      </c>
      <c r="K20" s="10">
        <f ca="1">IF(tbl_ORCL[[#This Row],[BB_Mean]]="", "", tbl_ORCL[[#This Row],[BB_Mean]]+(BB_Width*tbl_ORCL[[#This Row],[BB_Stdev]]))</f>
        <v>58.438111029713035</v>
      </c>
      <c r="L20" s="10">
        <f ca="1">IF(tbl_ORCL[[#This Row],[BB_Mean]]="", "", tbl_ORCL[[#This Row],[BB_Mean]]-(BB_Width*tbl_ORCL[[#This Row],[BB_Stdev]]))</f>
        <v>53.001889113144095</v>
      </c>
      <c r="M20" s="50">
        <f>IF(ROW(tbl_ORCL[[#This Row],[Adj Close]])=5, 0, $F20-$F19)</f>
        <v>-0.65999999999999659</v>
      </c>
      <c r="N20" s="50">
        <f>MAX(tbl_ORCL[[#This Row],[Move]],0)</f>
        <v>0</v>
      </c>
      <c r="O20" s="50">
        <f>MAX(-tbl_ORCL[[#This Row],[Move]],0)</f>
        <v>0.65999999999999659</v>
      </c>
      <c r="P20" s="50">
        <f ca="1">IF(ROW($N20)-5&lt;RSI_Periods, "", AVERAGE(INDIRECT(ADDRESS(ROW($N20)-RSI_Periods +1, MATCH("Upmove", Price_Header,0))): INDIRECT(ADDRESS(ROW($N20),MATCH("Upmove", Price_Header,0)))))</f>
        <v>0.38500028571428552</v>
      </c>
      <c r="Q20" s="50">
        <f ca="1">IF(ROW($O20)-5&lt;RSI_Periods, "", AVERAGE(INDIRECT(ADDRESS(ROW($O20)-RSI_Periods +1, MATCH("Downmove", Price_Header,0))): INDIRECT(ADDRESS(ROW($O20),MATCH("Downmove", Price_Header,0)))))</f>
        <v>0.17428592857142838</v>
      </c>
      <c r="R20" s="50">
        <f ca="1">IF(tbl_ORCL[[#This Row],[Avg_Upmove]]="", "", tbl_ORCL[[#This Row],[Avg_Upmove]]/tbl_ORCL[[#This Row],[Avg_Downmove]])</f>
        <v>2.209015316784448</v>
      </c>
      <c r="S20" s="10">
        <f ca="1">IF(ROW($N20)-4&lt;BB_Periods, "", _xlfn.STDEV.S(INDIRECT(ADDRESS(ROW($F20)-RSI_Periods +1, MATCH("Adj Close", Price_Header,0))): INDIRECT(ADDRESS(ROW($F20),MATCH("Adj Close", Price_Header,0)))))</f>
        <v>1.3590554791422362</v>
      </c>
    </row>
    <row r="21" spans="1:19" x14ac:dyDescent="0.25">
      <c r="A21" s="8">
        <v>44075</v>
      </c>
      <c r="B21" s="10">
        <v>57.369999</v>
      </c>
      <c r="C21" s="10">
        <v>58.009998000000003</v>
      </c>
      <c r="D21" s="10">
        <v>57.080002</v>
      </c>
      <c r="E21" s="10">
        <v>57.66</v>
      </c>
      <c r="F21" s="10">
        <v>57.66</v>
      </c>
      <c r="G21">
        <v>10170900</v>
      </c>
      <c r="H21" s="10">
        <f>IF(tbl_ORCL[[#This Row],[Date]]=$A$5, $F21, EMA_Beta*$H20 + (1-EMA_Beta)*$F21)</f>
        <v>56.088120841107148</v>
      </c>
      <c r="I21" s="50">
        <f ca="1">IF(tbl_ORCL[[#This Row],[RS]]= "", "", 100-(100/(1+tbl_ORCL[[#This Row],[RS]])))</f>
        <v>71.358630913767016</v>
      </c>
      <c r="J21" s="10">
        <f ca="1">IF(ROW($N21)-4&lt;BB_Periods, "", AVERAGE(INDIRECT(ADDRESS(ROW($F21)-RSI_Periods +1, MATCH("Adj Close", Price_Header,0))): INDIRECT(ADDRESS(ROW($F21),MATCH("Adj Close", Price_Header,0)))))</f>
        <v>55.969285928571423</v>
      </c>
      <c r="K21" s="10">
        <f ca="1">IF(tbl_ORCL[[#This Row],[BB_Mean]]="", "", tbl_ORCL[[#This Row],[BB_Mean]]+(BB_Width*tbl_ORCL[[#This Row],[BB_Stdev]]))</f>
        <v>58.715051815922003</v>
      </c>
      <c r="L21" s="10">
        <f ca="1">IF(tbl_ORCL[[#This Row],[BB_Mean]]="", "", tbl_ORCL[[#This Row],[BB_Mean]]-(BB_Width*tbl_ORCL[[#This Row],[BB_Stdev]]))</f>
        <v>53.223520041220844</v>
      </c>
      <c r="M21" s="50">
        <f>IF(ROW(tbl_ORCL[[#This Row],[Adj Close]])=5, 0, $F21-$F20)</f>
        <v>0.43999899999999315</v>
      </c>
      <c r="N21" s="50">
        <f>MAX(tbl_ORCL[[#This Row],[Move]],0)</f>
        <v>0.43999899999999315</v>
      </c>
      <c r="O21" s="50">
        <f>MAX(-tbl_ORCL[[#This Row],[Move]],0)</f>
        <v>0</v>
      </c>
      <c r="P21" s="50">
        <f ca="1">IF(ROW($N21)-5&lt;RSI_Periods, "", AVERAGE(INDIRECT(ADDRESS(ROW($N21)-RSI_Periods +1, MATCH("Upmove", Price_Header,0))): INDIRECT(ADDRESS(ROW($N21),MATCH("Upmove", Price_Header,0)))))</f>
        <v>0.41642878571428504</v>
      </c>
      <c r="Q21" s="50">
        <f ca="1">IF(ROW($O21)-5&lt;RSI_Periods, "", AVERAGE(INDIRECT(ADDRESS(ROW($O21)-RSI_Periods +1, MATCH("Downmove", Price_Header,0))): INDIRECT(ADDRESS(ROW($O21),MATCH("Downmove", Price_Header,0)))))</f>
        <v>0.16714292857142812</v>
      </c>
      <c r="R21" s="50">
        <f ca="1">IF(tbl_ORCL[[#This Row],[Avg_Upmove]]="", "", tbl_ORCL[[#This Row],[Avg_Upmove]]/tbl_ORCL[[#This Row],[Avg_Downmove]])</f>
        <v>2.4914532087806829</v>
      </c>
      <c r="S21" s="10">
        <f ca="1">IF(ROW($N21)-4&lt;BB_Periods, "", _xlfn.STDEV.S(INDIRECT(ADDRESS(ROW($F21)-RSI_Periods +1, MATCH("Adj Close", Price_Header,0))): INDIRECT(ADDRESS(ROW($F21),MATCH("Adj Close", Price_Header,0)))))</f>
        <v>1.3728829436752905</v>
      </c>
    </row>
    <row r="22" spans="1:19" x14ac:dyDescent="0.25">
      <c r="A22" s="8">
        <v>44076</v>
      </c>
      <c r="B22" s="10">
        <v>57.720001000000003</v>
      </c>
      <c r="C22" s="10">
        <v>59.32</v>
      </c>
      <c r="D22" s="10">
        <v>57.720001000000003</v>
      </c>
      <c r="E22" s="10">
        <v>59.029998999999997</v>
      </c>
      <c r="F22" s="10">
        <v>59.029998999999997</v>
      </c>
      <c r="G22">
        <v>14342800</v>
      </c>
      <c r="H22" s="10">
        <f>IF(tbl_ORCL[[#This Row],[Date]]=$A$5, $F22, EMA_Beta*$H21 + (1-EMA_Beta)*$F22)</f>
        <v>56.382308656996429</v>
      </c>
      <c r="I22" s="50">
        <f ca="1">IF(tbl_ORCL[[#This Row],[RS]]= "", "", 100-(100/(1+tbl_ORCL[[#This Row],[RS]])))</f>
        <v>76.677296763952739</v>
      </c>
      <c r="J22" s="10">
        <f ca="1">IF(ROW($N22)-4&lt;BB_Periods, "", AVERAGE(INDIRECT(ADDRESS(ROW($F22)-RSI_Periods +1, MATCH("Adj Close", Price_Header,0))): INDIRECT(ADDRESS(ROW($F22),MATCH("Adj Close", Price_Header,0)))))</f>
        <v>56.327142999999992</v>
      </c>
      <c r="K22" s="10">
        <f ca="1">IF(tbl_ORCL[[#This Row],[BB_Mean]]="", "", tbl_ORCL[[#This Row],[BB_Mean]]+(BB_Width*tbl_ORCL[[#This Row],[BB_Stdev]]))</f>
        <v>59.276869652563214</v>
      </c>
      <c r="L22" s="10">
        <f ca="1">IF(tbl_ORCL[[#This Row],[BB_Mean]]="", "", tbl_ORCL[[#This Row],[BB_Mean]]-(BB_Width*tbl_ORCL[[#This Row],[BB_Stdev]]))</f>
        <v>53.377416347436771</v>
      </c>
      <c r="M22" s="50">
        <f>IF(ROW(tbl_ORCL[[#This Row],[Adj Close]])=5, 0, $F22-$F21)</f>
        <v>1.369999</v>
      </c>
      <c r="N22" s="50">
        <f>MAX(tbl_ORCL[[#This Row],[Move]],0)</f>
        <v>1.369999</v>
      </c>
      <c r="O22" s="50">
        <f>MAX(-tbl_ORCL[[#This Row],[Move]],0)</f>
        <v>0</v>
      </c>
      <c r="P22" s="50">
        <f ca="1">IF(ROW($N22)-5&lt;RSI_Periods, "", AVERAGE(INDIRECT(ADDRESS(ROW($N22)-RSI_Periods +1, MATCH("Upmove", Price_Header,0))): INDIRECT(ADDRESS(ROW($N22),MATCH("Upmove", Price_Header,0)))))</f>
        <v>0.51428585714285646</v>
      </c>
      <c r="Q22" s="50">
        <f ca="1">IF(ROW($O22)-5&lt;RSI_Periods, "", AVERAGE(INDIRECT(ADDRESS(ROW($O22)-RSI_Periods +1, MATCH("Downmove", Price_Header,0))): INDIRECT(ADDRESS(ROW($O22),MATCH("Downmove", Price_Header,0)))))</f>
        <v>0.15642878571428551</v>
      </c>
      <c r="R22" s="50">
        <f ca="1">IF(tbl_ORCL[[#This Row],[Avg_Upmove]]="", "", tbl_ORCL[[#This Row],[Avg_Upmove]]/tbl_ORCL[[#This Row],[Avg_Downmove]])</f>
        <v>3.2876676424644167</v>
      </c>
      <c r="S22" s="10">
        <f ca="1">IF(ROW($N22)-4&lt;BB_Periods, "", _xlfn.STDEV.S(INDIRECT(ADDRESS(ROW($F22)-RSI_Periods +1, MATCH("Adj Close", Price_Header,0))): INDIRECT(ADDRESS(ROW($F22),MATCH("Adj Close", Price_Header,0)))))</f>
        <v>1.4748633262816115</v>
      </c>
    </row>
    <row r="23" spans="1:19" x14ac:dyDescent="0.25">
      <c r="A23" s="8">
        <v>44077</v>
      </c>
      <c r="B23" s="10">
        <v>58.720001000000003</v>
      </c>
      <c r="C23" s="10">
        <v>58.990001999999997</v>
      </c>
      <c r="D23" s="10">
        <v>56.650002000000001</v>
      </c>
      <c r="E23" s="10">
        <v>57.099997999999999</v>
      </c>
      <c r="F23" s="10">
        <v>57.099997999999999</v>
      </c>
      <c r="G23">
        <v>15387400</v>
      </c>
      <c r="H23" s="10">
        <f>IF(tbl_ORCL[[#This Row],[Date]]=$A$5, $F23, EMA_Beta*$H22 + (1-EMA_Beta)*$F23)</f>
        <v>56.454077591296787</v>
      </c>
      <c r="I23" s="50">
        <f ca="1">IF(tbl_ORCL[[#This Row],[RS]]= "", "", 100-(100/(1+tbl_ORCL[[#This Row],[RS]])))</f>
        <v>63.016138682163977</v>
      </c>
      <c r="J23" s="10">
        <f ca="1">IF(ROW($N23)-4&lt;BB_Periods, "", AVERAGE(INDIRECT(ADDRESS(ROW($F23)-RSI_Periods +1, MATCH("Adj Close", Price_Header,0))): INDIRECT(ADDRESS(ROW($F23),MATCH("Adj Close", Price_Header,0)))))</f>
        <v>56.534285642857142</v>
      </c>
      <c r="K23" s="10">
        <f ca="1">IF(tbl_ORCL[[#This Row],[BB_Mean]]="", "", tbl_ORCL[[#This Row],[BB_Mean]]+(BB_Width*tbl_ORCL[[#This Row],[BB_Stdev]]))</f>
        <v>59.237545357505887</v>
      </c>
      <c r="L23" s="10">
        <f ca="1">IF(tbl_ORCL[[#This Row],[BB_Mean]]="", "", tbl_ORCL[[#This Row],[BB_Mean]]-(BB_Width*tbl_ORCL[[#This Row],[BB_Stdev]]))</f>
        <v>53.831025928208398</v>
      </c>
      <c r="M23" s="50">
        <f>IF(ROW(tbl_ORCL[[#This Row],[Adj Close]])=5, 0, $F23-$F22)</f>
        <v>-1.9300009999999972</v>
      </c>
      <c r="N23" s="50">
        <f>MAX(tbl_ORCL[[#This Row],[Move]],0)</f>
        <v>0</v>
      </c>
      <c r="O23" s="50">
        <f>MAX(-tbl_ORCL[[#This Row],[Move]],0)</f>
        <v>1.9300009999999972</v>
      </c>
      <c r="P23" s="50">
        <f ca="1">IF(ROW($N23)-5&lt;RSI_Periods, "", AVERAGE(INDIRECT(ADDRESS(ROW($N23)-RSI_Periods +1, MATCH("Upmove", Price_Header,0))): INDIRECT(ADDRESS(ROW($N23),MATCH("Upmove", Price_Header,0)))))</f>
        <v>0.50142864285714239</v>
      </c>
      <c r="Q23" s="50">
        <f ca="1">IF(ROW($O23)-5&lt;RSI_Periods, "", AVERAGE(INDIRECT(ADDRESS(ROW($O23)-RSI_Periods +1, MATCH("Downmove", Price_Header,0))): INDIRECT(ADDRESS(ROW($O23),MATCH("Downmove", Price_Header,0)))))</f>
        <v>0.2942859999999996</v>
      </c>
      <c r="R23" s="50">
        <f ca="1">IF(tbl_ORCL[[#This Row],[Avg_Upmove]]="", "", tbl_ORCL[[#This Row],[Avg_Upmove]]/tbl_ORCL[[#This Row],[Avg_Downmove]])</f>
        <v>1.7038820836096282</v>
      </c>
      <c r="S23" s="10">
        <f ca="1">IF(ROW($N23)-4&lt;BB_Periods, "", _xlfn.STDEV.S(INDIRECT(ADDRESS(ROW($F23)-RSI_Periods +1, MATCH("Adj Close", Price_Header,0))): INDIRECT(ADDRESS(ROW($F23),MATCH("Adj Close", Price_Header,0)))))</f>
        <v>1.3516298573243737</v>
      </c>
    </row>
    <row r="24" spans="1:19" x14ac:dyDescent="0.25">
      <c r="A24" s="8">
        <v>44078</v>
      </c>
      <c r="B24" s="10">
        <v>56.880001</v>
      </c>
      <c r="C24" s="10">
        <v>57.27</v>
      </c>
      <c r="D24" s="10">
        <v>55.16</v>
      </c>
      <c r="E24" s="10">
        <v>55.73</v>
      </c>
      <c r="F24" s="10">
        <v>55.73</v>
      </c>
      <c r="G24">
        <v>14697200</v>
      </c>
      <c r="H24" s="10">
        <f>IF(tbl_ORCL[[#This Row],[Date]]=$A$5, $F24, EMA_Beta*$H23 + (1-EMA_Beta)*$F24)</f>
        <v>56.381669832167113</v>
      </c>
      <c r="I24" s="50">
        <f ca="1">IF(tbl_ORCL[[#This Row],[RS]]= "", "", 100-(100/(1+tbl_ORCL[[#This Row],[RS]])))</f>
        <v>57.073160301411292</v>
      </c>
      <c r="J24" s="10">
        <f ca="1">IF(ROW($N24)-4&lt;BB_Periods, "", AVERAGE(INDIRECT(ADDRESS(ROW($F24)-RSI_Periods +1, MATCH("Adj Close", Price_Header,0))): INDIRECT(ADDRESS(ROW($F24),MATCH("Adj Close", Price_Header,0)))))</f>
        <v>56.658571214285708</v>
      </c>
      <c r="K24" s="10">
        <f ca="1">IF(tbl_ORCL[[#This Row],[BB_Mean]]="", "", tbl_ORCL[[#This Row],[BB_Mean]]+(BB_Width*tbl_ORCL[[#This Row],[BB_Stdev]]))</f>
        <v>58.992731054572197</v>
      </c>
      <c r="L24" s="10">
        <f ca="1">IF(tbl_ORCL[[#This Row],[BB_Mean]]="", "", tbl_ORCL[[#This Row],[BB_Mean]]-(BB_Width*tbl_ORCL[[#This Row],[BB_Stdev]]))</f>
        <v>54.324411373999219</v>
      </c>
      <c r="M24" s="50">
        <f>IF(ROW(tbl_ORCL[[#This Row],[Adj Close]])=5, 0, $F24-$F23)</f>
        <v>-1.3699980000000025</v>
      </c>
      <c r="N24" s="50">
        <f>MAX(tbl_ORCL[[#This Row],[Move]],0)</f>
        <v>0</v>
      </c>
      <c r="O24" s="50">
        <f>MAX(-tbl_ORCL[[#This Row],[Move]],0)</f>
        <v>1.3699980000000025</v>
      </c>
      <c r="P24" s="50">
        <f ca="1">IF(ROW($N24)-5&lt;RSI_Periods, "", AVERAGE(INDIRECT(ADDRESS(ROW($N24)-RSI_Periods +1, MATCH("Upmove", Price_Header,0))): INDIRECT(ADDRESS(ROW($N24),MATCH("Upmove", Price_Header,0)))))</f>
        <v>0.50142864285714239</v>
      </c>
      <c r="Q24" s="50">
        <f ca="1">IF(ROW($O24)-5&lt;RSI_Periods, "", AVERAGE(INDIRECT(ADDRESS(ROW($O24)-RSI_Periods +1, MATCH("Downmove", Price_Header,0))): INDIRECT(ADDRESS(ROW($O24),MATCH("Downmove", Price_Header,0)))))</f>
        <v>0.37714307142857095</v>
      </c>
      <c r="R24" s="50">
        <f ca="1">IF(tbl_ORCL[[#This Row],[Avg_Upmove]]="", "", tbl_ORCL[[#This Row],[Avg_Upmove]]/tbl_ORCL[[#This Row],[Avg_Downmove]])</f>
        <v>1.3295448885161623</v>
      </c>
      <c r="S24" s="10">
        <f ca="1">IF(ROW($N24)-4&lt;BB_Periods, "", _xlfn.STDEV.S(INDIRECT(ADDRESS(ROW($F24)-RSI_Periods +1, MATCH("Adj Close", Price_Header,0))): INDIRECT(ADDRESS(ROW($F24),MATCH("Adj Close", Price_Header,0)))))</f>
        <v>1.1670799201432449</v>
      </c>
    </row>
    <row r="25" spans="1:19" x14ac:dyDescent="0.25">
      <c r="A25" s="8">
        <v>44082</v>
      </c>
      <c r="B25" s="10">
        <v>55.349997999999999</v>
      </c>
      <c r="C25" s="10">
        <v>55.790000999999997</v>
      </c>
      <c r="D25" s="10">
        <v>54.869999</v>
      </c>
      <c r="E25" s="10">
        <v>55.32</v>
      </c>
      <c r="F25" s="10">
        <v>55.32</v>
      </c>
      <c r="G25">
        <v>16472800</v>
      </c>
      <c r="H25" s="10">
        <f>IF(tbl_ORCL[[#This Row],[Date]]=$A$5, $F25, EMA_Beta*$H24 + (1-EMA_Beta)*$F25)</f>
        <v>56.275502848950396</v>
      </c>
      <c r="I25" s="50">
        <f ca="1">IF(tbl_ORCL[[#This Row],[RS]]= "", "", 100-(100/(1+tbl_ORCL[[#This Row],[RS]])))</f>
        <v>50.607638572410472</v>
      </c>
      <c r="J25" s="10">
        <f ca="1">IF(ROW($N25)-4&lt;BB_Periods, "", AVERAGE(INDIRECT(ADDRESS(ROW($F25)-RSI_Periods +1, MATCH("Adj Close", Price_Header,0))): INDIRECT(ADDRESS(ROW($F25),MATCH("Adj Close", Price_Header,0)))))</f>
        <v>56.668571214285727</v>
      </c>
      <c r="K25" s="10">
        <f ca="1">IF(tbl_ORCL[[#This Row],[BB_Mean]]="", "", tbl_ORCL[[#This Row],[BB_Mean]]+(BB_Width*tbl_ORCL[[#This Row],[BB_Stdev]]))</f>
        <v>58.976496161740293</v>
      </c>
      <c r="L25" s="10">
        <f ca="1">IF(tbl_ORCL[[#This Row],[BB_Mean]]="", "", tbl_ORCL[[#This Row],[BB_Mean]]-(BB_Width*tbl_ORCL[[#This Row],[BB_Stdev]]))</f>
        <v>54.360646266831161</v>
      </c>
      <c r="M25" s="50">
        <f>IF(ROW(tbl_ORCL[[#This Row],[Adj Close]])=5, 0, $F25-$F24)</f>
        <v>-0.40999999999999659</v>
      </c>
      <c r="N25" s="50">
        <f>MAX(tbl_ORCL[[#This Row],[Move]],0)</f>
        <v>0</v>
      </c>
      <c r="O25" s="50">
        <f>MAX(-tbl_ORCL[[#This Row],[Move]],0)</f>
        <v>0.40999999999999659</v>
      </c>
      <c r="P25" s="50">
        <f ca="1">IF(ROW($N25)-5&lt;RSI_Periods, "", AVERAGE(INDIRECT(ADDRESS(ROW($N25)-RSI_Periods +1, MATCH("Upmove", Price_Header,0))): INDIRECT(ADDRESS(ROW($N25),MATCH("Upmove", Price_Header,0)))))</f>
        <v>0.41642878571428504</v>
      </c>
      <c r="Q25" s="50">
        <f ca="1">IF(ROW($O25)-5&lt;RSI_Periods, "", AVERAGE(INDIRECT(ADDRESS(ROW($O25)-RSI_Periods +1, MATCH("Downmove", Price_Header,0))): INDIRECT(ADDRESS(ROW($O25),MATCH("Downmove", Price_Header,0)))))</f>
        <v>0.40642878571428503</v>
      </c>
      <c r="R25" s="50">
        <f ca="1">IF(tbl_ORCL[[#This Row],[Avg_Upmove]]="", "", tbl_ORCL[[#This Row],[Avg_Upmove]]/tbl_ORCL[[#This Row],[Avg_Downmove]])</f>
        <v>1.0246045564475099</v>
      </c>
      <c r="S25" s="10">
        <f ca="1">IF(ROW($N25)-4&lt;BB_Periods, "", _xlfn.STDEV.S(INDIRECT(ADDRESS(ROW($F25)-RSI_Periods +1, MATCH("Adj Close", Price_Header,0))): INDIRECT(ADDRESS(ROW($F25),MATCH("Adj Close", Price_Header,0)))))</f>
        <v>1.1539624737272847</v>
      </c>
    </row>
    <row r="26" spans="1:19" x14ac:dyDescent="0.25">
      <c r="A26" s="8">
        <v>44083</v>
      </c>
      <c r="B26" s="10">
        <v>56.16</v>
      </c>
      <c r="C26" s="10">
        <v>57.400002000000001</v>
      </c>
      <c r="D26" s="10">
        <v>55.860000999999997</v>
      </c>
      <c r="E26" s="10">
        <v>56.950001</v>
      </c>
      <c r="F26" s="10">
        <v>56.950001</v>
      </c>
      <c r="G26">
        <v>13993200</v>
      </c>
      <c r="H26" s="10">
        <f>IF(tbl_ORCL[[#This Row],[Date]]=$A$5, $F26, EMA_Beta*$H25 + (1-EMA_Beta)*$F26)</f>
        <v>56.34295266405536</v>
      </c>
      <c r="I26" s="50">
        <f ca="1">IF(tbl_ORCL[[#This Row],[RS]]= "", "", 100-(100/(1+tbl_ORCL[[#This Row],[RS]])))</f>
        <v>53.091507127036877</v>
      </c>
      <c r="J26" s="10">
        <f ca="1">IF(ROW($N26)-4&lt;BB_Periods, "", AVERAGE(INDIRECT(ADDRESS(ROW($F26)-RSI_Periods +1, MATCH("Adj Close", Price_Header,0))): INDIRECT(ADDRESS(ROW($F26),MATCH("Adj Close", Price_Header,0)))))</f>
        <v>56.72214264285715</v>
      </c>
      <c r="K26" s="10">
        <f ca="1">IF(tbl_ORCL[[#This Row],[BB_Mean]]="", "", tbl_ORCL[[#This Row],[BB_Mean]]+(BB_Width*tbl_ORCL[[#This Row],[BB_Stdev]]))</f>
        <v>59.018001670100176</v>
      </c>
      <c r="L26" s="10">
        <f ca="1">IF(tbl_ORCL[[#This Row],[BB_Mean]]="", "", tbl_ORCL[[#This Row],[BB_Mean]]-(BB_Width*tbl_ORCL[[#This Row],[BB_Stdev]]))</f>
        <v>54.426283615614125</v>
      </c>
      <c r="M26" s="50">
        <f>IF(ROW(tbl_ORCL[[#This Row],[Adj Close]])=5, 0, $F26-$F25)</f>
        <v>1.630001</v>
      </c>
      <c r="N26" s="50">
        <f>MAX(tbl_ORCL[[#This Row],[Move]],0)</f>
        <v>1.630001</v>
      </c>
      <c r="O26" s="50">
        <f>MAX(-tbl_ORCL[[#This Row],[Move]],0)</f>
        <v>0</v>
      </c>
      <c r="P26" s="50">
        <f ca="1">IF(ROW($N26)-5&lt;RSI_Periods, "", AVERAGE(INDIRECT(ADDRESS(ROW($N26)-RSI_Periods +1, MATCH("Upmove", Price_Header,0))): INDIRECT(ADDRESS(ROW($N26),MATCH("Upmove", Price_Header,0)))))</f>
        <v>0.46000021428571358</v>
      </c>
      <c r="Q26" s="50">
        <f ca="1">IF(ROW($O26)-5&lt;RSI_Periods, "", AVERAGE(INDIRECT(ADDRESS(ROW($O26)-RSI_Periods +1, MATCH("Downmove", Price_Header,0))): INDIRECT(ADDRESS(ROW($O26),MATCH("Downmove", Price_Header,0)))))</f>
        <v>0.40642878571428503</v>
      </c>
      <c r="R26" s="50">
        <f ca="1">IF(tbl_ORCL[[#This Row],[Avg_Upmove]]="", "", tbl_ORCL[[#This Row],[Avg_Upmove]]/tbl_ORCL[[#This Row],[Avg_Downmove]])</f>
        <v>1.1318101238259455</v>
      </c>
      <c r="S26" s="10">
        <f ca="1">IF(ROW($N26)-4&lt;BB_Periods, "", _xlfn.STDEV.S(INDIRECT(ADDRESS(ROW($F26)-RSI_Periods +1, MATCH("Adj Close", Price_Header,0))): INDIRECT(ADDRESS(ROW($F26),MATCH("Adj Close", Price_Header,0)))))</f>
        <v>1.147929513621512</v>
      </c>
    </row>
    <row r="27" spans="1:19" x14ac:dyDescent="0.25">
      <c r="A27" s="8">
        <v>44084</v>
      </c>
      <c r="B27" s="10">
        <v>57.439999</v>
      </c>
      <c r="C27" s="10">
        <v>58.18</v>
      </c>
      <c r="D27" s="10">
        <v>56.75</v>
      </c>
      <c r="E27" s="10">
        <v>57.330002</v>
      </c>
      <c r="F27" s="10">
        <v>57.330002</v>
      </c>
      <c r="G27">
        <v>20500900</v>
      </c>
      <c r="H27" s="10">
        <f>IF(tbl_ORCL[[#This Row],[Date]]=$A$5, $F27, EMA_Beta*$H26 + (1-EMA_Beta)*$F27)</f>
        <v>56.441657597649822</v>
      </c>
      <c r="I27" s="50">
        <f ca="1">IF(tbl_ORCL[[#This Row],[RS]]= "", "", 100-(100/(1+tbl_ORCL[[#This Row],[RS]])))</f>
        <v>58.945563026598776</v>
      </c>
      <c r="J27" s="10">
        <f ca="1">IF(ROW($N27)-4&lt;BB_Periods, "", AVERAGE(INDIRECT(ADDRESS(ROW($F27)-RSI_Periods +1, MATCH("Adj Close", Price_Header,0))): INDIRECT(ADDRESS(ROW($F27),MATCH("Adj Close", Price_Header,0)))))</f>
        <v>56.870000071428585</v>
      </c>
      <c r="K27" s="10">
        <f ca="1">IF(tbl_ORCL[[#This Row],[BB_Mean]]="", "", tbl_ORCL[[#This Row],[BB_Mean]]+(BB_Width*tbl_ORCL[[#This Row],[BB_Stdev]]))</f>
        <v>59.022366122654063</v>
      </c>
      <c r="L27" s="10">
        <f ca="1">IF(tbl_ORCL[[#This Row],[BB_Mean]]="", "", tbl_ORCL[[#This Row],[BB_Mean]]-(BB_Width*tbl_ORCL[[#This Row],[BB_Stdev]]))</f>
        <v>54.717634020203107</v>
      </c>
      <c r="M27" s="50">
        <f>IF(ROW(tbl_ORCL[[#This Row],[Adj Close]])=5, 0, $F27-$F26)</f>
        <v>0.38000100000000003</v>
      </c>
      <c r="N27" s="50">
        <f>MAX(tbl_ORCL[[#This Row],[Move]],0)</f>
        <v>0.38000100000000003</v>
      </c>
      <c r="O27" s="50">
        <f>MAX(-tbl_ORCL[[#This Row],[Move]],0)</f>
        <v>0</v>
      </c>
      <c r="P27" s="50">
        <f ca="1">IF(ROW($N27)-5&lt;RSI_Periods, "", AVERAGE(INDIRECT(ADDRESS(ROW($N27)-RSI_Periods +1, MATCH("Upmove", Price_Header,0))): INDIRECT(ADDRESS(ROW($N27),MATCH("Upmove", Price_Header,0)))))</f>
        <v>0.48714314285714216</v>
      </c>
      <c r="Q27" s="50">
        <f ca="1">IF(ROW($O27)-5&lt;RSI_Periods, "", AVERAGE(INDIRECT(ADDRESS(ROW($O27)-RSI_Periods +1, MATCH("Downmove", Price_Header,0))): INDIRECT(ADDRESS(ROW($O27),MATCH("Downmove", Price_Header,0)))))</f>
        <v>0.3392857142857138</v>
      </c>
      <c r="R27" s="50">
        <f ca="1">IF(tbl_ORCL[[#This Row],[Avg_Upmove]]="", "", tbl_ORCL[[#This Row],[Avg_Upmove]]/tbl_ORCL[[#This Row],[Avg_Downmove]])</f>
        <v>1.4357903157894736</v>
      </c>
      <c r="S27" s="10">
        <f ca="1">IF(ROW($N27)-4&lt;BB_Periods, "", _xlfn.STDEV.S(INDIRECT(ADDRESS(ROW($F27)-RSI_Periods +1, MATCH("Adj Close", Price_Header,0))): INDIRECT(ADDRESS(ROW($F27),MATCH("Adj Close", Price_Header,0)))))</f>
        <v>1.0761830256127405</v>
      </c>
    </row>
    <row r="28" spans="1:19" x14ac:dyDescent="0.25">
      <c r="A28" s="8">
        <v>44085</v>
      </c>
      <c r="B28" s="10">
        <v>60.709999000000003</v>
      </c>
      <c r="C28" s="10">
        <v>61.860000999999997</v>
      </c>
      <c r="D28" s="10">
        <v>56.869999</v>
      </c>
      <c r="E28" s="10">
        <v>57</v>
      </c>
      <c r="F28" s="10">
        <v>57</v>
      </c>
      <c r="G28">
        <v>40209400</v>
      </c>
      <c r="H28" s="10">
        <f>IF(tbl_ORCL[[#This Row],[Date]]=$A$5, $F28, EMA_Beta*$H27 + (1-EMA_Beta)*$F28)</f>
        <v>56.497491837884837</v>
      </c>
      <c r="I28" s="50">
        <f ca="1">IF(tbl_ORCL[[#This Row],[RS]]= "", "", 100-(100/(1+tbl_ORCL[[#This Row],[RS]])))</f>
        <v>57.650041965317534</v>
      </c>
      <c r="J28" s="10">
        <f ca="1">IF(ROW($N28)-4&lt;BB_Periods, "", AVERAGE(INDIRECT(ADDRESS(ROW($F28)-RSI_Periods +1, MATCH("Adj Close", Price_Header,0))): INDIRECT(ADDRESS(ROW($F28),MATCH("Adj Close", Price_Header,0)))))</f>
        <v>56.999285857142873</v>
      </c>
      <c r="K28" s="10">
        <f ca="1">IF(tbl_ORCL[[#This Row],[BB_Mean]]="", "", tbl_ORCL[[#This Row],[BB_Mean]]+(BB_Width*tbl_ORCL[[#This Row],[BB_Stdev]]))</f>
        <v>58.922160127205167</v>
      </c>
      <c r="L28" s="10">
        <f ca="1">IF(tbl_ORCL[[#This Row],[BB_Mean]]="", "", tbl_ORCL[[#This Row],[BB_Mean]]-(BB_Width*tbl_ORCL[[#This Row],[BB_Stdev]]))</f>
        <v>55.076411587080578</v>
      </c>
      <c r="M28" s="50">
        <f>IF(ROW(tbl_ORCL[[#This Row],[Adj Close]])=5, 0, $F28-$F27)</f>
        <v>-0.33000200000000035</v>
      </c>
      <c r="N28" s="50">
        <f>MAX(tbl_ORCL[[#This Row],[Move]],0)</f>
        <v>0</v>
      </c>
      <c r="O28" s="50">
        <f>MAX(-tbl_ORCL[[#This Row],[Move]],0)</f>
        <v>0.33000200000000035</v>
      </c>
      <c r="P28" s="50">
        <f ca="1">IF(ROW($N28)-5&lt;RSI_Periods, "", AVERAGE(INDIRECT(ADDRESS(ROW($N28)-RSI_Periods +1, MATCH("Upmove", Price_Header,0))): INDIRECT(ADDRESS(ROW($N28),MATCH("Upmove", Price_Header,0)))))</f>
        <v>0.48714314285714216</v>
      </c>
      <c r="Q28" s="50">
        <f ca="1">IF(ROW($O28)-5&lt;RSI_Periods, "", AVERAGE(INDIRECT(ADDRESS(ROW($O28)-RSI_Periods +1, MATCH("Downmove", Price_Header,0))): INDIRECT(ADDRESS(ROW($O28),MATCH("Downmove", Price_Header,0)))))</f>
        <v>0.35785735714285644</v>
      </c>
      <c r="R28" s="50">
        <f ca="1">IF(tbl_ORCL[[#This Row],[Avg_Upmove]]="", "", tbl_ORCL[[#This Row],[Avg_Upmove]]/tbl_ORCL[[#This Row],[Avg_Downmove]])</f>
        <v>1.3612774283767901</v>
      </c>
      <c r="S28" s="10">
        <f ca="1">IF(ROW($N28)-4&lt;BB_Periods, "", _xlfn.STDEV.S(INDIRECT(ADDRESS(ROW($F28)-RSI_Periods +1, MATCH("Adj Close", Price_Header,0))): INDIRECT(ADDRESS(ROW($F28),MATCH("Adj Close", Price_Header,0)))))</f>
        <v>0.96143713503114658</v>
      </c>
    </row>
    <row r="29" spans="1:19" x14ac:dyDescent="0.25">
      <c r="A29" s="8">
        <v>44088</v>
      </c>
      <c r="B29" s="10">
        <v>60.860000999999997</v>
      </c>
      <c r="C29" s="10">
        <v>61.5</v>
      </c>
      <c r="D29" s="10">
        <v>59.349997999999999</v>
      </c>
      <c r="E29" s="10">
        <v>59.459999000000003</v>
      </c>
      <c r="F29" s="10">
        <v>59.459999000000003</v>
      </c>
      <c r="G29">
        <v>50107400</v>
      </c>
      <c r="H29" s="10">
        <f>IF(tbl_ORCL[[#This Row],[Date]]=$A$5, $F29, EMA_Beta*$H28 + (1-EMA_Beta)*$F29)</f>
        <v>56.793742554096355</v>
      </c>
      <c r="I29" s="50">
        <f ca="1">IF(tbl_ORCL[[#This Row],[RS]]= "", "", 100-(100/(1+tbl_ORCL[[#This Row],[RS]])))</f>
        <v>62.806233137072631</v>
      </c>
      <c r="J29" s="10">
        <f ca="1">IF(ROW($N29)-4&lt;BB_Periods, "", AVERAGE(INDIRECT(ADDRESS(ROW($F29)-RSI_Periods +1, MATCH("Adj Close", Price_Header,0))): INDIRECT(ADDRESS(ROW($F29),MATCH("Adj Close", Price_Header,0)))))</f>
        <v>57.245714500000012</v>
      </c>
      <c r="K29" s="10">
        <f ca="1">IF(tbl_ORCL[[#This Row],[BB_Mean]]="", "", tbl_ORCL[[#This Row],[BB_Mean]]+(BB_Width*tbl_ORCL[[#This Row],[BB_Stdev]]))</f>
        <v>59.481296501859482</v>
      </c>
      <c r="L29" s="10">
        <f ca="1">IF(tbl_ORCL[[#This Row],[BB_Mean]]="", "", tbl_ORCL[[#This Row],[BB_Mean]]-(BB_Width*tbl_ORCL[[#This Row],[BB_Stdev]]))</f>
        <v>55.010132498140543</v>
      </c>
      <c r="M29" s="50">
        <f>IF(ROW(tbl_ORCL[[#This Row],[Adj Close]])=5, 0, $F29-$F28)</f>
        <v>2.4599990000000034</v>
      </c>
      <c r="N29" s="50">
        <f>MAX(tbl_ORCL[[#This Row],[Move]],0)</f>
        <v>2.4599990000000034</v>
      </c>
      <c r="O29" s="50">
        <f>MAX(-tbl_ORCL[[#This Row],[Move]],0)</f>
        <v>0</v>
      </c>
      <c r="P29" s="50">
        <f ca="1">IF(ROW($N29)-5&lt;RSI_Periods, "", AVERAGE(INDIRECT(ADDRESS(ROW($N29)-RSI_Periods +1, MATCH("Upmove", Price_Header,0))): INDIRECT(ADDRESS(ROW($N29),MATCH("Upmove", Price_Header,0)))))</f>
        <v>0.60428599999999932</v>
      </c>
      <c r="Q29" s="50">
        <f ca="1">IF(ROW($O29)-5&lt;RSI_Periods, "", AVERAGE(INDIRECT(ADDRESS(ROW($O29)-RSI_Periods +1, MATCH("Downmove", Price_Header,0))): INDIRECT(ADDRESS(ROW($O29),MATCH("Downmove", Price_Header,0)))))</f>
        <v>0.35785735714285644</v>
      </c>
      <c r="R29" s="50">
        <f ca="1">IF(tbl_ORCL[[#This Row],[Avg_Upmove]]="", "", tbl_ORCL[[#This Row],[Avg_Upmove]]/tbl_ORCL[[#This Row],[Avg_Downmove]])</f>
        <v>1.6886225417429903</v>
      </c>
      <c r="S29" s="10">
        <f ca="1">IF(ROW($N29)-4&lt;BB_Periods, "", _xlfn.STDEV.S(INDIRECT(ADDRESS(ROW($F29)-RSI_Periods +1, MATCH("Adj Close", Price_Header,0))): INDIRECT(ADDRESS(ROW($F29),MATCH("Adj Close", Price_Header,0)))))</f>
        <v>1.1177910009297356</v>
      </c>
    </row>
    <row r="30" spans="1:19" x14ac:dyDescent="0.25">
      <c r="A30" s="8">
        <v>44089</v>
      </c>
      <c r="B30" s="10">
        <v>60.009998000000003</v>
      </c>
      <c r="C30" s="10">
        <v>61.68</v>
      </c>
      <c r="D30" s="10">
        <v>59.389999000000003</v>
      </c>
      <c r="E30" s="10">
        <v>60.939999</v>
      </c>
      <c r="F30" s="10">
        <v>60.939999</v>
      </c>
      <c r="G30">
        <v>30385600</v>
      </c>
      <c r="H30" s="10">
        <f>IF(tbl_ORCL[[#This Row],[Date]]=$A$5, $F30, EMA_Beta*$H29 + (1-EMA_Beta)*$F30)</f>
        <v>57.208368198686721</v>
      </c>
      <c r="I30" s="50">
        <f ca="1">IF(tbl_ORCL[[#This Row],[RS]]= "", "", 100-(100/(1+tbl_ORCL[[#This Row],[RS]])))</f>
        <v>66.307993843983255</v>
      </c>
      <c r="J30" s="10">
        <f ca="1">IF(ROW($N30)-4&lt;BB_Periods, "", AVERAGE(INDIRECT(ADDRESS(ROW($F30)-RSI_Periods +1, MATCH("Adj Close", Price_Header,0))): INDIRECT(ADDRESS(ROW($F30),MATCH("Adj Close", Price_Header,0)))))</f>
        <v>57.592143000000014</v>
      </c>
      <c r="K30" s="10">
        <f ca="1">IF(tbl_ORCL[[#This Row],[BB_Mean]]="", "", tbl_ORCL[[#This Row],[BB_Mean]]+(BB_Width*tbl_ORCL[[#This Row],[BB_Stdev]]))</f>
        <v>60.467760470320059</v>
      </c>
      <c r="L30" s="10">
        <f ca="1">IF(tbl_ORCL[[#This Row],[BB_Mean]]="", "", tbl_ORCL[[#This Row],[BB_Mean]]-(BB_Width*tbl_ORCL[[#This Row],[BB_Stdev]]))</f>
        <v>54.71652552967997</v>
      </c>
      <c r="M30" s="50">
        <f>IF(ROW(tbl_ORCL[[#This Row],[Adj Close]])=5, 0, $F30-$F29)</f>
        <v>1.4799999999999969</v>
      </c>
      <c r="N30" s="50">
        <f>MAX(tbl_ORCL[[#This Row],[Move]],0)</f>
        <v>1.4799999999999969</v>
      </c>
      <c r="O30" s="50">
        <f>MAX(-tbl_ORCL[[#This Row],[Move]],0)</f>
        <v>0</v>
      </c>
      <c r="P30" s="50">
        <f ca="1">IF(ROW($N30)-5&lt;RSI_Periods, "", AVERAGE(INDIRECT(ADDRESS(ROW($N30)-RSI_Periods +1, MATCH("Upmove", Price_Header,0))): INDIRECT(ADDRESS(ROW($N30),MATCH("Upmove", Price_Header,0)))))</f>
        <v>0.70428585714285619</v>
      </c>
      <c r="Q30" s="50">
        <f ca="1">IF(ROW($O30)-5&lt;RSI_Periods, "", AVERAGE(INDIRECT(ADDRESS(ROW($O30)-RSI_Periods +1, MATCH("Downmove", Price_Header,0))): INDIRECT(ADDRESS(ROW($O30),MATCH("Downmove", Price_Header,0)))))</f>
        <v>0.35785735714285644</v>
      </c>
      <c r="R30" s="50">
        <f ca="1">IF(tbl_ORCL[[#This Row],[Avg_Upmove]]="", "", tbl_ORCL[[#This Row],[Avg_Upmove]]/tbl_ORCL[[#This Row],[Avg_Downmove]])</f>
        <v>1.9680630929761931</v>
      </c>
      <c r="S30" s="10">
        <f ca="1">IF(ROW($N30)-4&lt;BB_Periods, "", _xlfn.STDEV.S(INDIRECT(ADDRESS(ROW($F30)-RSI_Periods +1, MATCH("Adj Close", Price_Header,0))): INDIRECT(ADDRESS(ROW($F30),MATCH("Adj Close", Price_Header,0)))))</f>
        <v>1.4378087351600222</v>
      </c>
    </row>
    <row r="31" spans="1:19" x14ac:dyDescent="0.25">
      <c r="A31" s="8">
        <v>44090</v>
      </c>
      <c r="B31" s="10">
        <v>61.119999</v>
      </c>
      <c r="C31" s="10">
        <v>61.389999000000003</v>
      </c>
      <c r="D31" s="10">
        <v>59.650002000000001</v>
      </c>
      <c r="E31" s="10">
        <v>60.43</v>
      </c>
      <c r="F31" s="10">
        <v>60.43</v>
      </c>
      <c r="G31">
        <v>21223300</v>
      </c>
      <c r="H31" s="10">
        <f>IF(tbl_ORCL[[#This Row],[Date]]=$A$5, $F31, EMA_Beta*$H30 + (1-EMA_Beta)*$F31)</f>
        <v>57.530531378818047</v>
      </c>
      <c r="I31" s="50">
        <f ca="1">IF(tbl_ORCL[[#This Row],[RS]]= "", "", 100-(100/(1+tbl_ORCL[[#This Row],[RS]])))</f>
        <v>60.515012801857992</v>
      </c>
      <c r="J31" s="10">
        <f ca="1">IF(ROW($N31)-4&lt;BB_Periods, "", AVERAGE(INDIRECT(ADDRESS(ROW($F31)-RSI_Periods +1, MATCH("Adj Close", Price_Header,0))): INDIRECT(ADDRESS(ROW($F31),MATCH("Adj Close", Price_Header,0)))))</f>
        <v>57.802142857142847</v>
      </c>
      <c r="K31" s="10">
        <f ca="1">IF(tbl_ORCL[[#This Row],[BB_Mean]]="", "", tbl_ORCL[[#This Row],[BB_Mean]]+(BB_Width*tbl_ORCL[[#This Row],[BB_Stdev]]))</f>
        <v>61.050831201894155</v>
      </c>
      <c r="L31" s="10">
        <f ca="1">IF(tbl_ORCL[[#This Row],[BB_Mean]]="", "", tbl_ORCL[[#This Row],[BB_Mean]]-(BB_Width*tbl_ORCL[[#This Row],[BB_Stdev]]))</f>
        <v>54.553454512391539</v>
      </c>
      <c r="M31" s="50">
        <f>IF(ROW(tbl_ORCL[[#This Row],[Adj Close]])=5, 0, $F31-$F30)</f>
        <v>-0.50999900000000054</v>
      </c>
      <c r="N31" s="50">
        <f>MAX(tbl_ORCL[[#This Row],[Move]],0)</f>
        <v>0</v>
      </c>
      <c r="O31" s="50">
        <f>MAX(-tbl_ORCL[[#This Row],[Move]],0)</f>
        <v>0.50999900000000054</v>
      </c>
      <c r="P31" s="50">
        <f ca="1">IF(ROW($N31)-5&lt;RSI_Periods, "", AVERAGE(INDIRECT(ADDRESS(ROW($N31)-RSI_Periods +1, MATCH("Upmove", Price_Header,0))): INDIRECT(ADDRESS(ROW($N31),MATCH("Upmove", Price_Header,0)))))</f>
        <v>0.60428571428571387</v>
      </c>
      <c r="Q31" s="50">
        <f ca="1">IF(ROW($O31)-5&lt;RSI_Periods, "", AVERAGE(INDIRECT(ADDRESS(ROW($O31)-RSI_Periods +1, MATCH("Downmove", Price_Header,0))): INDIRECT(ADDRESS(ROW($O31),MATCH("Downmove", Price_Header,0)))))</f>
        <v>0.39428585714285652</v>
      </c>
      <c r="R31" s="50">
        <f ca="1">IF(tbl_ORCL[[#This Row],[Avg_Upmove]]="", "", tbl_ORCL[[#This Row],[Avg_Upmove]]/tbl_ORCL[[#This Row],[Avg_Downmove]])</f>
        <v>1.5326081403593708</v>
      </c>
      <c r="S31" s="10">
        <f ca="1">IF(ROW($N31)-4&lt;BB_Periods, "", _xlfn.STDEV.S(INDIRECT(ADDRESS(ROW($F31)-RSI_Periods +1, MATCH("Adj Close", Price_Header,0))): INDIRECT(ADDRESS(ROW($F31),MATCH("Adj Close", Price_Header,0)))))</f>
        <v>1.624344172375654</v>
      </c>
    </row>
    <row r="32" spans="1:19" x14ac:dyDescent="0.25">
      <c r="A32" s="8">
        <v>44091</v>
      </c>
      <c r="B32" s="10">
        <v>59.419998</v>
      </c>
      <c r="C32" s="10">
        <v>60.610000999999997</v>
      </c>
      <c r="D32" s="10">
        <v>59</v>
      </c>
      <c r="E32" s="10">
        <v>60.18</v>
      </c>
      <c r="F32" s="10">
        <v>60.18</v>
      </c>
      <c r="G32">
        <v>21555418</v>
      </c>
      <c r="H32" s="10">
        <f>IF(tbl_ORCL[[#This Row],[Date]]=$A$5, $F32, EMA_Beta*$H31 + (1-EMA_Beta)*$F32)</f>
        <v>57.795478240936241</v>
      </c>
      <c r="I32" s="50">
        <f ca="1">IF(tbl_ORCL[[#This Row],[RS]]= "", "", 100-(100/(1+tbl_ORCL[[#This Row],[RS]])))</f>
        <v>60.77586206896553</v>
      </c>
      <c r="J32" s="10">
        <f ca="1">IF(ROW($N32)-4&lt;BB_Periods, "", AVERAGE(INDIRECT(ADDRESS(ROW($F32)-RSI_Periods +1, MATCH("Adj Close", Price_Header,0))): INDIRECT(ADDRESS(ROW($F32),MATCH("Adj Close", Price_Header,0)))))</f>
        <v>58.01642857142857</v>
      </c>
      <c r="K32" s="10">
        <f ca="1">IF(tbl_ORCL[[#This Row],[BB_Mean]]="", "", tbl_ORCL[[#This Row],[BB_Mean]]+(BB_Width*tbl_ORCL[[#This Row],[BB_Stdev]]))</f>
        <v>61.477184717732456</v>
      </c>
      <c r="L32" s="10">
        <f ca="1">IF(tbl_ORCL[[#This Row],[BB_Mean]]="", "", tbl_ORCL[[#This Row],[BB_Mean]]-(BB_Width*tbl_ORCL[[#This Row],[BB_Stdev]]))</f>
        <v>54.555672425124683</v>
      </c>
      <c r="M32" s="50">
        <f>IF(ROW(tbl_ORCL[[#This Row],[Adj Close]])=5, 0, $F32-$F31)</f>
        <v>-0.25</v>
      </c>
      <c r="N32" s="50">
        <f>MAX(tbl_ORCL[[#This Row],[Move]],0)</f>
        <v>0</v>
      </c>
      <c r="O32" s="50">
        <f>MAX(-tbl_ORCL[[#This Row],[Move]],0)</f>
        <v>0.25</v>
      </c>
      <c r="P32" s="50">
        <f ca="1">IF(ROW($N32)-5&lt;RSI_Periods, "", AVERAGE(INDIRECT(ADDRESS(ROW($N32)-RSI_Periods +1, MATCH("Upmove", Price_Header,0))): INDIRECT(ADDRESS(ROW($N32),MATCH("Upmove", Price_Header,0)))))</f>
        <v>0.60428571428571387</v>
      </c>
      <c r="Q32" s="50">
        <f ca="1">IF(ROW($O32)-5&lt;RSI_Periods, "", AVERAGE(INDIRECT(ADDRESS(ROW($O32)-RSI_Periods +1, MATCH("Downmove", Price_Header,0))): INDIRECT(ADDRESS(ROW($O32),MATCH("Downmove", Price_Header,0)))))</f>
        <v>0.38999999999999957</v>
      </c>
      <c r="R32" s="50">
        <f ca="1">IF(tbl_ORCL[[#This Row],[Avg_Upmove]]="", "", tbl_ORCL[[#This Row],[Avg_Upmove]]/tbl_ORCL[[#This Row],[Avg_Downmove]])</f>
        <v>1.5494505494505502</v>
      </c>
      <c r="S32" s="10">
        <f ca="1">IF(ROW($N32)-4&lt;BB_Periods, "", _xlfn.STDEV.S(INDIRECT(ADDRESS(ROW($F32)-RSI_Periods +1, MATCH("Adj Close", Price_Header,0))): INDIRECT(ADDRESS(ROW($F32),MATCH("Adj Close", Price_Header,0)))))</f>
        <v>1.7303780731519438</v>
      </c>
    </row>
    <row r="33" spans="1:19" x14ac:dyDescent="0.25">
      <c r="A33" t="s">
        <v>162</v>
      </c>
      <c r="B33" s="61"/>
      <c r="C33" s="61"/>
      <c r="D33" s="61"/>
      <c r="E33" s="61"/>
      <c r="F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>
        <f ca="1">SUBTOTAL(103,tbl_ORCL[BB_Stdev])</f>
        <v>28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selection activeCell="J9" sqref="J9"/>
    </sheetView>
  </sheetViews>
  <sheetFormatPr defaultRowHeight="15" x14ac:dyDescent="0.25"/>
  <cols>
    <col min="1" max="1" width="9.7109375" bestFit="1" customWidth="1"/>
    <col min="6" max="6" width="11.42578125" customWidth="1"/>
    <col min="7" max="7" width="10.140625" customWidth="1"/>
    <col min="10" max="10" width="11.5703125" customWidth="1"/>
    <col min="11" max="11" width="12" customWidth="1"/>
    <col min="12" max="12" width="11.85546875" customWidth="1"/>
    <col min="14" max="14" width="10.7109375" customWidth="1"/>
    <col min="15" max="15" width="13.28515625" customWidth="1"/>
    <col min="16" max="16" width="15" customWidth="1"/>
    <col min="17" max="17" width="17.5703125" customWidth="1"/>
    <col min="19" max="19" width="11.42578125" customWidth="1"/>
  </cols>
  <sheetData>
    <row r="1" spans="1:19" ht="21" x14ac:dyDescent="0.35">
      <c r="A1" s="41" t="s">
        <v>250</v>
      </c>
      <c r="B1" s="13"/>
      <c r="C1" s="13"/>
      <c r="D1" s="13"/>
      <c r="E1" s="13"/>
      <c r="F1" s="13"/>
    </row>
    <row r="2" spans="1:19" x14ac:dyDescent="0.25">
      <c r="A2" t="s">
        <v>251</v>
      </c>
    </row>
    <row r="4" spans="1:19" x14ac:dyDescent="0.2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25">
      <c r="A5" s="8">
        <v>44053</v>
      </c>
      <c r="B5" s="10">
        <v>34.610000999999997</v>
      </c>
      <c r="C5" s="10">
        <v>36.099997999999999</v>
      </c>
      <c r="D5" s="10">
        <v>34.509998000000003</v>
      </c>
      <c r="E5" s="10">
        <v>35.169998</v>
      </c>
      <c r="F5" s="10">
        <v>35.169998</v>
      </c>
      <c r="G5">
        <v>207000</v>
      </c>
      <c r="H5" s="10">
        <f>IF(tbl_AKRO[[#This Row],[Date]]=$A$5, $F5, EMA_Beta*$H4 + (1-EMA_Beta)*$F5)</f>
        <v>35.169998</v>
      </c>
      <c r="I5" s="46" t="str">
        <f ca="1">IF(tbl_AKRO[[#This Row],[RS]]= "", "", 100-(100/(1+tbl_AKRO[[#This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IF(tbl_AKRO[[#This Row],[BB_Mean]]="", "", tbl_AKRO[[#This Row],[BB_Mean]]+(BB_Width*tbl_AKRO[[#This Row],[BB_Stdev]]))</f>
        <v/>
      </c>
      <c r="L5" s="10" t="str">
        <f ca="1">IF(tbl_AKRO[[#This Row],[BB_Mean]]="", "", tbl_AKRO[[#This Row],[BB_Mean]]-(BB_Width*tbl_AKRO[[#This Row],[BB_Stdev]]))</f>
        <v/>
      </c>
      <c r="M5" s="46">
        <f>IF(ROW(tbl_AKRO[[#This Row],[Adj Close]])=5, 0, $F5-$F4)</f>
        <v>0</v>
      </c>
      <c r="N5" s="46">
        <f>MAX(tbl_AKRO[[#This Row],[Move]],0)</f>
        <v>0</v>
      </c>
      <c r="O5" s="46">
        <f>MAX(-tbl_AKRO[[#This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IF(tbl_AKRO[[#This Row],[Avg_Upmove]]="", "", tbl_AKRO[[#This Row],[Avg_Upmove]]/tbl_AKRO[[#This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25">
      <c r="A6" s="8">
        <v>44054</v>
      </c>
      <c r="B6" s="10">
        <v>35.220001000000003</v>
      </c>
      <c r="C6" s="10">
        <v>35.895000000000003</v>
      </c>
      <c r="D6" s="10">
        <v>34.650002000000001</v>
      </c>
      <c r="E6" s="10">
        <v>34.93</v>
      </c>
      <c r="F6" s="10">
        <v>34.93</v>
      </c>
      <c r="G6">
        <v>255500</v>
      </c>
      <c r="H6" s="10">
        <f>IF(tbl_AKRO[[#This Row],[Date]]=$A$5, $F6, EMA_Beta*$H5 + (1-EMA_Beta)*$F6)</f>
        <v>35.145998200000001</v>
      </c>
      <c r="I6" s="46" t="str">
        <f ca="1">IF(tbl_AKRO[[#This Row],[RS]]= "", "", 100-(100/(1+tbl_AKRO[[#This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IF(tbl_AKRO[[#This Row],[BB_Mean]]="", "", tbl_AKRO[[#This Row],[BB_Mean]]+(BB_Width*tbl_AKRO[[#This Row],[BB_Stdev]]))</f>
        <v/>
      </c>
      <c r="L6" s="10" t="str">
        <f ca="1">IF(tbl_AKRO[[#This Row],[BB_Mean]]="", "", tbl_AKRO[[#This Row],[BB_Mean]]-(BB_Width*tbl_AKRO[[#This Row],[BB_Stdev]]))</f>
        <v/>
      </c>
      <c r="M6" s="46">
        <f>IF(ROW(tbl_AKRO[[#This Row],[Adj Close]])=5, 0, $F6-$F5)</f>
        <v>-0.23999799999999993</v>
      </c>
      <c r="N6" s="46">
        <f>MAX(tbl_AKRO[[#This Row],[Move]],0)</f>
        <v>0</v>
      </c>
      <c r="O6" s="46">
        <f>MAX(-tbl_AKRO[[#This Row],[Move]],0)</f>
        <v>0.23999799999999993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IF(tbl_AKRO[[#This Row],[Avg_Upmove]]="", "", tbl_AKRO[[#This Row],[Avg_Upmove]]/tbl_AKRO[[#This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25">
      <c r="A7" s="8">
        <v>44055</v>
      </c>
      <c r="B7" s="10">
        <v>35.020000000000003</v>
      </c>
      <c r="C7" s="10">
        <v>35.279998999999997</v>
      </c>
      <c r="D7" s="10">
        <v>33.237000000000002</v>
      </c>
      <c r="E7" s="10">
        <v>34.459999000000003</v>
      </c>
      <c r="F7" s="10">
        <v>34.459999000000003</v>
      </c>
      <c r="G7">
        <v>133500</v>
      </c>
      <c r="H7" s="10">
        <f>IF(tbl_AKRO[[#This Row],[Date]]=$A$5, $F7, EMA_Beta*$H6 + (1-EMA_Beta)*$F7)</f>
        <v>35.077398279999997</v>
      </c>
      <c r="I7" s="46" t="str">
        <f ca="1">IF(tbl_AKRO[[#This Row],[RS]]= "", "", 100-(100/(1+tbl_AKRO[[#This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IF(tbl_AKRO[[#This Row],[BB_Mean]]="", "", tbl_AKRO[[#This Row],[BB_Mean]]+(BB_Width*tbl_AKRO[[#This Row],[BB_Stdev]]))</f>
        <v/>
      </c>
      <c r="L7" s="10" t="str">
        <f ca="1">IF(tbl_AKRO[[#This Row],[BB_Mean]]="", "", tbl_AKRO[[#This Row],[BB_Mean]]-(BB_Width*tbl_AKRO[[#This Row],[BB_Stdev]]))</f>
        <v/>
      </c>
      <c r="M7" s="46">
        <f>IF(ROW(tbl_AKRO[[#This Row],[Adj Close]])=5, 0, $F7-$F6)</f>
        <v>-0.47000099999999634</v>
      </c>
      <c r="N7" s="46">
        <f>MAX(tbl_AKRO[[#This Row],[Move]],0)</f>
        <v>0</v>
      </c>
      <c r="O7" s="46">
        <f>MAX(-tbl_AKRO[[#This Row],[Move]],0)</f>
        <v>0.47000099999999634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IF(tbl_AKRO[[#This Row],[Avg_Upmove]]="", "", tbl_AKRO[[#This Row],[Avg_Upmove]]/tbl_AKRO[[#This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25">
      <c r="A8" s="8">
        <v>44056</v>
      </c>
      <c r="B8" s="10">
        <v>34.040000999999997</v>
      </c>
      <c r="C8" s="10">
        <v>35.189999</v>
      </c>
      <c r="D8" s="10">
        <v>33.869999</v>
      </c>
      <c r="E8" s="10">
        <v>34.610000999999997</v>
      </c>
      <c r="F8" s="10">
        <v>34.610000999999997</v>
      </c>
      <c r="G8">
        <v>249100</v>
      </c>
      <c r="H8" s="10">
        <f>IF(tbl_AKRO[[#This Row],[Date]]=$A$5, $F8, EMA_Beta*$H7 + (1-EMA_Beta)*$F8)</f>
        <v>35.030658551999998</v>
      </c>
      <c r="I8" s="46" t="str">
        <f ca="1">IF(tbl_AKRO[[#This Row],[RS]]= "", "", 100-(100/(1+tbl_AKRO[[#This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IF(tbl_AKRO[[#This Row],[BB_Mean]]="", "", tbl_AKRO[[#This Row],[BB_Mean]]+(BB_Width*tbl_AKRO[[#This Row],[BB_Stdev]]))</f>
        <v/>
      </c>
      <c r="L8" s="10" t="str">
        <f ca="1">IF(tbl_AKRO[[#This Row],[BB_Mean]]="", "", tbl_AKRO[[#This Row],[BB_Mean]]-(BB_Width*tbl_AKRO[[#This Row],[BB_Stdev]]))</f>
        <v/>
      </c>
      <c r="M8" s="46">
        <f>IF(ROW(tbl_AKRO[[#This Row],[Adj Close]])=5, 0, $F8-$F7)</f>
        <v>0.15000199999999353</v>
      </c>
      <c r="N8" s="46">
        <f>MAX(tbl_AKRO[[#This Row],[Move]],0)</f>
        <v>0.15000199999999353</v>
      </c>
      <c r="O8" s="46">
        <f>MAX(-tbl_AKRO[[#This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IF(tbl_AKRO[[#This Row],[Avg_Upmove]]="", "", tbl_AKRO[[#This Row],[Avg_Upmove]]/tbl_AKRO[[#This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25">
      <c r="A9" s="8">
        <v>44057</v>
      </c>
      <c r="B9" s="10">
        <v>34.669998</v>
      </c>
      <c r="C9" s="10">
        <v>35.119999</v>
      </c>
      <c r="D9" s="10">
        <v>32.849997999999999</v>
      </c>
      <c r="E9" s="10">
        <v>33.990001999999997</v>
      </c>
      <c r="F9" s="10">
        <v>33.990001999999997</v>
      </c>
      <c r="G9">
        <v>266000</v>
      </c>
      <c r="H9" s="10">
        <f>IF(tbl_AKRO[[#This Row],[Date]]=$A$5, $F9, EMA_Beta*$H8 + (1-EMA_Beta)*$F9)</f>
        <v>34.926592896799995</v>
      </c>
      <c r="I9" s="46" t="str">
        <f ca="1">IF(tbl_AKRO[[#This Row],[RS]]= "", "", 100-(100/(1+tbl_AKRO[[#This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IF(tbl_AKRO[[#This Row],[BB_Mean]]="", "", tbl_AKRO[[#This Row],[BB_Mean]]+(BB_Width*tbl_AKRO[[#This Row],[BB_Stdev]]))</f>
        <v/>
      </c>
      <c r="L9" s="10" t="str">
        <f ca="1">IF(tbl_AKRO[[#This Row],[BB_Mean]]="", "", tbl_AKRO[[#This Row],[BB_Mean]]-(BB_Width*tbl_AKRO[[#This Row],[BB_Stdev]]))</f>
        <v/>
      </c>
      <c r="M9" s="46">
        <f>IF(ROW(tbl_AKRO[[#This Row],[Adj Close]])=5, 0, $F9-$F8)</f>
        <v>-0.61999899999999997</v>
      </c>
      <c r="N9" s="46">
        <f>MAX(tbl_AKRO[[#This Row],[Move]],0)</f>
        <v>0</v>
      </c>
      <c r="O9" s="46">
        <f>MAX(-tbl_AKRO[[#This Row],[Move]],0)</f>
        <v>0.61999899999999997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IF(tbl_AKRO[[#This Row],[Avg_Upmove]]="", "", tbl_AKRO[[#This Row],[Avg_Upmove]]/tbl_AKRO[[#This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25">
      <c r="A10" s="8">
        <v>44060</v>
      </c>
      <c r="B10" s="10">
        <v>34.020000000000003</v>
      </c>
      <c r="C10" s="10">
        <v>35.32</v>
      </c>
      <c r="D10" s="10">
        <v>33.895000000000003</v>
      </c>
      <c r="E10" s="10">
        <v>34.650002000000001</v>
      </c>
      <c r="F10" s="10">
        <v>34.650002000000001</v>
      </c>
      <c r="G10">
        <v>142200</v>
      </c>
      <c r="H10" s="10">
        <f>IF(tbl_AKRO[[#This Row],[Date]]=$A$5, $F10, EMA_Beta*$H9 + (1-EMA_Beta)*$F10)</f>
        <v>34.898933807119995</v>
      </c>
      <c r="I10" s="46" t="str">
        <f ca="1">IF(tbl_AKRO[[#This Row],[RS]]= "", "", 100-(100/(1+tbl_AKRO[[#This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IF(tbl_AKRO[[#This Row],[BB_Mean]]="", "", tbl_AKRO[[#This Row],[BB_Mean]]+(BB_Width*tbl_AKRO[[#This Row],[BB_Stdev]]))</f>
        <v/>
      </c>
      <c r="L10" s="10" t="str">
        <f ca="1">IF(tbl_AKRO[[#This Row],[BB_Mean]]="", "", tbl_AKRO[[#This Row],[BB_Mean]]-(BB_Width*tbl_AKRO[[#This Row],[BB_Stdev]]))</f>
        <v/>
      </c>
      <c r="M10" s="46">
        <f>IF(ROW(tbl_AKRO[[#This Row],[Adj Close]])=5, 0, $F10-$F9)</f>
        <v>0.66000000000000369</v>
      </c>
      <c r="N10" s="46">
        <f>MAX(tbl_AKRO[[#This Row],[Move]],0)</f>
        <v>0.66000000000000369</v>
      </c>
      <c r="O10" s="46">
        <f>MAX(-tbl_AKRO[[#This Row],[Move]],0)</f>
        <v>0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IF(tbl_AKRO[[#This Row],[Avg_Upmove]]="", "", tbl_AKRO[[#This Row],[Avg_Upmove]]/tbl_AKRO[[#This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25">
      <c r="A11" s="8">
        <v>44061</v>
      </c>
      <c r="B11" s="10">
        <v>34.669998</v>
      </c>
      <c r="C11" s="10">
        <v>36.270000000000003</v>
      </c>
      <c r="D11" s="10">
        <v>33.909999999999997</v>
      </c>
      <c r="E11" s="10">
        <v>36.020000000000003</v>
      </c>
      <c r="F11" s="10">
        <v>36.020000000000003</v>
      </c>
      <c r="G11">
        <v>303600</v>
      </c>
      <c r="H11" s="10">
        <f>IF(tbl_AKRO[[#This Row],[Date]]=$A$5, $F11, EMA_Beta*$H10 + (1-EMA_Beta)*$F11)</f>
        <v>35.011040426407995</v>
      </c>
      <c r="I11" s="46" t="str">
        <f ca="1">IF(tbl_AKRO[[#This Row],[RS]]= "", "", 100-(100/(1+tbl_AKRO[[#This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IF(tbl_AKRO[[#This Row],[BB_Mean]]="", "", tbl_AKRO[[#This Row],[BB_Mean]]+(BB_Width*tbl_AKRO[[#This Row],[BB_Stdev]]))</f>
        <v/>
      </c>
      <c r="L11" s="10" t="str">
        <f ca="1">IF(tbl_AKRO[[#This Row],[BB_Mean]]="", "", tbl_AKRO[[#This Row],[BB_Mean]]-(BB_Width*tbl_AKRO[[#This Row],[BB_Stdev]]))</f>
        <v/>
      </c>
      <c r="M11" s="46">
        <f>IF(ROW(tbl_AKRO[[#This Row],[Adj Close]])=5, 0, $F11-$F10)</f>
        <v>1.3699980000000025</v>
      </c>
      <c r="N11" s="46">
        <f>MAX(tbl_AKRO[[#This Row],[Move]],0)</f>
        <v>1.3699980000000025</v>
      </c>
      <c r="O11" s="46">
        <f>MAX(-tbl_AKRO[[#This Row],[Move]],0)</f>
        <v>0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IF(tbl_AKRO[[#This Row],[Avg_Upmove]]="", "", tbl_AKRO[[#This Row],[Avg_Upmove]]/tbl_AKRO[[#This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25">
      <c r="A12" s="8">
        <v>44062</v>
      </c>
      <c r="B12" s="10">
        <v>35.900002000000001</v>
      </c>
      <c r="C12" s="10">
        <v>36.209999000000003</v>
      </c>
      <c r="D12" s="10">
        <v>34.849997999999999</v>
      </c>
      <c r="E12" s="10">
        <v>35.349997999999999</v>
      </c>
      <c r="F12" s="10">
        <v>35.349997999999999</v>
      </c>
      <c r="G12">
        <v>103800</v>
      </c>
      <c r="H12" s="10">
        <f>IF(tbl_AKRO[[#This Row],[Date]]=$A$5, $F12, EMA_Beta*$H11 + (1-EMA_Beta)*$F12)</f>
        <v>35.044936183767199</v>
      </c>
      <c r="I12" s="46" t="str">
        <f ca="1">IF(tbl_AKRO[[#This Row],[RS]]= "", "", 100-(100/(1+tbl_AKRO[[#This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IF(tbl_AKRO[[#This Row],[BB_Mean]]="", "", tbl_AKRO[[#This Row],[BB_Mean]]+(BB_Width*tbl_AKRO[[#This Row],[BB_Stdev]]))</f>
        <v/>
      </c>
      <c r="L12" s="10" t="str">
        <f ca="1">IF(tbl_AKRO[[#This Row],[BB_Mean]]="", "", tbl_AKRO[[#This Row],[BB_Mean]]-(BB_Width*tbl_AKRO[[#This Row],[BB_Stdev]]))</f>
        <v/>
      </c>
      <c r="M12" s="46">
        <f>IF(ROW(tbl_AKRO[[#This Row],[Adj Close]])=5, 0, $F12-$F11)</f>
        <v>-0.67000200000000376</v>
      </c>
      <c r="N12" s="46">
        <f>MAX(tbl_AKRO[[#This Row],[Move]],0)</f>
        <v>0</v>
      </c>
      <c r="O12" s="46">
        <f>MAX(-tbl_AKRO[[#This Row],[Move]],0)</f>
        <v>0.67000200000000376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IF(tbl_AKRO[[#This Row],[Avg_Upmove]]="", "", tbl_AKRO[[#This Row],[Avg_Upmove]]/tbl_AKRO[[#This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25">
      <c r="A13" s="8">
        <v>44063</v>
      </c>
      <c r="B13" s="10">
        <v>35.139999000000003</v>
      </c>
      <c r="C13" s="10">
        <v>35.220001000000003</v>
      </c>
      <c r="D13" s="10">
        <v>33.959999000000003</v>
      </c>
      <c r="E13" s="10">
        <v>34.439999</v>
      </c>
      <c r="F13" s="10">
        <v>34.439999</v>
      </c>
      <c r="G13">
        <v>122700</v>
      </c>
      <c r="H13" s="10">
        <f>IF(tbl_AKRO[[#This Row],[Date]]=$A$5, $F13, EMA_Beta*$H12 + (1-EMA_Beta)*$F13)</f>
        <v>34.98444246539048</v>
      </c>
      <c r="I13" s="46" t="str">
        <f ca="1">IF(tbl_AKRO[[#This Row],[RS]]= "", "", 100-(100/(1+tbl_AKRO[[#This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IF(tbl_AKRO[[#This Row],[BB_Mean]]="", "", tbl_AKRO[[#This Row],[BB_Mean]]+(BB_Width*tbl_AKRO[[#This Row],[BB_Stdev]]))</f>
        <v/>
      </c>
      <c r="L13" s="10" t="str">
        <f ca="1">IF(tbl_AKRO[[#This Row],[BB_Mean]]="", "", tbl_AKRO[[#This Row],[BB_Mean]]-(BB_Width*tbl_AKRO[[#This Row],[BB_Stdev]]))</f>
        <v/>
      </c>
      <c r="M13" s="46">
        <f>IF(ROW(tbl_AKRO[[#This Row],[Adj Close]])=5, 0, $F13-$F12)</f>
        <v>-0.90999899999999911</v>
      </c>
      <c r="N13" s="46">
        <f>MAX(tbl_AKRO[[#This Row],[Move]],0)</f>
        <v>0</v>
      </c>
      <c r="O13" s="46">
        <f>MAX(-tbl_AKRO[[#This Row],[Move]],0)</f>
        <v>0.90999899999999911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IF(tbl_AKRO[[#This Row],[Avg_Upmove]]="", "", tbl_AKRO[[#This Row],[Avg_Upmove]]/tbl_AKRO[[#This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25">
      <c r="A14" s="8">
        <v>44064</v>
      </c>
      <c r="B14" s="10">
        <v>34.310001</v>
      </c>
      <c r="C14" s="10">
        <v>34.755001</v>
      </c>
      <c r="D14" s="10">
        <v>34.044998</v>
      </c>
      <c r="E14" s="10">
        <v>34.540000999999997</v>
      </c>
      <c r="F14" s="10">
        <v>34.540000999999997</v>
      </c>
      <c r="G14">
        <v>124900</v>
      </c>
      <c r="H14" s="10">
        <f>IF(tbl_AKRO[[#This Row],[Date]]=$A$5, $F14, EMA_Beta*$H13 + (1-EMA_Beta)*$F14)</f>
        <v>34.93999831885143</v>
      </c>
      <c r="I14" s="46" t="str">
        <f ca="1">IF(tbl_AKRO[[#This Row],[RS]]= "", "", 100-(100/(1+tbl_AKRO[[#This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IF(tbl_AKRO[[#This Row],[BB_Mean]]="", "", tbl_AKRO[[#This Row],[BB_Mean]]+(BB_Width*tbl_AKRO[[#This Row],[BB_Stdev]]))</f>
        <v/>
      </c>
      <c r="L14" s="10" t="str">
        <f ca="1">IF(tbl_AKRO[[#This Row],[BB_Mean]]="", "", tbl_AKRO[[#This Row],[BB_Mean]]-(BB_Width*tbl_AKRO[[#This Row],[BB_Stdev]]))</f>
        <v/>
      </c>
      <c r="M14" s="46">
        <f>IF(ROW(tbl_AKRO[[#This Row],[Adj Close]])=5, 0, $F14-$F13)</f>
        <v>0.10000199999999637</v>
      </c>
      <c r="N14" s="46">
        <f>MAX(tbl_AKRO[[#This Row],[Move]],0)</f>
        <v>0.10000199999999637</v>
      </c>
      <c r="O14" s="46">
        <f>MAX(-tbl_AKRO[[#This Row],[Move]],0)</f>
        <v>0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IF(tbl_AKRO[[#This Row],[Avg_Upmove]]="", "", tbl_AKRO[[#This Row],[Avg_Upmove]]/tbl_AKRO[[#This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25">
      <c r="A15" s="8">
        <v>44067</v>
      </c>
      <c r="B15" s="10">
        <v>34.700001</v>
      </c>
      <c r="C15" s="10">
        <v>34.700001</v>
      </c>
      <c r="D15" s="10">
        <v>33.397998999999999</v>
      </c>
      <c r="E15" s="10">
        <v>34.060001</v>
      </c>
      <c r="F15" s="10">
        <v>34.060001</v>
      </c>
      <c r="G15">
        <v>80500</v>
      </c>
      <c r="H15" s="10">
        <f>IF(tbl_AKRO[[#This Row],[Date]]=$A$5, $F15, EMA_Beta*$H14 + (1-EMA_Beta)*$F15)</f>
        <v>34.851998586966289</v>
      </c>
      <c r="I15" s="46" t="str">
        <f ca="1">IF(tbl_AKRO[[#This Row],[RS]]= "", "", 100-(100/(1+tbl_AKRO[[#This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IF(tbl_AKRO[[#This Row],[BB_Mean]]="", "", tbl_AKRO[[#This Row],[BB_Mean]]+(BB_Width*tbl_AKRO[[#This Row],[BB_Stdev]]))</f>
        <v/>
      </c>
      <c r="L15" s="10" t="str">
        <f ca="1">IF(tbl_AKRO[[#This Row],[BB_Mean]]="", "", tbl_AKRO[[#This Row],[BB_Mean]]-(BB_Width*tbl_AKRO[[#This Row],[BB_Stdev]]))</f>
        <v/>
      </c>
      <c r="M15" s="46">
        <f>IF(ROW(tbl_AKRO[[#This Row],[Adj Close]])=5, 0, $F15-$F14)</f>
        <v>-0.47999999999999687</v>
      </c>
      <c r="N15" s="46">
        <f>MAX(tbl_AKRO[[#This Row],[Move]],0)</f>
        <v>0</v>
      </c>
      <c r="O15" s="46">
        <f>MAX(-tbl_AKRO[[#This Row],[Move]],0)</f>
        <v>0.47999999999999687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IF(tbl_AKRO[[#This Row],[Avg_Upmove]]="", "", tbl_AKRO[[#This Row],[Avg_Upmove]]/tbl_AKRO[[#This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25">
      <c r="A16" s="8">
        <v>44068</v>
      </c>
      <c r="B16" s="10">
        <v>33.889999000000003</v>
      </c>
      <c r="C16" s="10">
        <v>34.880001</v>
      </c>
      <c r="D16" s="10">
        <v>33.770000000000003</v>
      </c>
      <c r="E16" s="10">
        <v>34.729999999999997</v>
      </c>
      <c r="F16" s="10">
        <v>34.729999999999997</v>
      </c>
      <c r="G16">
        <v>62700</v>
      </c>
      <c r="H16" s="10">
        <f>IF(tbl_AKRO[[#This Row],[Date]]=$A$5, $F16, EMA_Beta*$H15 + (1-EMA_Beta)*$F16)</f>
        <v>34.839798728269656</v>
      </c>
      <c r="I16" s="46" t="str">
        <f ca="1">IF(tbl_AKRO[[#This Row],[RS]]= "", "", 100-(100/(1+tbl_AKRO[[#This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IF(tbl_AKRO[[#This Row],[BB_Mean]]="", "", tbl_AKRO[[#This Row],[BB_Mean]]+(BB_Width*tbl_AKRO[[#This Row],[BB_Stdev]]))</f>
        <v/>
      </c>
      <c r="L16" s="10" t="str">
        <f ca="1">IF(tbl_AKRO[[#This Row],[BB_Mean]]="", "", tbl_AKRO[[#This Row],[BB_Mean]]-(BB_Width*tbl_AKRO[[#This Row],[BB_Stdev]]))</f>
        <v/>
      </c>
      <c r="M16" s="46">
        <f>IF(ROW(tbl_AKRO[[#This Row],[Adj Close]])=5, 0, $F16-$F15)</f>
        <v>0.66999899999999712</v>
      </c>
      <c r="N16" s="46">
        <f>MAX(tbl_AKRO[[#This Row],[Move]],0)</f>
        <v>0.66999899999999712</v>
      </c>
      <c r="O16" s="46">
        <f>MAX(-tbl_AKRO[[#This Row],[Move]],0)</f>
        <v>0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IF(tbl_AKRO[[#This Row],[Avg_Upmove]]="", "", tbl_AKRO[[#This Row],[Avg_Upmove]]/tbl_AKRO[[#This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25">
      <c r="A17" s="8">
        <v>44069</v>
      </c>
      <c r="B17" s="10">
        <v>34.729999999999997</v>
      </c>
      <c r="C17" s="10">
        <v>35</v>
      </c>
      <c r="D17" s="10">
        <v>33.330002</v>
      </c>
      <c r="E17" s="10">
        <v>33.540000999999997</v>
      </c>
      <c r="F17" s="10">
        <v>33.540000999999997</v>
      </c>
      <c r="G17">
        <v>137800</v>
      </c>
      <c r="H17" s="10">
        <f>IF(tbl_AKRO[[#This Row],[Date]]=$A$5, $F17, EMA_Beta*$H16 + (1-EMA_Beta)*$F17)</f>
        <v>34.709818955442692</v>
      </c>
      <c r="I17" s="46" t="str">
        <f ca="1">IF(tbl_AKRO[[#This Row],[RS]]= "", "", 100-(100/(1+tbl_AKRO[[#This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IF(tbl_AKRO[[#This Row],[BB_Mean]]="", "", tbl_AKRO[[#This Row],[BB_Mean]]+(BB_Width*tbl_AKRO[[#This Row],[BB_Stdev]]))</f>
        <v/>
      </c>
      <c r="L17" s="10" t="str">
        <f ca="1">IF(tbl_AKRO[[#This Row],[BB_Mean]]="", "", tbl_AKRO[[#This Row],[BB_Mean]]-(BB_Width*tbl_AKRO[[#This Row],[BB_Stdev]]))</f>
        <v/>
      </c>
      <c r="M17" s="46">
        <f>IF(ROW(tbl_AKRO[[#This Row],[Adj Close]])=5, 0, $F17-$F16)</f>
        <v>-1.1899990000000003</v>
      </c>
      <c r="N17" s="46">
        <f>MAX(tbl_AKRO[[#This Row],[Move]],0)</f>
        <v>0</v>
      </c>
      <c r="O17" s="46">
        <f>MAX(-tbl_AKRO[[#This Row],[Move]],0)</f>
        <v>1.1899990000000003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IF(tbl_AKRO[[#This Row],[Avg_Upmove]]="", "", tbl_AKRO[[#This Row],[Avg_Upmove]]/tbl_AKRO[[#This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25">
      <c r="A18" s="8">
        <v>44070</v>
      </c>
      <c r="B18" s="10">
        <v>33.729999999999997</v>
      </c>
      <c r="C18" s="10">
        <v>33.729999999999997</v>
      </c>
      <c r="D18" s="10">
        <v>31.59</v>
      </c>
      <c r="E18" s="10">
        <v>31.65</v>
      </c>
      <c r="F18" s="10">
        <v>31.65</v>
      </c>
      <c r="G18">
        <v>114600</v>
      </c>
      <c r="H18" s="10">
        <f>IF(tbl_AKRO[[#This Row],[Date]]=$A$5, $F18, EMA_Beta*$H17 + (1-EMA_Beta)*$F18)</f>
        <v>34.403837059898422</v>
      </c>
      <c r="I18" s="46" t="str">
        <f ca="1">IF(tbl_AKRO[[#This Row],[RS]]= "", "", 100-(100/(1+tbl_AKRO[[#This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34.438571571428575</v>
      </c>
      <c r="K18" s="10">
        <f ca="1">IF(tbl_AKRO[[#This Row],[BB_Mean]]="", "", tbl_AKRO[[#This Row],[BB_Mean]]+(BB_Width*tbl_AKRO[[#This Row],[BB_Stdev]]))</f>
        <v>36.454352531316935</v>
      </c>
      <c r="L18" s="10">
        <f ca="1">IF(tbl_AKRO[[#This Row],[BB_Mean]]="", "", tbl_AKRO[[#This Row],[BB_Mean]]-(BB_Width*tbl_AKRO[[#This Row],[BB_Stdev]]))</f>
        <v>32.422790611540215</v>
      </c>
      <c r="M18" s="46">
        <f>IF(ROW(tbl_AKRO[[#This Row],[Adj Close]])=5, 0, $F18-$F17)</f>
        <v>-1.890000999999998</v>
      </c>
      <c r="N18" s="46">
        <f>MAX(tbl_AKRO[[#This Row],[Move]],0)</f>
        <v>0</v>
      </c>
      <c r="O18" s="46">
        <f>MAX(-tbl_AKRO[[#This Row],[Move]],0)</f>
        <v>1.890000999999998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IF(tbl_AKRO[[#This Row],[Avg_Upmove]]="", "", tbl_AKRO[[#This Row],[Avg_Upmove]]/tbl_AKRO[[#This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1.007890479944181</v>
      </c>
    </row>
    <row r="19" spans="1:19" x14ac:dyDescent="0.25">
      <c r="A19" s="8">
        <v>44071</v>
      </c>
      <c r="B19" s="10">
        <v>31.92</v>
      </c>
      <c r="C19" s="10">
        <v>34.650002000000001</v>
      </c>
      <c r="D19" s="10">
        <v>31.620000999999998</v>
      </c>
      <c r="E19" s="10">
        <v>32.200001</v>
      </c>
      <c r="F19" s="10">
        <v>32.200001</v>
      </c>
      <c r="G19">
        <v>129200</v>
      </c>
      <c r="H19" s="10">
        <f>IF(tbl_AKRO[[#This Row],[Date]]=$A$5, $F19, EMA_Beta*$H18 + (1-EMA_Beta)*$F19)</f>
        <v>34.183453453908577</v>
      </c>
      <c r="I19" s="46">
        <f ca="1">IF(tbl_AKRO[[#This Row],[RS]]= "", "", 100-(100/(1+tbl_AKRO[[#This Row],[RS]])))</f>
        <v>35.105332486927523</v>
      </c>
      <c r="J19" s="10">
        <f ca="1">IF(ROW($N19)-4&lt;BB_Periods, "", AVERAGE(INDIRECT(ADDRESS(ROW($F19)-RSI_Periods +1, MATCH("Adj Close", Price_Header,0))): INDIRECT(ADDRESS(ROW($F19),MATCH("Adj Close", Price_Header,0)))))</f>
        <v>34.22642892857143</v>
      </c>
      <c r="K19" s="10">
        <f ca="1">IF(tbl_AKRO[[#This Row],[BB_Mean]]="", "", tbl_AKRO[[#This Row],[BB_Mean]]+(BB_Width*tbl_AKRO[[#This Row],[BB_Stdev]]))</f>
        <v>36.517019206832131</v>
      </c>
      <c r="L19" s="10">
        <f ca="1">IF(tbl_AKRO[[#This Row],[BB_Mean]]="", "", tbl_AKRO[[#This Row],[BB_Mean]]-(BB_Width*tbl_AKRO[[#This Row],[BB_Stdev]]))</f>
        <v>31.935838650310728</v>
      </c>
      <c r="M19" s="46">
        <f>IF(ROW(tbl_AKRO[[#This Row],[Adj Close]])=5, 0, $F19-$F18)</f>
        <v>0.55000100000000174</v>
      </c>
      <c r="N19" s="46">
        <f>MAX(tbl_AKRO[[#This Row],[Move]],0)</f>
        <v>0.55000100000000174</v>
      </c>
      <c r="O19" s="46">
        <f>MAX(-tbl_AKRO[[#This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0.2500001428571425</v>
      </c>
      <c r="Q19" s="46">
        <f ca="1">IF(ROW($O19)-5&lt;RSI_Periods, "", AVERAGE(INDIRECT(ADDRESS(ROW($O19)-RSI_Periods +1, MATCH("Downmove", Price_Header,0))): INDIRECT(ADDRESS(ROW($O19),MATCH("Downmove", Price_Header,0)))))</f>
        <v>0.4621427857142853</v>
      </c>
      <c r="R19" s="46">
        <f ca="1">IF(tbl_AKRO[[#This Row],[Avg_Upmove]]="", "", tbl_AKRO[[#This Row],[Avg_Upmove]]/tbl_AKRO[[#This Row],[Avg_Downmove]])</f>
        <v>0.54095866166285311</v>
      </c>
      <c r="S19" s="10">
        <f ca="1">IF(ROW($N19)-4&lt;BB_Periods, "", _xlfn.STDEV.S(INDIRECT(ADDRESS(ROW($F19)-RSI_Periods +1, MATCH("Adj Close", Price_Header,0))): INDIRECT(ADDRESS(ROW($F19),MATCH("Adj Close", Price_Header,0)))))</f>
        <v>1.1452951391303516</v>
      </c>
    </row>
    <row r="20" spans="1:19" x14ac:dyDescent="0.25">
      <c r="A20" s="8">
        <v>44074</v>
      </c>
      <c r="B20" s="10">
        <v>32.650002000000001</v>
      </c>
      <c r="C20" s="10">
        <v>32.775002000000001</v>
      </c>
      <c r="D20" s="10">
        <v>31.969999000000001</v>
      </c>
      <c r="E20" s="10">
        <v>32.599997999999999</v>
      </c>
      <c r="F20" s="10">
        <v>32.599997999999999</v>
      </c>
      <c r="G20">
        <v>116500</v>
      </c>
      <c r="H20" s="10">
        <f>IF(tbl_AKRO[[#This Row],[Date]]=$A$5, $F20, EMA_Beta*$H19 + (1-EMA_Beta)*$F20)</f>
        <v>34.025107908517718</v>
      </c>
      <c r="I20" s="46">
        <f ca="1">IF(tbl_AKRO[[#This Row],[RS]]= "", "", 100-(100/(1+tbl_AKRO[[#This Row],[RS]])))</f>
        <v>38.499496544916077</v>
      </c>
      <c r="J20" s="10">
        <f ca="1">IF(ROW($N20)-4&lt;BB_Periods, "", AVERAGE(INDIRECT(ADDRESS(ROW($F20)-RSI_Periods +1, MATCH("Adj Close", Price_Header,0))): INDIRECT(ADDRESS(ROW($F20),MATCH("Adj Close", Price_Header,0)))))</f>
        <v>34.060000214285715</v>
      </c>
      <c r="K20" s="10">
        <f ca="1">IF(tbl_AKRO[[#This Row],[BB_Mean]]="", "", tbl_AKRO[[#This Row],[BB_Mean]]+(BB_Width*tbl_AKRO[[#This Row],[BB_Stdev]]))</f>
        <v>36.466056579123439</v>
      </c>
      <c r="L20" s="10">
        <f ca="1">IF(tbl_AKRO[[#This Row],[BB_Mean]]="", "", tbl_AKRO[[#This Row],[BB_Mean]]-(BB_Width*tbl_AKRO[[#This Row],[BB_Stdev]]))</f>
        <v>31.653943849447991</v>
      </c>
      <c r="M20" s="46">
        <f>IF(ROW(tbl_AKRO[[#This Row],[Adj Close]])=5, 0, $F20-$F19)</f>
        <v>0.39999699999999905</v>
      </c>
      <c r="N20" s="46">
        <f>MAX(tbl_AKRO[[#This Row],[Move]],0)</f>
        <v>0.39999699999999905</v>
      </c>
      <c r="O20" s="46">
        <f>MAX(-tbl_AKRO[[#This Row],[Move]],0)</f>
        <v>0</v>
      </c>
      <c r="P20" s="46">
        <f ca="1">IF(ROW($N20)-5&lt;RSI_Periods, "", AVERAGE(INDIRECT(ADDRESS(ROW($N20)-RSI_Periods +1, MATCH("Upmove", Price_Header,0))): INDIRECT(ADDRESS(ROW($N20),MATCH("Upmove", Price_Header,0)))))</f>
        <v>0.27857135714285669</v>
      </c>
      <c r="Q20" s="46">
        <f ca="1">IF(ROW($O20)-5&lt;RSI_Periods, "", AVERAGE(INDIRECT(ADDRESS(ROW($O20)-RSI_Periods +1, MATCH("Downmove", Price_Header,0))): INDIRECT(ADDRESS(ROW($O20),MATCH("Downmove", Price_Header,0)))))</f>
        <v>0.44500007142857101</v>
      </c>
      <c r="R20" s="46">
        <f ca="1">IF(tbl_AKRO[[#This Row],[Avg_Upmove]]="", "", tbl_AKRO[[#This Row],[Avg_Upmove]]/tbl_AKRO[[#This Row],[Avg_Downmove]])</f>
        <v>0.62600294927721478</v>
      </c>
      <c r="S20" s="10">
        <f ca="1">IF(ROW($N20)-4&lt;BB_Periods, "", _xlfn.STDEV.S(INDIRECT(ADDRESS(ROW($F20)-RSI_Periods +1, MATCH("Adj Close", Price_Header,0))): INDIRECT(ADDRESS(ROW($F20),MATCH("Adj Close", Price_Header,0)))))</f>
        <v>1.2030281824188613</v>
      </c>
    </row>
    <row r="21" spans="1:19" x14ac:dyDescent="0.25">
      <c r="A21" s="8">
        <v>44075</v>
      </c>
      <c r="B21" s="10">
        <v>32.720001000000003</v>
      </c>
      <c r="C21" s="10">
        <v>33.360000999999997</v>
      </c>
      <c r="D21" s="10">
        <v>32.279998999999997</v>
      </c>
      <c r="E21" s="10">
        <v>33.099997999999999</v>
      </c>
      <c r="F21" s="10">
        <v>33.099997999999999</v>
      </c>
      <c r="G21">
        <v>148100</v>
      </c>
      <c r="H21" s="10">
        <f>IF(tbl_AKRO[[#This Row],[Date]]=$A$5, $F21, EMA_Beta*$H20 + (1-EMA_Beta)*$F21)</f>
        <v>33.932596917665947</v>
      </c>
      <c r="I21" s="46">
        <f ca="1">IF(tbl_AKRO[[#This Row],[RS]]= "", "", 100-(100/(1+tbl_AKRO[[#This Row],[RS]])))</f>
        <v>43.307081034161499</v>
      </c>
      <c r="J21" s="10">
        <f ca="1">IF(ROW($N21)-4&lt;BB_Periods, "", AVERAGE(INDIRECT(ADDRESS(ROW($F21)-RSI_Periods +1, MATCH("Adj Close", Price_Header,0))): INDIRECT(ADDRESS(ROW($F21),MATCH("Adj Close", Price_Header,0)))))</f>
        <v>33.962857285714286</v>
      </c>
      <c r="K21" s="10">
        <f ca="1">IF(tbl_AKRO[[#This Row],[BB_Mean]]="", "", tbl_AKRO[[#This Row],[BB_Mean]]+(BB_Width*tbl_AKRO[[#This Row],[BB_Stdev]]))</f>
        <v>36.408832896818737</v>
      </c>
      <c r="L21" s="10">
        <f ca="1">IF(tbl_AKRO[[#This Row],[BB_Mean]]="", "", tbl_AKRO[[#This Row],[BB_Mean]]-(BB_Width*tbl_AKRO[[#This Row],[BB_Stdev]]))</f>
        <v>31.516881674609831</v>
      </c>
      <c r="M21" s="46">
        <f>IF(ROW(tbl_AKRO[[#This Row],[Adj Close]])=5, 0, $F21-$F20)</f>
        <v>0.5</v>
      </c>
      <c r="N21" s="46">
        <f>MAX(tbl_AKRO[[#This Row],[Move]],0)</f>
        <v>0.5</v>
      </c>
      <c r="O21" s="46">
        <f>MAX(-tbl_AKRO[[#This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0.31428564285714244</v>
      </c>
      <c r="Q21" s="46">
        <f ca="1">IF(ROW($O21)-5&lt;RSI_Periods, "", AVERAGE(INDIRECT(ADDRESS(ROW($O21)-RSI_Periods +1, MATCH("Downmove", Price_Header,0))): INDIRECT(ADDRESS(ROW($O21),MATCH("Downmove", Price_Header,0)))))</f>
        <v>0.41142857142857131</v>
      </c>
      <c r="R21" s="46">
        <f ca="1">IF(tbl_AKRO[[#This Row],[Avg_Upmove]]="", "", tbl_AKRO[[#This Row],[Avg_Upmove]]/tbl_AKRO[[#This Row],[Avg_Downmove]])</f>
        <v>0.76388871527777702</v>
      </c>
      <c r="S21" s="10">
        <f ca="1">IF(ROW($N21)-4&lt;BB_Periods, "", _xlfn.STDEV.S(INDIRECT(ADDRESS(ROW($F21)-RSI_Periods +1, MATCH("Adj Close", Price_Header,0))): INDIRECT(ADDRESS(ROW($F21),MATCH("Adj Close", Price_Header,0)))))</f>
        <v>1.2229878055522267</v>
      </c>
    </row>
    <row r="22" spans="1:19" x14ac:dyDescent="0.25">
      <c r="A22" s="8">
        <v>44076</v>
      </c>
      <c r="B22" s="10">
        <v>33.150002000000001</v>
      </c>
      <c r="C22" s="10">
        <v>33.759998000000003</v>
      </c>
      <c r="D22" s="10">
        <v>32.145000000000003</v>
      </c>
      <c r="E22" s="10">
        <v>33.330002</v>
      </c>
      <c r="F22" s="10">
        <v>33.330002</v>
      </c>
      <c r="G22">
        <v>95100</v>
      </c>
      <c r="H22" s="10">
        <f>IF(tbl_AKRO[[#This Row],[Date]]=$A$5, $F22, EMA_Beta*$H21 + (1-EMA_Beta)*$F22)</f>
        <v>33.872337425899353</v>
      </c>
      <c r="I22" s="46">
        <f ca="1">IF(tbl_AKRO[[#This Row],[RS]]= "", "", 100-(100/(1+tbl_AKRO[[#This Row],[RS]])))</f>
        <v>43.750005493163542</v>
      </c>
      <c r="J22" s="10">
        <f ca="1">IF(ROW($N22)-4&lt;BB_Periods, "", AVERAGE(INDIRECT(ADDRESS(ROW($F22)-RSI_Periods +1, MATCH("Adj Close", Price_Header,0))): INDIRECT(ADDRESS(ROW($F22),MATCH("Adj Close", Price_Header,0)))))</f>
        <v>33.871428785714286</v>
      </c>
      <c r="K22" s="10">
        <f ca="1">IF(tbl_AKRO[[#This Row],[BB_Mean]]="", "", tbl_AKRO[[#This Row],[BB_Mean]]+(BB_Width*tbl_AKRO[[#This Row],[BB_Stdev]]))</f>
        <v>36.308878378409858</v>
      </c>
      <c r="L22" s="10">
        <f ca="1">IF(tbl_AKRO[[#This Row],[BB_Mean]]="", "", tbl_AKRO[[#This Row],[BB_Mean]]-(BB_Width*tbl_AKRO[[#This Row],[BB_Stdev]]))</f>
        <v>31.433979193018715</v>
      </c>
      <c r="M22" s="46">
        <f>IF(ROW(tbl_AKRO[[#This Row],[Adj Close]])=5, 0, $F22-$F21)</f>
        <v>0.23000400000000099</v>
      </c>
      <c r="N22" s="46">
        <f>MAX(tbl_AKRO[[#This Row],[Move]],0)</f>
        <v>0.23000400000000099</v>
      </c>
      <c r="O22" s="46">
        <f>MAX(-tbl_AKRO[[#This Row],[Move]],0)</f>
        <v>0</v>
      </c>
      <c r="P22" s="46">
        <f ca="1">IF(ROW($N22)-5&lt;RSI_Periods, "", AVERAGE(INDIRECT(ADDRESS(ROW($N22)-RSI_Periods +1, MATCH("Upmove", Price_Header,0))): INDIRECT(ADDRESS(ROW($N22),MATCH("Upmove", Price_Header,0)))))</f>
        <v>0.32000007142857151</v>
      </c>
      <c r="Q22" s="46">
        <f ca="1">IF(ROW($O22)-5&lt;RSI_Periods, "", AVERAGE(INDIRECT(ADDRESS(ROW($O22)-RSI_Periods +1, MATCH("Downmove", Price_Header,0))): INDIRECT(ADDRESS(ROW($O22),MATCH("Downmove", Price_Header,0)))))</f>
        <v>0.41142857142857131</v>
      </c>
      <c r="R22" s="46">
        <f ca="1">IF(tbl_AKRO[[#This Row],[Avg_Upmove]]="", "", tbl_AKRO[[#This Row],[Avg_Upmove]]/tbl_AKRO[[#This Row],[Avg_Downmove]])</f>
        <v>0.77777795138888928</v>
      </c>
      <c r="S22" s="10">
        <f ca="1">IF(ROW($N22)-4&lt;BB_Periods, "", _xlfn.STDEV.S(INDIRECT(ADDRESS(ROW($F22)-RSI_Periods +1, MATCH("Adj Close", Price_Header,0))): INDIRECT(ADDRESS(ROW($F22),MATCH("Adj Close", Price_Header,0)))))</f>
        <v>1.2187247963477856</v>
      </c>
    </row>
    <row r="23" spans="1:19" x14ac:dyDescent="0.25">
      <c r="A23" s="8">
        <v>44077</v>
      </c>
      <c r="B23" s="10">
        <v>33.220001000000003</v>
      </c>
      <c r="C23" s="10">
        <v>33.290000999999997</v>
      </c>
      <c r="D23" s="10">
        <v>32.805</v>
      </c>
      <c r="E23" s="10">
        <v>33.040000999999997</v>
      </c>
      <c r="F23" s="10">
        <v>33.040000999999997</v>
      </c>
      <c r="G23">
        <v>143800</v>
      </c>
      <c r="H23" s="10">
        <f>IF(tbl_AKRO[[#This Row],[Date]]=$A$5, $F23, EMA_Beta*$H22 + (1-EMA_Beta)*$F23)</f>
        <v>33.789103783309415</v>
      </c>
      <c r="I23" s="46">
        <f ca="1">IF(tbl_AKRO[[#This Row],[RS]]= "", "", 100-(100/(1+tbl_AKRO[[#This Row],[RS]])))</f>
        <v>45.206858161395104</v>
      </c>
      <c r="J23" s="10">
        <f ca="1">IF(ROW($N23)-4&lt;BB_Periods, "", AVERAGE(INDIRECT(ADDRESS(ROW($F23)-RSI_Periods +1, MATCH("Adj Close", Price_Header,0))): INDIRECT(ADDRESS(ROW($F23),MATCH("Adj Close", Price_Header,0)))))</f>
        <v>33.80357157142857</v>
      </c>
      <c r="K23" s="10">
        <f ca="1">IF(tbl_AKRO[[#This Row],[BB_Mean]]="", "", tbl_AKRO[[#This Row],[BB_Mean]]+(BB_Width*tbl_AKRO[[#This Row],[BB_Stdev]]))</f>
        <v>36.279394344650335</v>
      </c>
      <c r="L23" s="10">
        <f ca="1">IF(tbl_AKRO[[#This Row],[BB_Mean]]="", "", tbl_AKRO[[#This Row],[BB_Mean]]-(BB_Width*tbl_AKRO[[#This Row],[BB_Stdev]]))</f>
        <v>31.327748798206802</v>
      </c>
      <c r="M23" s="46">
        <f>IF(ROW(tbl_AKRO[[#This Row],[Adj Close]])=5, 0, $F23-$F22)</f>
        <v>-0.29000100000000373</v>
      </c>
      <c r="N23" s="46">
        <f>MAX(tbl_AKRO[[#This Row],[Move]],0)</f>
        <v>0</v>
      </c>
      <c r="O23" s="46">
        <f>MAX(-tbl_AKRO[[#This Row],[Move]],0)</f>
        <v>0.29000100000000373</v>
      </c>
      <c r="P23" s="46">
        <f ca="1">IF(ROW($N23)-5&lt;RSI_Periods, "", AVERAGE(INDIRECT(ADDRESS(ROW($N23)-RSI_Periods +1, MATCH("Upmove", Price_Header,0))): INDIRECT(ADDRESS(ROW($N23),MATCH("Upmove", Price_Header,0)))))</f>
        <v>0.32000007142857151</v>
      </c>
      <c r="Q23" s="46">
        <f ca="1">IF(ROW($O23)-5&lt;RSI_Periods, "", AVERAGE(INDIRECT(ADDRESS(ROW($O23)-RSI_Periods +1, MATCH("Downmove", Price_Header,0))): INDIRECT(ADDRESS(ROW($O23),MATCH("Downmove", Price_Header,0)))))</f>
        <v>0.38785728571428585</v>
      </c>
      <c r="R23" s="46">
        <f ca="1">IF(tbl_AKRO[[#This Row],[Avg_Upmove]]="", "", tbl_AKRO[[#This Row],[Avg_Upmove]]/tbl_AKRO[[#This Row],[Avg_Downmove]])</f>
        <v>0.82504592079339922</v>
      </c>
      <c r="S23" s="10">
        <f ca="1">IF(ROW($N23)-4&lt;BB_Periods, "", _xlfn.STDEV.S(INDIRECT(ADDRESS(ROW($F23)-RSI_Periods +1, MATCH("Adj Close", Price_Header,0))): INDIRECT(ADDRESS(ROW($F23),MATCH("Adj Close", Price_Header,0)))))</f>
        <v>1.2379113866108835</v>
      </c>
    </row>
    <row r="24" spans="1:19" x14ac:dyDescent="0.25">
      <c r="A24" s="8">
        <v>44078</v>
      </c>
      <c r="B24" s="10">
        <v>32.979999999999997</v>
      </c>
      <c r="C24" s="10">
        <v>33.220001000000003</v>
      </c>
      <c r="D24" s="10">
        <v>31.82</v>
      </c>
      <c r="E24" s="10">
        <v>32.340000000000003</v>
      </c>
      <c r="F24" s="10">
        <v>32.340000000000003</v>
      </c>
      <c r="G24">
        <v>128100</v>
      </c>
      <c r="H24" s="10">
        <f>IF(tbl_AKRO[[#This Row],[Date]]=$A$5, $F24, EMA_Beta*$H23 + (1-EMA_Beta)*$F24)</f>
        <v>33.644193404978473</v>
      </c>
      <c r="I24" s="46">
        <f ca="1">IF(tbl_AKRO[[#This Row],[RS]]= "", "", 100-(100/(1+tbl_AKRO[[#This Row],[RS]])))</f>
        <v>38.391954415294713</v>
      </c>
      <c r="J24" s="10">
        <f ca="1">IF(ROW($N24)-4&lt;BB_Periods, "", AVERAGE(INDIRECT(ADDRESS(ROW($F24)-RSI_Periods +1, MATCH("Adj Close", Price_Header,0))): INDIRECT(ADDRESS(ROW($F24),MATCH("Adj Close", Price_Header,0)))))</f>
        <v>33.638571428571431</v>
      </c>
      <c r="K24" s="10">
        <f ca="1">IF(tbl_AKRO[[#This Row],[BB_Mean]]="", "", tbl_AKRO[[#This Row],[BB_Mean]]+(BB_Width*tbl_AKRO[[#This Row],[BB_Stdev]]))</f>
        <v>36.178466425104432</v>
      </c>
      <c r="L24" s="10">
        <f ca="1">IF(tbl_AKRO[[#This Row],[BB_Mean]]="", "", tbl_AKRO[[#This Row],[BB_Mean]]-(BB_Width*tbl_AKRO[[#This Row],[BB_Stdev]]))</f>
        <v>31.098676432038431</v>
      </c>
      <c r="M24" s="46">
        <f>IF(ROW(tbl_AKRO[[#This Row],[Adj Close]])=5, 0, $F24-$F23)</f>
        <v>-0.70000099999999321</v>
      </c>
      <c r="N24" s="46">
        <f>MAX(tbl_AKRO[[#This Row],[Move]],0)</f>
        <v>0</v>
      </c>
      <c r="O24" s="46">
        <f>MAX(-tbl_AKRO[[#This Row],[Move]],0)</f>
        <v>0.70000099999999321</v>
      </c>
      <c r="P24" s="46">
        <f ca="1">IF(ROW($N24)-5&lt;RSI_Periods, "", AVERAGE(INDIRECT(ADDRESS(ROW($N24)-RSI_Periods +1, MATCH("Upmove", Price_Header,0))): INDIRECT(ADDRESS(ROW($N24),MATCH("Upmove", Price_Header,0)))))</f>
        <v>0.27285721428571413</v>
      </c>
      <c r="Q24" s="46">
        <f ca="1">IF(ROW($O24)-5&lt;RSI_Periods, "", AVERAGE(INDIRECT(ADDRESS(ROW($O24)-RSI_Periods +1, MATCH("Downmove", Price_Header,0))): INDIRECT(ADDRESS(ROW($O24),MATCH("Downmove", Price_Header,0)))))</f>
        <v>0.43785735714285678</v>
      </c>
      <c r="R24" s="46">
        <f ca="1">IF(tbl_AKRO[[#This Row],[Avg_Upmove]]="", "", tbl_AKRO[[#This Row],[Avg_Upmove]]/tbl_AKRO[[#This Row],[Avg_Downmove]])</f>
        <v>0.62316462161600916</v>
      </c>
      <c r="S24" s="10">
        <f ca="1">IF(ROW($N24)-4&lt;BB_Periods, "", _xlfn.STDEV.S(INDIRECT(ADDRESS(ROW($F24)-RSI_Periods +1, MATCH("Adj Close", Price_Header,0))): INDIRECT(ADDRESS(ROW($F24),MATCH("Adj Close", Price_Header,0)))))</f>
        <v>1.2699474982664996</v>
      </c>
    </row>
    <row r="25" spans="1:19" x14ac:dyDescent="0.25">
      <c r="A25" s="8">
        <v>44082</v>
      </c>
      <c r="B25" s="10">
        <v>32.009998000000003</v>
      </c>
      <c r="C25" s="10">
        <v>33.740001999999997</v>
      </c>
      <c r="D25" s="10">
        <v>31.43</v>
      </c>
      <c r="E25" s="10">
        <v>32.669998</v>
      </c>
      <c r="F25" s="10">
        <v>32.669998</v>
      </c>
      <c r="G25">
        <v>126600</v>
      </c>
      <c r="H25" s="10">
        <f>IF(tbl_AKRO[[#This Row],[Date]]=$A$5, $F25, EMA_Beta*$H24 + (1-EMA_Beta)*$F25)</f>
        <v>33.546773864480627</v>
      </c>
      <c r="I25" s="46">
        <f ca="1">IF(tbl_AKRO[[#This Row],[RS]]= "", "", 100-(100/(1+tbl_AKRO[[#This Row],[RS]])))</f>
        <v>31.200895083773204</v>
      </c>
      <c r="J25" s="10">
        <f ca="1">IF(ROW($N25)-4&lt;BB_Periods, "", AVERAGE(INDIRECT(ADDRESS(ROW($F25)-RSI_Periods +1, MATCH("Adj Close", Price_Header,0))): INDIRECT(ADDRESS(ROW($F25),MATCH("Adj Close", Price_Header,0)))))</f>
        <v>33.399285571428578</v>
      </c>
      <c r="K25" s="10">
        <f ca="1">IF(tbl_AKRO[[#This Row],[BB_Mean]]="", "", tbl_AKRO[[#This Row],[BB_Mean]]+(BB_Width*tbl_AKRO[[#This Row],[BB_Stdev]]))</f>
        <v>35.578296693249413</v>
      </c>
      <c r="L25" s="10">
        <f ca="1">IF(tbl_AKRO[[#This Row],[BB_Mean]]="", "", tbl_AKRO[[#This Row],[BB_Mean]]-(BB_Width*tbl_AKRO[[#This Row],[BB_Stdev]]))</f>
        <v>31.220274449607743</v>
      </c>
      <c r="M25" s="46">
        <f>IF(ROW(tbl_AKRO[[#This Row],[Adj Close]])=5, 0, $F25-$F24)</f>
        <v>0.32999799999999624</v>
      </c>
      <c r="N25" s="46">
        <f>MAX(tbl_AKRO[[#This Row],[Move]],0)</f>
        <v>0.32999799999999624</v>
      </c>
      <c r="O25" s="46">
        <f>MAX(-tbl_AKRO[[#This Row],[Move]],0)</f>
        <v>0</v>
      </c>
      <c r="P25" s="46">
        <f ca="1">IF(ROW($N25)-5&lt;RSI_Periods, "", AVERAGE(INDIRECT(ADDRESS(ROW($N25)-RSI_Periods +1, MATCH("Upmove", Price_Header,0))): INDIRECT(ADDRESS(ROW($N25),MATCH("Upmove", Price_Header,0)))))</f>
        <v>0.1985714999999994</v>
      </c>
      <c r="Q25" s="46">
        <f ca="1">IF(ROW($O25)-5&lt;RSI_Periods, "", AVERAGE(INDIRECT(ADDRESS(ROW($O25)-RSI_Periods +1, MATCH("Downmove", Price_Header,0))): INDIRECT(ADDRESS(ROW($O25),MATCH("Downmove", Price_Header,0)))))</f>
        <v>0.43785735714285678</v>
      </c>
      <c r="R25" s="46">
        <f ca="1">IF(tbl_AKRO[[#This Row],[Avg_Upmove]]="", "", tbl_AKRO[[#This Row],[Avg_Upmove]]/tbl_AKRO[[#This Row],[Avg_Downmove]])</f>
        <v>0.45350728213346614</v>
      </c>
      <c r="S25" s="10">
        <f ca="1">IF(ROW($N25)-4&lt;BB_Periods, "", _xlfn.STDEV.S(INDIRECT(ADDRESS(ROW($F25)-RSI_Periods +1, MATCH("Adj Close", Price_Header,0))): INDIRECT(ADDRESS(ROW($F25),MATCH("Adj Close", Price_Header,0)))))</f>
        <v>1.0895055609104176</v>
      </c>
    </row>
    <row r="26" spans="1:19" x14ac:dyDescent="0.25">
      <c r="A26" s="8">
        <v>44083</v>
      </c>
      <c r="B26" s="10">
        <v>33.040000999999997</v>
      </c>
      <c r="C26" s="10">
        <v>34.520000000000003</v>
      </c>
      <c r="D26" s="10">
        <v>32.779998999999997</v>
      </c>
      <c r="E26" s="10">
        <v>34.169998</v>
      </c>
      <c r="F26" s="10">
        <v>34.169998</v>
      </c>
      <c r="G26">
        <v>112100</v>
      </c>
      <c r="H26" s="10">
        <f>IF(tbl_AKRO[[#This Row],[Date]]=$A$5, $F26, EMA_Beta*$H25 + (1-EMA_Beta)*$F26)</f>
        <v>33.609096278032567</v>
      </c>
      <c r="I26" s="46">
        <f ca="1">IF(tbl_AKRO[[#This Row],[RS]]= "", "", 100-(100/(1+tbl_AKRO[[#This Row],[RS]])))</f>
        <v>43.942506377308746</v>
      </c>
      <c r="J26" s="10">
        <f ca="1">IF(ROW($N26)-4&lt;BB_Periods, "", AVERAGE(INDIRECT(ADDRESS(ROW($F26)-RSI_Periods +1, MATCH("Adj Close", Price_Header,0))): INDIRECT(ADDRESS(ROW($F26),MATCH("Adj Close", Price_Header,0)))))</f>
        <v>33.314999857142865</v>
      </c>
      <c r="K26" s="10">
        <f ca="1">IF(tbl_AKRO[[#This Row],[BB_Mean]]="", "", tbl_AKRO[[#This Row],[BB_Mean]]+(BB_Width*tbl_AKRO[[#This Row],[BB_Stdev]]))</f>
        <v>35.246165491597928</v>
      </c>
      <c r="L26" s="10">
        <f ca="1">IF(tbl_AKRO[[#This Row],[BB_Mean]]="", "", tbl_AKRO[[#This Row],[BB_Mean]]-(BB_Width*tbl_AKRO[[#This Row],[BB_Stdev]]))</f>
        <v>31.383834222687806</v>
      </c>
      <c r="M26" s="46">
        <f>IF(ROW(tbl_AKRO[[#This Row],[Adj Close]])=5, 0, $F26-$F25)</f>
        <v>1.5</v>
      </c>
      <c r="N26" s="46">
        <f>MAX(tbl_AKRO[[#This Row],[Move]],0)</f>
        <v>1.5</v>
      </c>
      <c r="O26" s="46">
        <f>MAX(-tbl_AKRO[[#This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0.30571435714285655</v>
      </c>
      <c r="Q26" s="46">
        <f ca="1">IF(ROW($O26)-5&lt;RSI_Periods, "", AVERAGE(INDIRECT(ADDRESS(ROW($O26)-RSI_Periods +1, MATCH("Downmove", Price_Header,0))): INDIRECT(ADDRESS(ROW($O26),MATCH("Downmove", Price_Header,0)))))</f>
        <v>0.39000007142857079</v>
      </c>
      <c r="R26" s="46">
        <f ca="1">IF(tbl_AKRO[[#This Row],[Avg_Upmove]]="", "", tbl_AKRO[[#This Row],[Avg_Upmove]]/tbl_AKRO[[#This Row],[Avg_Downmove]])</f>
        <v>0.78388282346468408</v>
      </c>
      <c r="S26" s="10">
        <f ca="1">IF(ROW($N26)-4&lt;BB_Periods, "", _xlfn.STDEV.S(INDIRECT(ADDRESS(ROW($F26)-RSI_Periods +1, MATCH("Adj Close", Price_Header,0))): INDIRECT(ADDRESS(ROW($F26),MATCH("Adj Close", Price_Header,0)))))</f>
        <v>0.96558281722752992</v>
      </c>
    </row>
    <row r="27" spans="1:19" x14ac:dyDescent="0.25">
      <c r="A27" s="8">
        <v>44084</v>
      </c>
      <c r="B27" s="10">
        <v>35.479999999999997</v>
      </c>
      <c r="C27" s="10">
        <v>37.939999</v>
      </c>
      <c r="D27" s="10">
        <v>33.970001000000003</v>
      </c>
      <c r="E27" s="10">
        <v>34.040000999999997</v>
      </c>
      <c r="F27" s="10">
        <v>34.040000999999997</v>
      </c>
      <c r="G27">
        <v>266100</v>
      </c>
      <c r="H27" s="10">
        <f>IF(tbl_AKRO[[#This Row],[Date]]=$A$5, $F27, EMA_Beta*$H26 + (1-EMA_Beta)*$F27)</f>
        <v>33.652186750229312</v>
      </c>
      <c r="I27" s="46">
        <f ca="1">IF(tbl_AKRO[[#This Row],[RS]]= "", "", 100-(100/(1+tbl_AKRO[[#This Row],[RS]])))</f>
        <v>47.767868303571404</v>
      </c>
      <c r="J27" s="10">
        <f ca="1">IF(ROW($N27)-4&lt;BB_Periods, "", AVERAGE(INDIRECT(ADDRESS(ROW($F27)-RSI_Periods +1, MATCH("Adj Close", Price_Header,0))): INDIRECT(ADDRESS(ROW($F27),MATCH("Adj Close", Price_Header,0)))))</f>
        <v>33.286428571428573</v>
      </c>
      <c r="K27" s="10">
        <f ca="1">IF(tbl_AKRO[[#This Row],[BB_Mean]]="", "", tbl_AKRO[[#This Row],[BB_Mean]]+(BB_Width*tbl_AKRO[[#This Row],[BB_Stdev]]))</f>
        <v>35.15677427609203</v>
      </c>
      <c r="L27" s="10">
        <f ca="1">IF(tbl_AKRO[[#This Row],[BB_Mean]]="", "", tbl_AKRO[[#This Row],[BB_Mean]]-(BB_Width*tbl_AKRO[[#This Row],[BB_Stdev]]))</f>
        <v>31.416082866765116</v>
      </c>
      <c r="M27" s="46">
        <f>IF(ROW(tbl_AKRO[[#This Row],[Adj Close]])=5, 0, $F27-$F26)</f>
        <v>-0.12999700000000303</v>
      </c>
      <c r="N27" s="46">
        <f>MAX(tbl_AKRO[[#This Row],[Move]],0)</f>
        <v>0</v>
      </c>
      <c r="O27" s="46">
        <f>MAX(-tbl_AKRO[[#This Row],[Move]],0)</f>
        <v>0.12999700000000303</v>
      </c>
      <c r="P27" s="46">
        <f ca="1">IF(ROW($N27)-5&lt;RSI_Periods, "", AVERAGE(INDIRECT(ADDRESS(ROW($N27)-RSI_Periods +1, MATCH("Upmove", Price_Header,0))): INDIRECT(ADDRESS(ROW($N27),MATCH("Upmove", Price_Header,0)))))</f>
        <v>0.30571435714285655</v>
      </c>
      <c r="Q27" s="46">
        <f ca="1">IF(ROW($O27)-5&lt;RSI_Periods, "", AVERAGE(INDIRECT(ADDRESS(ROW($O27)-RSI_Periods +1, MATCH("Downmove", Price_Header,0))): INDIRECT(ADDRESS(ROW($O27),MATCH("Downmove", Price_Header,0)))))</f>
        <v>0.33428564285714252</v>
      </c>
      <c r="R27" s="46">
        <f ca="1">IF(tbl_AKRO[[#This Row],[Avg_Upmove]]="", "", tbl_AKRO[[#This Row],[Avg_Upmove]]/tbl_AKRO[[#This Row],[Avg_Downmove]])</f>
        <v>0.91453032361758968</v>
      </c>
      <c r="S27" s="10">
        <f ca="1">IF(ROW($N27)-4&lt;BB_Periods, "", _xlfn.STDEV.S(INDIRECT(ADDRESS(ROW($F27)-RSI_Periods +1, MATCH("Adj Close", Price_Header,0))): INDIRECT(ADDRESS(ROW($F27),MATCH("Adj Close", Price_Header,0)))))</f>
        <v>0.93517285233172887</v>
      </c>
    </row>
    <row r="28" spans="1:19" x14ac:dyDescent="0.25">
      <c r="A28" s="8">
        <v>44085</v>
      </c>
      <c r="B28" s="10">
        <v>34.150002000000001</v>
      </c>
      <c r="C28" s="10">
        <v>35.110000999999997</v>
      </c>
      <c r="D28" s="10">
        <v>33.790000999999997</v>
      </c>
      <c r="E28" s="10">
        <v>34.029998999999997</v>
      </c>
      <c r="F28" s="10">
        <v>34.029998999999997</v>
      </c>
      <c r="G28">
        <v>102300</v>
      </c>
      <c r="H28" s="10">
        <f>IF(tbl_AKRO[[#This Row],[Date]]=$A$5, $F28, EMA_Beta*$H27 + (1-EMA_Beta)*$F28)</f>
        <v>33.689967975206379</v>
      </c>
      <c r="I28" s="46">
        <f ca="1">IF(tbl_AKRO[[#This Row],[RS]]= "", "", 100-(100/(1+tbl_AKRO[[#This Row],[RS]])))</f>
        <v>47.125129650507333</v>
      </c>
      <c r="J28" s="10">
        <f ca="1">IF(ROW($N28)-4&lt;BB_Periods, "", AVERAGE(INDIRECT(ADDRESS(ROW($F28)-RSI_Periods +1, MATCH("Adj Close", Price_Header,0))): INDIRECT(ADDRESS(ROW($F28),MATCH("Adj Close", Price_Header,0)))))</f>
        <v>33.249999857142861</v>
      </c>
      <c r="K28" s="10">
        <f ca="1">IF(tbl_AKRO[[#This Row],[BB_Mean]]="", "", tbl_AKRO[[#This Row],[BB_Mean]]+(BB_Width*tbl_AKRO[[#This Row],[BB_Stdev]]))</f>
        <v>35.03299663094603</v>
      </c>
      <c r="L28" s="10">
        <f ca="1">IF(tbl_AKRO[[#This Row],[BB_Mean]]="", "", tbl_AKRO[[#This Row],[BB_Mean]]-(BB_Width*tbl_AKRO[[#This Row],[BB_Stdev]]))</f>
        <v>31.467003083339687</v>
      </c>
      <c r="M28" s="46">
        <f>IF(ROW(tbl_AKRO[[#This Row],[Adj Close]])=5, 0, $F28-$F27)</f>
        <v>-1.0002000000000066E-2</v>
      </c>
      <c r="N28" s="46">
        <f>MAX(tbl_AKRO[[#This Row],[Move]],0)</f>
        <v>0</v>
      </c>
      <c r="O28" s="46">
        <f>MAX(-tbl_AKRO[[#This Row],[Move]],0)</f>
        <v>1.0002000000000066E-2</v>
      </c>
      <c r="P28" s="46">
        <f ca="1">IF(ROW($N28)-5&lt;RSI_Periods, "", AVERAGE(INDIRECT(ADDRESS(ROW($N28)-RSI_Periods +1, MATCH("Upmove", Price_Header,0))): INDIRECT(ADDRESS(ROW($N28),MATCH("Upmove", Price_Header,0)))))</f>
        <v>0.29857135714285682</v>
      </c>
      <c r="Q28" s="46">
        <f ca="1">IF(ROW($O28)-5&lt;RSI_Periods, "", AVERAGE(INDIRECT(ADDRESS(ROW($O28)-RSI_Periods +1, MATCH("Downmove", Price_Header,0))): INDIRECT(ADDRESS(ROW($O28),MATCH("Downmove", Price_Header,0)))))</f>
        <v>0.33500007142857108</v>
      </c>
      <c r="R28" s="46">
        <f ca="1">IF(tbl_AKRO[[#This Row],[Avg_Upmove]]="", "", tbl_AKRO[[#This Row],[Avg_Upmove]]/tbl_AKRO[[#This Row],[Avg_Downmove]])</f>
        <v>0.89125759248238967</v>
      </c>
      <c r="S28" s="10">
        <f ca="1">IF(ROW($N28)-4&lt;BB_Periods, "", _xlfn.STDEV.S(INDIRECT(ADDRESS(ROW($F28)-RSI_Periods +1, MATCH("Adj Close", Price_Header,0))): INDIRECT(ADDRESS(ROW($F28),MATCH("Adj Close", Price_Header,0)))))</f>
        <v>0.89149838690158612</v>
      </c>
    </row>
    <row r="29" spans="1:19" x14ac:dyDescent="0.25">
      <c r="A29" s="8">
        <v>44088</v>
      </c>
      <c r="B29" s="10">
        <v>34.509998000000003</v>
      </c>
      <c r="C29" s="10">
        <v>37.25</v>
      </c>
      <c r="D29" s="10">
        <v>34.25</v>
      </c>
      <c r="E29" s="10">
        <v>36.75</v>
      </c>
      <c r="F29" s="10">
        <v>36.75</v>
      </c>
      <c r="G29">
        <v>197900</v>
      </c>
      <c r="H29" s="10">
        <f>IF(tbl_AKRO[[#This Row],[Date]]=$A$5, $F29, EMA_Beta*$H28 + (1-EMA_Beta)*$F29)</f>
        <v>33.995971177685739</v>
      </c>
      <c r="I29" s="46">
        <f ca="1">IF(tbl_AKRO[[#This Row],[RS]]= "", "", 100-(100/(1+tbl_AKRO[[#This Row],[RS]])))</f>
        <v>62.106205030944643</v>
      </c>
      <c r="J29" s="10">
        <f ca="1">IF(ROW($N29)-4&lt;BB_Periods, "", AVERAGE(INDIRECT(ADDRESS(ROW($F29)-RSI_Periods +1, MATCH("Adj Close", Price_Header,0))): INDIRECT(ADDRESS(ROW($F29),MATCH("Adj Close", Price_Header,0)))))</f>
        <v>33.442142642857142</v>
      </c>
      <c r="K29" s="10">
        <f ca="1">IF(tbl_AKRO[[#This Row],[BB_Mean]]="", "", tbl_AKRO[[#This Row],[BB_Mean]]+(BB_Width*tbl_AKRO[[#This Row],[BB_Stdev]]))</f>
        <v>36.008734942575686</v>
      </c>
      <c r="L29" s="10">
        <f ca="1">IF(tbl_AKRO[[#This Row],[BB_Mean]]="", "", tbl_AKRO[[#This Row],[BB_Mean]]-(BB_Width*tbl_AKRO[[#This Row],[BB_Stdev]]))</f>
        <v>30.875550343138599</v>
      </c>
      <c r="M29" s="46">
        <f>IF(ROW(tbl_AKRO[[#This Row],[Adj Close]])=5, 0, $F29-$F28)</f>
        <v>2.7200010000000034</v>
      </c>
      <c r="N29" s="46">
        <f>MAX(tbl_AKRO[[#This Row],[Move]],0)</f>
        <v>2.7200010000000034</v>
      </c>
      <c r="O29" s="46">
        <f>MAX(-tbl_AKRO[[#This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0.49285714285714277</v>
      </c>
      <c r="Q29" s="46">
        <f ca="1">IF(ROW($O29)-5&lt;RSI_Periods, "", AVERAGE(INDIRECT(ADDRESS(ROW($O29)-RSI_Periods +1, MATCH("Downmove", Price_Header,0))): INDIRECT(ADDRESS(ROW($O29),MATCH("Downmove", Price_Header,0)))))</f>
        <v>0.30071435714285705</v>
      </c>
      <c r="R29" s="46">
        <f ca="1">IF(tbl_AKRO[[#This Row],[Avg_Upmove]]="", "", tbl_AKRO[[#This Row],[Avg_Upmove]]/tbl_AKRO[[#This Row],[Avg_Downmove]])</f>
        <v>1.6389544800583185</v>
      </c>
      <c r="S29" s="10">
        <f ca="1">IF(ROW($N29)-4&lt;BB_Periods, "", _xlfn.STDEV.S(INDIRECT(ADDRESS(ROW($F29)-RSI_Periods +1, MATCH("Adj Close", Price_Header,0))): INDIRECT(ADDRESS(ROW($F29),MATCH("Adj Close", Price_Header,0)))))</f>
        <v>1.2832961498592719</v>
      </c>
    </row>
    <row r="30" spans="1:19" x14ac:dyDescent="0.25">
      <c r="A30" s="8">
        <v>44089</v>
      </c>
      <c r="B30" s="10">
        <v>37.150002000000001</v>
      </c>
      <c r="C30" s="10">
        <v>37.720001000000003</v>
      </c>
      <c r="D30" s="10">
        <v>35.889999000000003</v>
      </c>
      <c r="E30" s="10">
        <v>36.159999999999997</v>
      </c>
      <c r="F30" s="10">
        <v>36.159999999999997</v>
      </c>
      <c r="G30">
        <v>170900</v>
      </c>
      <c r="H30" s="10">
        <f>IF(tbl_AKRO[[#This Row],[Date]]=$A$5, $F30, EMA_Beta*$H29 + (1-EMA_Beta)*$F30)</f>
        <v>34.212374059917167</v>
      </c>
      <c r="I30" s="46">
        <f ca="1">IF(tbl_AKRO[[#This Row],[RS]]= "", "", 100-(100/(1+tbl_AKRO[[#This Row],[RS]])))</f>
        <v>56.48231976748508</v>
      </c>
      <c r="J30" s="10">
        <f ca="1">IF(ROW($N30)-4&lt;BB_Periods, "", AVERAGE(INDIRECT(ADDRESS(ROW($F30)-RSI_Periods +1, MATCH("Adj Close", Price_Header,0))): INDIRECT(ADDRESS(ROW($F30),MATCH("Adj Close", Price_Header,0)))))</f>
        <v>33.544285500000001</v>
      </c>
      <c r="K30" s="10">
        <f ca="1">IF(tbl_AKRO[[#This Row],[BB_Mean]]="", "", tbl_AKRO[[#This Row],[BB_Mean]]+(BB_Width*tbl_AKRO[[#This Row],[BB_Stdev]]))</f>
        <v>36.42611957747868</v>
      </c>
      <c r="L30" s="10">
        <f ca="1">IF(tbl_AKRO[[#This Row],[BB_Mean]]="", "", tbl_AKRO[[#This Row],[BB_Mean]]-(BB_Width*tbl_AKRO[[#This Row],[BB_Stdev]]))</f>
        <v>30.662451422521322</v>
      </c>
      <c r="M30" s="46">
        <f>IF(ROW(tbl_AKRO[[#This Row],[Adj Close]])=5, 0, $F30-$F29)</f>
        <v>-0.59000000000000341</v>
      </c>
      <c r="N30" s="46">
        <f>MAX(tbl_AKRO[[#This Row],[Move]],0)</f>
        <v>0</v>
      </c>
      <c r="O30" s="46">
        <f>MAX(-tbl_AKRO[[#This Row],[Move]],0)</f>
        <v>0.59000000000000341</v>
      </c>
      <c r="P30" s="46">
        <f ca="1">IF(ROW($N30)-5&lt;RSI_Periods, "", AVERAGE(INDIRECT(ADDRESS(ROW($N30)-RSI_Periods +1, MATCH("Upmove", Price_Header,0))): INDIRECT(ADDRESS(ROW($N30),MATCH("Upmove", Price_Header,0)))))</f>
        <v>0.44500007142857151</v>
      </c>
      <c r="Q30" s="46">
        <f ca="1">IF(ROW($O30)-5&lt;RSI_Periods, "", AVERAGE(INDIRECT(ADDRESS(ROW($O30)-RSI_Periods +1, MATCH("Downmove", Price_Header,0))): INDIRECT(ADDRESS(ROW($O30),MATCH("Downmove", Price_Header,0)))))</f>
        <v>0.34285721428571442</v>
      </c>
      <c r="R30" s="46">
        <f ca="1">IF(tbl_AKRO[[#This Row],[Avg_Upmove]]="", "", tbl_AKRO[[#This Row],[Avg_Upmove]]/tbl_AKRO[[#This Row],[Avg_Downmove]])</f>
        <v>1.2979166046007071</v>
      </c>
      <c r="S30" s="10">
        <f ca="1">IF(ROW($N30)-4&lt;BB_Periods, "", _xlfn.STDEV.S(INDIRECT(ADDRESS(ROW($F30)-RSI_Periods +1, MATCH("Adj Close", Price_Header,0))): INDIRECT(ADDRESS(ROW($F30),MATCH("Adj Close", Price_Header,0)))))</f>
        <v>1.4409170387393386</v>
      </c>
    </row>
    <row r="31" spans="1:19" x14ac:dyDescent="0.25">
      <c r="A31" s="8">
        <v>44090</v>
      </c>
      <c r="B31" s="10">
        <v>36.409999999999997</v>
      </c>
      <c r="C31" s="10">
        <v>37.014999000000003</v>
      </c>
      <c r="D31" s="10">
        <v>36.119999</v>
      </c>
      <c r="E31" s="10">
        <v>36.43</v>
      </c>
      <c r="F31" s="10">
        <v>36.43</v>
      </c>
      <c r="G31">
        <v>131500</v>
      </c>
      <c r="H31" s="10">
        <f>IF(tbl_AKRO[[#This Row],[Date]]=$A$5, $F31, EMA_Beta*$H30 + (1-EMA_Beta)*$F31)</f>
        <v>34.434136653925449</v>
      </c>
      <c r="I31" s="46">
        <f ca="1">IF(tbl_AKRO[[#This Row],[RS]]= "", "", 100-(100/(1+tbl_AKRO[[#This Row],[RS]])))</f>
        <v>64.29277023953405</v>
      </c>
      <c r="J31" s="10">
        <f ca="1">IF(ROW($N31)-4&lt;BB_Periods, "", AVERAGE(INDIRECT(ADDRESS(ROW($F31)-RSI_Periods +1, MATCH("Adj Close", Price_Header,0))): INDIRECT(ADDRESS(ROW($F31),MATCH("Adj Close", Price_Header,0)))))</f>
        <v>33.750714000000002</v>
      </c>
      <c r="K31" s="10">
        <f ca="1">IF(tbl_AKRO[[#This Row],[BB_Mean]]="", "", tbl_AKRO[[#This Row],[BB_Mean]]+(BB_Width*tbl_AKRO[[#This Row],[BB_Stdev]]))</f>
        <v>37.019300922292025</v>
      </c>
      <c r="L31" s="10">
        <f ca="1">IF(tbl_AKRO[[#This Row],[BB_Mean]]="", "", tbl_AKRO[[#This Row],[BB_Mean]]-(BB_Width*tbl_AKRO[[#This Row],[BB_Stdev]]))</f>
        <v>30.482127077707975</v>
      </c>
      <c r="M31" s="46">
        <f>IF(ROW(tbl_AKRO[[#This Row],[Adj Close]])=5, 0, $F31-$F30)</f>
        <v>0.27000000000000313</v>
      </c>
      <c r="N31" s="46">
        <f>MAX(tbl_AKRO[[#This Row],[Move]],0)</f>
        <v>0.27000000000000313</v>
      </c>
      <c r="O31" s="46">
        <f>MAX(-tbl_AKRO[[#This Row],[Move]],0)</f>
        <v>0</v>
      </c>
      <c r="P31" s="46">
        <f ca="1">IF(ROW($N31)-5&lt;RSI_Periods, "", AVERAGE(INDIRECT(ADDRESS(ROW($N31)-RSI_Periods +1, MATCH("Upmove", Price_Header,0))): INDIRECT(ADDRESS(ROW($N31),MATCH("Upmove", Price_Header,0)))))</f>
        <v>0.46428578571428603</v>
      </c>
      <c r="Q31" s="46">
        <f ca="1">IF(ROW($O31)-5&lt;RSI_Periods, "", AVERAGE(INDIRECT(ADDRESS(ROW($O31)-RSI_Periods +1, MATCH("Downmove", Price_Header,0))): INDIRECT(ADDRESS(ROW($O31),MATCH("Downmove", Price_Header,0)))))</f>
        <v>0.25785728571428584</v>
      </c>
      <c r="R31" s="46">
        <f ca="1">IF(tbl_AKRO[[#This Row],[Avg_Upmove]]="", "", tbl_AKRO[[#This Row],[Avg_Upmove]]/tbl_AKRO[[#This Row],[Avg_Downmove]])</f>
        <v>1.8005532960923569</v>
      </c>
      <c r="S31" s="10">
        <f ca="1">IF(ROW($N31)-4&lt;BB_Periods, "", _xlfn.STDEV.S(INDIRECT(ADDRESS(ROW($F31)-RSI_Periods +1, MATCH("Adj Close", Price_Header,0))): INDIRECT(ADDRESS(ROW($F31),MATCH("Adj Close", Price_Header,0)))))</f>
        <v>1.6342934611460129</v>
      </c>
    </row>
    <row r="32" spans="1:19" x14ac:dyDescent="0.25">
      <c r="A32" s="8">
        <v>44091</v>
      </c>
      <c r="B32" s="10">
        <v>36.540000999999997</v>
      </c>
      <c r="C32" s="10">
        <v>36.82</v>
      </c>
      <c r="D32" s="10">
        <v>35.479999999999997</v>
      </c>
      <c r="E32" s="10">
        <v>36.159999999999997</v>
      </c>
      <c r="F32" s="10">
        <v>36.159999999999997</v>
      </c>
      <c r="G32">
        <v>109542</v>
      </c>
      <c r="H32" s="10">
        <f>IF(tbl_AKRO[[#This Row],[Date]]=$A$5, $F32, EMA_Beta*$H31 + (1-EMA_Beta)*$F32)</f>
        <v>34.606722988532901</v>
      </c>
      <c r="I32" s="46">
        <f ca="1">IF(tbl_AKRO[[#This Row],[RS]]= "", "", 100-(100/(1+tbl_AKRO[[#This Row],[RS]])))</f>
        <v>76.560653342602222</v>
      </c>
      <c r="J32" s="10">
        <f ca="1">IF(ROW($N32)-4&lt;BB_Periods, "", AVERAGE(INDIRECT(ADDRESS(ROW($F32)-RSI_Periods +1, MATCH("Adj Close", Price_Header,0))): INDIRECT(ADDRESS(ROW($F32),MATCH("Adj Close", Price_Header,0)))))</f>
        <v>34.07285685714286</v>
      </c>
      <c r="K32" s="10">
        <f ca="1">IF(tbl_AKRO[[#This Row],[BB_Mean]]="", "", tbl_AKRO[[#This Row],[BB_Mean]]+(BB_Width*tbl_AKRO[[#This Row],[BB_Stdev]]))</f>
        <v>37.338561726617826</v>
      </c>
      <c r="L32" s="10">
        <f ca="1">IF(tbl_AKRO[[#This Row],[BB_Mean]]="", "", tbl_AKRO[[#This Row],[BB_Mean]]-(BB_Width*tbl_AKRO[[#This Row],[BB_Stdev]]))</f>
        <v>30.807151987667893</v>
      </c>
      <c r="M32" s="46">
        <f>IF(ROW(tbl_AKRO[[#This Row],[Adj Close]])=5, 0, $F32-$F31)</f>
        <v>-0.27000000000000313</v>
      </c>
      <c r="N32" s="46">
        <f>MAX(tbl_AKRO[[#This Row],[Move]],0)</f>
        <v>0</v>
      </c>
      <c r="O32" s="46">
        <f>MAX(-tbl_AKRO[[#This Row],[Move]],0)</f>
        <v>0.27000000000000313</v>
      </c>
      <c r="P32" s="46">
        <f ca="1">IF(ROW($N32)-5&lt;RSI_Periods, "", AVERAGE(INDIRECT(ADDRESS(ROW($N32)-RSI_Periods +1, MATCH("Upmove", Price_Header,0))): INDIRECT(ADDRESS(ROW($N32),MATCH("Upmove", Price_Header,0)))))</f>
        <v>0.46428578571428603</v>
      </c>
      <c r="Q32" s="46">
        <f ca="1">IF(ROW($O32)-5&lt;RSI_Periods, "", AVERAGE(INDIRECT(ADDRESS(ROW($O32)-RSI_Periods +1, MATCH("Downmove", Price_Header,0))): INDIRECT(ADDRESS(ROW($O32),MATCH("Downmove", Price_Header,0)))))</f>
        <v>0.14214292857142904</v>
      </c>
      <c r="R32" s="46">
        <f ca="1">IF(tbl_AKRO[[#This Row],[Avg_Upmove]]="", "", tbl_AKRO[[#This Row],[Avg_Upmove]]/tbl_AKRO[[#This Row],[Avg_Downmove]])</f>
        <v>3.2663305194318912</v>
      </c>
      <c r="S32" s="10">
        <f ca="1">IF(ROW($N32)-4&lt;BB_Periods, "", _xlfn.STDEV.S(INDIRECT(ADDRESS(ROW($F32)-RSI_Periods +1, MATCH("Adj Close", Price_Header,0))): INDIRECT(ADDRESS(ROW($F32),MATCH("Adj Close", Price_Header,0)))))</f>
        <v>1.632852434737484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selection activeCell="L6" sqref="L6"/>
    </sheetView>
  </sheetViews>
  <sheetFormatPr defaultRowHeight="15" x14ac:dyDescent="0.25"/>
  <cols>
    <col min="1" max="1" width="9.7109375" bestFit="1" customWidth="1"/>
    <col min="6" max="6" width="11.42578125" customWidth="1"/>
    <col min="7" max="7" width="10.140625" customWidth="1"/>
    <col min="10" max="10" width="11.5703125" customWidth="1"/>
    <col min="11" max="11" width="12" customWidth="1"/>
    <col min="12" max="12" width="11.85546875" customWidth="1"/>
    <col min="14" max="14" width="10.7109375" customWidth="1"/>
    <col min="15" max="15" width="13.28515625" customWidth="1"/>
    <col min="16" max="16" width="15" customWidth="1"/>
    <col min="17" max="17" width="17.5703125" customWidth="1"/>
    <col min="19" max="19" width="11.42578125" customWidth="1"/>
  </cols>
  <sheetData>
    <row r="1" spans="1:19" ht="21" x14ac:dyDescent="0.35">
      <c r="A1" s="41" t="s">
        <v>252</v>
      </c>
      <c r="B1" s="13"/>
      <c r="C1" s="13"/>
      <c r="D1" s="13"/>
      <c r="E1" s="13"/>
      <c r="F1" s="13"/>
    </row>
    <row r="2" spans="1:19" x14ac:dyDescent="0.25">
      <c r="A2" t="s">
        <v>251</v>
      </c>
    </row>
    <row r="4" spans="1:19" x14ac:dyDescent="0.2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25">
      <c r="A5" s="8">
        <v>44053</v>
      </c>
      <c r="B5" s="10">
        <v>188.16000399999999</v>
      </c>
      <c r="C5" s="10">
        <v>200.46000699999999</v>
      </c>
      <c r="D5" s="10">
        <v>187.33999600000001</v>
      </c>
      <c r="E5" s="10">
        <v>199.979996</v>
      </c>
      <c r="F5" s="10">
        <v>199.40965299999999</v>
      </c>
      <c r="G5">
        <v>10815100</v>
      </c>
      <c r="H5" s="10">
        <f>IF(tbl_FDX[[#This Row],[Date]]=$A$5, $F5, EMA_Beta*$H4 + (1-EMA_Beta)*$F5)</f>
        <v>199.40965299999999</v>
      </c>
      <c r="I5" s="46" t="str">
        <f ca="1">IF(tbl_FDX[[#This Row],[RS]]= "", "", 100-(100/(1+tbl_FDX[[#This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IF(tbl_FDX[[#This Row],[BB_Mean]]="", "", tbl_FDX[[#This Row],[BB_Mean]]+(BB_Width*tbl_FDX[[#This Row],[BB_Stdev]]))</f>
        <v/>
      </c>
      <c r="L5" s="10" t="str">
        <f ca="1">IF(tbl_FDX[[#This Row],[BB_Mean]]="", "", tbl_FDX[[#This Row],[BB_Mean]]-(BB_Width*tbl_FDX[[#This Row],[BB_Stdev]]))</f>
        <v/>
      </c>
      <c r="M5" s="46">
        <f>IF(ROW(tbl_FDX[[#This Row],[Adj Close]])=5, 0, $F5-$F4)</f>
        <v>0</v>
      </c>
      <c r="N5" s="46">
        <f>MAX(tbl_FDX[[#This Row],[Move]],0)</f>
        <v>0</v>
      </c>
      <c r="O5" s="46">
        <f>MAX(-tbl_FDX[[#This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IF(tbl_FDX[[#This Row],[Avg_Upmove]]="", "", tbl_FDX[[#This Row],[Avg_Upmove]]/tbl_FDX[[#This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25">
      <c r="A6" s="8">
        <v>44054</v>
      </c>
      <c r="B6" s="10">
        <v>199.990005</v>
      </c>
      <c r="C6" s="10">
        <v>203.58999600000001</v>
      </c>
      <c r="D6" s="10">
        <v>195.13999899999999</v>
      </c>
      <c r="E6" s="10">
        <v>196.449997</v>
      </c>
      <c r="F6" s="10">
        <v>195.889725</v>
      </c>
      <c r="G6">
        <v>5998200</v>
      </c>
      <c r="H6" s="10">
        <f>IF(tbl_FDX[[#This Row],[Date]]=$A$5, $F6, EMA_Beta*$H5 + (1-EMA_Beta)*$F6)</f>
        <v>199.05766019999999</v>
      </c>
      <c r="I6" s="46" t="str">
        <f ca="1">IF(tbl_FDX[[#This Row],[RS]]= "", "", 100-(100/(1+tbl_FDX[[#This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IF(tbl_FDX[[#This Row],[BB_Mean]]="", "", tbl_FDX[[#This Row],[BB_Mean]]+(BB_Width*tbl_FDX[[#This Row],[BB_Stdev]]))</f>
        <v/>
      </c>
      <c r="L6" s="10" t="str">
        <f ca="1">IF(tbl_FDX[[#This Row],[BB_Mean]]="", "", tbl_FDX[[#This Row],[BB_Mean]]-(BB_Width*tbl_FDX[[#This Row],[BB_Stdev]]))</f>
        <v/>
      </c>
      <c r="M6" s="46">
        <f>IF(ROW(tbl_FDX[[#This Row],[Adj Close]])=5, 0, $F6-$F5)</f>
        <v>-3.5199279999999931</v>
      </c>
      <c r="N6" s="46">
        <f>MAX(tbl_FDX[[#This Row],[Move]],0)</f>
        <v>0</v>
      </c>
      <c r="O6" s="46">
        <f>MAX(-tbl_FDX[[#This Row],[Move]],0)</f>
        <v>3.5199279999999931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IF(tbl_FDX[[#This Row],[Avg_Upmove]]="", "", tbl_FDX[[#This Row],[Avg_Upmove]]/tbl_FDX[[#This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25">
      <c r="A7" s="8">
        <v>44055</v>
      </c>
      <c r="B7" s="10">
        <v>200</v>
      </c>
      <c r="C7" s="10">
        <v>206.240005</v>
      </c>
      <c r="D7" s="10">
        <v>199.020004</v>
      </c>
      <c r="E7" s="10">
        <v>201.96000699999999</v>
      </c>
      <c r="F7" s="10">
        <v>201.384018</v>
      </c>
      <c r="G7">
        <v>6239400</v>
      </c>
      <c r="H7" s="10">
        <f>IF(tbl_FDX[[#This Row],[Date]]=$A$5, $F7, EMA_Beta*$H6 + (1-EMA_Beta)*$F7)</f>
        <v>199.29029598</v>
      </c>
      <c r="I7" s="46" t="str">
        <f ca="1">IF(tbl_FDX[[#This Row],[RS]]= "", "", 100-(100/(1+tbl_FDX[[#This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IF(tbl_FDX[[#This Row],[BB_Mean]]="", "", tbl_FDX[[#This Row],[BB_Mean]]+(BB_Width*tbl_FDX[[#This Row],[BB_Stdev]]))</f>
        <v/>
      </c>
      <c r="L7" s="10" t="str">
        <f ca="1">IF(tbl_FDX[[#This Row],[BB_Mean]]="", "", tbl_FDX[[#This Row],[BB_Mean]]-(BB_Width*tbl_FDX[[#This Row],[BB_Stdev]]))</f>
        <v/>
      </c>
      <c r="M7" s="46">
        <f>IF(ROW(tbl_FDX[[#This Row],[Adj Close]])=5, 0, $F7-$F6)</f>
        <v>5.494292999999999</v>
      </c>
      <c r="N7" s="46">
        <f>MAX(tbl_FDX[[#This Row],[Move]],0)</f>
        <v>5.494292999999999</v>
      </c>
      <c r="O7" s="46">
        <f>MAX(-tbl_FDX[[#This Row],[Move]],0)</f>
        <v>0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IF(tbl_FDX[[#This Row],[Avg_Upmove]]="", "", tbl_FDX[[#This Row],[Avg_Upmove]]/tbl_FDX[[#This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25">
      <c r="A8" s="8">
        <v>44056</v>
      </c>
      <c r="B8" s="10">
        <v>200.679993</v>
      </c>
      <c r="C8" s="10">
        <v>204.78999300000001</v>
      </c>
      <c r="D8" s="10">
        <v>199.61000100000001</v>
      </c>
      <c r="E8" s="10">
        <v>203.86000100000001</v>
      </c>
      <c r="F8" s="10">
        <v>203.27858000000001</v>
      </c>
      <c r="G8">
        <v>3663800</v>
      </c>
      <c r="H8" s="10">
        <f>IF(tbl_FDX[[#This Row],[Date]]=$A$5, $F8, EMA_Beta*$H7 + (1-EMA_Beta)*$F8)</f>
        <v>199.68912438199999</v>
      </c>
      <c r="I8" s="46" t="str">
        <f ca="1">IF(tbl_FDX[[#This Row],[RS]]= "", "", 100-(100/(1+tbl_FDX[[#This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IF(tbl_FDX[[#This Row],[BB_Mean]]="", "", tbl_FDX[[#This Row],[BB_Mean]]+(BB_Width*tbl_FDX[[#This Row],[BB_Stdev]]))</f>
        <v/>
      </c>
      <c r="L8" s="10" t="str">
        <f ca="1">IF(tbl_FDX[[#This Row],[BB_Mean]]="", "", tbl_FDX[[#This Row],[BB_Mean]]-(BB_Width*tbl_FDX[[#This Row],[BB_Stdev]]))</f>
        <v/>
      </c>
      <c r="M8" s="46">
        <f>IF(ROW(tbl_FDX[[#This Row],[Adj Close]])=5, 0, $F8-$F7)</f>
        <v>1.8945620000000076</v>
      </c>
      <c r="N8" s="46">
        <f>MAX(tbl_FDX[[#This Row],[Move]],0)</f>
        <v>1.8945620000000076</v>
      </c>
      <c r="O8" s="46">
        <f>MAX(-tbl_FDX[[#This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IF(tbl_FDX[[#This Row],[Avg_Upmove]]="", "", tbl_FDX[[#This Row],[Avg_Upmove]]/tbl_FDX[[#This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25">
      <c r="A9" s="8">
        <v>44057</v>
      </c>
      <c r="B9" s="10">
        <v>202.070007</v>
      </c>
      <c r="C9" s="10">
        <v>209.63999899999999</v>
      </c>
      <c r="D9" s="10">
        <v>201.86000100000001</v>
      </c>
      <c r="E9" s="10">
        <v>208.60000600000001</v>
      </c>
      <c r="F9" s="10">
        <v>208.00508099999999</v>
      </c>
      <c r="G9">
        <v>4633000</v>
      </c>
      <c r="H9" s="10">
        <f>IF(tbl_FDX[[#This Row],[Date]]=$A$5, $F9, EMA_Beta*$H8 + (1-EMA_Beta)*$F9)</f>
        <v>200.5207200438</v>
      </c>
      <c r="I9" s="46" t="str">
        <f ca="1">IF(tbl_FDX[[#This Row],[RS]]= "", "", 100-(100/(1+tbl_FDX[[#This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IF(tbl_FDX[[#This Row],[BB_Mean]]="", "", tbl_FDX[[#This Row],[BB_Mean]]+(BB_Width*tbl_FDX[[#This Row],[BB_Stdev]]))</f>
        <v/>
      </c>
      <c r="L9" s="10" t="str">
        <f ca="1">IF(tbl_FDX[[#This Row],[BB_Mean]]="", "", tbl_FDX[[#This Row],[BB_Mean]]-(BB_Width*tbl_FDX[[#This Row],[BB_Stdev]]))</f>
        <v/>
      </c>
      <c r="M9" s="46">
        <f>IF(ROW(tbl_FDX[[#This Row],[Adj Close]])=5, 0, $F9-$F8)</f>
        <v>4.7265009999999847</v>
      </c>
      <c r="N9" s="46">
        <f>MAX(tbl_FDX[[#This Row],[Move]],0)</f>
        <v>4.7265009999999847</v>
      </c>
      <c r="O9" s="46">
        <f>MAX(-tbl_FDX[[#This Row],[Move]],0)</f>
        <v>0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IF(tbl_FDX[[#This Row],[Avg_Upmove]]="", "", tbl_FDX[[#This Row],[Avg_Upmove]]/tbl_FDX[[#This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25">
      <c r="A10" s="8">
        <v>44060</v>
      </c>
      <c r="B10" s="10">
        <v>210</v>
      </c>
      <c r="C10" s="10">
        <v>211.55999800000001</v>
      </c>
      <c r="D10" s="10">
        <v>206.03999300000001</v>
      </c>
      <c r="E10" s="10">
        <v>206.63999899999999</v>
      </c>
      <c r="F10" s="10">
        <v>206.050659</v>
      </c>
      <c r="G10">
        <v>2662000</v>
      </c>
      <c r="H10" s="10">
        <f>IF(tbl_FDX[[#This Row],[Date]]=$A$5, $F10, EMA_Beta*$H9 + (1-EMA_Beta)*$F10)</f>
        <v>201.07371393942</v>
      </c>
      <c r="I10" s="46" t="str">
        <f ca="1">IF(tbl_FDX[[#This Row],[RS]]= "", "", 100-(100/(1+tbl_FDX[[#This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IF(tbl_FDX[[#This Row],[BB_Mean]]="", "", tbl_FDX[[#This Row],[BB_Mean]]+(BB_Width*tbl_FDX[[#This Row],[BB_Stdev]]))</f>
        <v/>
      </c>
      <c r="L10" s="10" t="str">
        <f ca="1">IF(tbl_FDX[[#This Row],[BB_Mean]]="", "", tbl_FDX[[#This Row],[BB_Mean]]-(BB_Width*tbl_FDX[[#This Row],[BB_Stdev]]))</f>
        <v/>
      </c>
      <c r="M10" s="46">
        <f>IF(ROW(tbl_FDX[[#This Row],[Adj Close]])=5, 0, $F10-$F9)</f>
        <v>-1.9544219999999939</v>
      </c>
      <c r="N10" s="46">
        <f>MAX(tbl_FDX[[#This Row],[Move]],0)</f>
        <v>0</v>
      </c>
      <c r="O10" s="46">
        <f>MAX(-tbl_FDX[[#This Row],[Move]],0)</f>
        <v>1.9544219999999939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IF(tbl_FDX[[#This Row],[Avg_Upmove]]="", "", tbl_FDX[[#This Row],[Avg_Upmove]]/tbl_FDX[[#This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25">
      <c r="A11" s="8">
        <v>44061</v>
      </c>
      <c r="B11" s="10">
        <v>206.36999499999999</v>
      </c>
      <c r="C11" s="10">
        <v>208.429993</v>
      </c>
      <c r="D11" s="10">
        <v>204.179993</v>
      </c>
      <c r="E11" s="10">
        <v>206.970001</v>
      </c>
      <c r="F11" s="10">
        <v>206.379715</v>
      </c>
      <c r="G11">
        <v>3040400</v>
      </c>
      <c r="H11" s="10">
        <f>IF(tbl_FDX[[#This Row],[Date]]=$A$5, $F11, EMA_Beta*$H10 + (1-EMA_Beta)*$F11)</f>
        <v>201.60431404547799</v>
      </c>
      <c r="I11" s="46" t="str">
        <f ca="1">IF(tbl_FDX[[#This Row],[RS]]= "", "", 100-(100/(1+tbl_FDX[[#This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IF(tbl_FDX[[#This Row],[BB_Mean]]="", "", tbl_FDX[[#This Row],[BB_Mean]]+(BB_Width*tbl_FDX[[#This Row],[BB_Stdev]]))</f>
        <v/>
      </c>
      <c r="L11" s="10" t="str">
        <f ca="1">IF(tbl_FDX[[#This Row],[BB_Mean]]="", "", tbl_FDX[[#This Row],[BB_Mean]]-(BB_Width*tbl_FDX[[#This Row],[BB_Stdev]]))</f>
        <v/>
      </c>
      <c r="M11" s="46">
        <f>IF(ROW(tbl_FDX[[#This Row],[Adj Close]])=5, 0, $F11-$F10)</f>
        <v>0.32905600000000845</v>
      </c>
      <c r="N11" s="46">
        <f>MAX(tbl_FDX[[#This Row],[Move]],0)</f>
        <v>0.32905600000000845</v>
      </c>
      <c r="O11" s="46">
        <f>MAX(-tbl_FDX[[#This Row],[Move]],0)</f>
        <v>0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IF(tbl_FDX[[#This Row],[Avg_Upmove]]="", "", tbl_FDX[[#This Row],[Avg_Upmove]]/tbl_FDX[[#This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25">
      <c r="A12" s="8">
        <v>44062</v>
      </c>
      <c r="B12" s="10">
        <v>206.83999600000001</v>
      </c>
      <c r="C12" s="10">
        <v>210.94000199999999</v>
      </c>
      <c r="D12" s="10">
        <v>206.83999600000001</v>
      </c>
      <c r="E12" s="10">
        <v>207.88000500000001</v>
      </c>
      <c r="F12" s="10">
        <v>207.287125</v>
      </c>
      <c r="G12">
        <v>2218000</v>
      </c>
      <c r="H12" s="10">
        <f>IF(tbl_FDX[[#This Row],[Date]]=$A$5, $F12, EMA_Beta*$H11 + (1-EMA_Beta)*$F12)</f>
        <v>202.17259514093018</v>
      </c>
      <c r="I12" s="46" t="str">
        <f ca="1">IF(tbl_FDX[[#This Row],[RS]]= "", "", 100-(100/(1+tbl_FDX[[#This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IF(tbl_FDX[[#This Row],[BB_Mean]]="", "", tbl_FDX[[#This Row],[BB_Mean]]+(BB_Width*tbl_FDX[[#This Row],[BB_Stdev]]))</f>
        <v/>
      </c>
      <c r="L12" s="10" t="str">
        <f ca="1">IF(tbl_FDX[[#This Row],[BB_Mean]]="", "", tbl_FDX[[#This Row],[BB_Mean]]-(BB_Width*tbl_FDX[[#This Row],[BB_Stdev]]))</f>
        <v/>
      </c>
      <c r="M12" s="46">
        <f>IF(ROW(tbl_FDX[[#This Row],[Adj Close]])=5, 0, $F12-$F11)</f>
        <v>0.90740999999999872</v>
      </c>
      <c r="N12" s="46">
        <f>MAX(tbl_FDX[[#This Row],[Move]],0)</f>
        <v>0.90740999999999872</v>
      </c>
      <c r="O12" s="46">
        <f>MAX(-tbl_FDX[[#This Row],[Move]],0)</f>
        <v>0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IF(tbl_FDX[[#This Row],[Avg_Upmove]]="", "", tbl_FDX[[#This Row],[Avg_Upmove]]/tbl_FDX[[#This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25">
      <c r="A13" s="8">
        <v>44063</v>
      </c>
      <c r="B13" s="10">
        <v>206.229996</v>
      </c>
      <c r="C13" s="10">
        <v>209.199997</v>
      </c>
      <c r="D13" s="10">
        <v>205.05999800000001</v>
      </c>
      <c r="E13" s="10">
        <v>208.820007</v>
      </c>
      <c r="F13" s="10">
        <v>208.22444200000001</v>
      </c>
      <c r="G13">
        <v>1532800</v>
      </c>
      <c r="H13" s="10">
        <f>IF(tbl_FDX[[#This Row],[Date]]=$A$5, $F13, EMA_Beta*$H12 + (1-EMA_Beta)*$F13)</f>
        <v>202.77777982683719</v>
      </c>
      <c r="I13" s="46" t="str">
        <f ca="1">IF(tbl_FDX[[#This Row],[RS]]= "", "", 100-(100/(1+tbl_FDX[[#This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IF(tbl_FDX[[#This Row],[BB_Mean]]="", "", tbl_FDX[[#This Row],[BB_Mean]]+(BB_Width*tbl_FDX[[#This Row],[BB_Stdev]]))</f>
        <v/>
      </c>
      <c r="L13" s="10" t="str">
        <f ca="1">IF(tbl_FDX[[#This Row],[BB_Mean]]="", "", tbl_FDX[[#This Row],[BB_Mean]]-(BB_Width*tbl_FDX[[#This Row],[BB_Stdev]]))</f>
        <v/>
      </c>
      <c r="M13" s="46">
        <f>IF(ROW(tbl_FDX[[#This Row],[Adj Close]])=5, 0, $F13-$F12)</f>
        <v>0.93731700000000728</v>
      </c>
      <c r="N13" s="46">
        <f>MAX(tbl_FDX[[#This Row],[Move]],0)</f>
        <v>0.93731700000000728</v>
      </c>
      <c r="O13" s="46">
        <f>MAX(-tbl_FDX[[#This Row],[Move]],0)</f>
        <v>0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IF(tbl_FDX[[#This Row],[Avg_Upmove]]="", "", tbl_FDX[[#This Row],[Avg_Upmove]]/tbl_FDX[[#This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25">
      <c r="A14" s="8">
        <v>44064</v>
      </c>
      <c r="B14" s="10">
        <v>209.16000399999999</v>
      </c>
      <c r="C14" s="10">
        <v>212.94000199999999</v>
      </c>
      <c r="D14" s="10">
        <v>208.5</v>
      </c>
      <c r="E14" s="10">
        <v>210.490005</v>
      </c>
      <c r="F14" s="10">
        <v>209.889679</v>
      </c>
      <c r="G14">
        <v>2034100</v>
      </c>
      <c r="H14" s="10">
        <f>IF(tbl_FDX[[#This Row],[Date]]=$A$5, $F14, EMA_Beta*$H13 + (1-EMA_Beta)*$F14)</f>
        <v>203.48896974415348</v>
      </c>
      <c r="I14" s="46" t="str">
        <f ca="1">IF(tbl_FDX[[#This Row],[RS]]= "", "", 100-(100/(1+tbl_FDX[[#This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IF(tbl_FDX[[#This Row],[BB_Mean]]="", "", tbl_FDX[[#This Row],[BB_Mean]]+(BB_Width*tbl_FDX[[#This Row],[BB_Stdev]]))</f>
        <v/>
      </c>
      <c r="L14" s="10" t="str">
        <f ca="1">IF(tbl_FDX[[#This Row],[BB_Mean]]="", "", tbl_FDX[[#This Row],[BB_Mean]]-(BB_Width*tbl_FDX[[#This Row],[BB_Stdev]]))</f>
        <v/>
      </c>
      <c r="M14" s="46">
        <f>IF(ROW(tbl_FDX[[#This Row],[Adj Close]])=5, 0, $F14-$F13)</f>
        <v>1.6652369999999905</v>
      </c>
      <c r="N14" s="46">
        <f>MAX(tbl_FDX[[#This Row],[Move]],0)</f>
        <v>1.6652369999999905</v>
      </c>
      <c r="O14" s="46">
        <f>MAX(-tbl_FDX[[#This Row],[Move]],0)</f>
        <v>0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IF(tbl_FDX[[#This Row],[Avg_Upmove]]="", "", tbl_FDX[[#This Row],[Avg_Upmove]]/tbl_FDX[[#This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25">
      <c r="A15" s="8">
        <v>44067</v>
      </c>
      <c r="B15" s="10">
        <v>212.96000699999999</v>
      </c>
      <c r="C15" s="10">
        <v>217.949997</v>
      </c>
      <c r="D15" s="10">
        <v>211.990005</v>
      </c>
      <c r="E15" s="10">
        <v>217.39999399999999</v>
      </c>
      <c r="F15" s="10">
        <v>216.779968</v>
      </c>
      <c r="G15">
        <v>3393700</v>
      </c>
      <c r="H15" s="10">
        <f>IF(tbl_FDX[[#This Row],[Date]]=$A$5, $F15, EMA_Beta*$H14 + (1-EMA_Beta)*$F15)</f>
        <v>204.81806956973813</v>
      </c>
      <c r="I15" s="46" t="str">
        <f ca="1">IF(tbl_FDX[[#This Row],[RS]]= "", "", 100-(100/(1+tbl_FDX[[#This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IF(tbl_FDX[[#This Row],[BB_Mean]]="", "", tbl_FDX[[#This Row],[BB_Mean]]+(BB_Width*tbl_FDX[[#This Row],[BB_Stdev]]))</f>
        <v/>
      </c>
      <c r="L15" s="10" t="str">
        <f ca="1">IF(tbl_FDX[[#This Row],[BB_Mean]]="", "", tbl_FDX[[#This Row],[BB_Mean]]-(BB_Width*tbl_FDX[[#This Row],[BB_Stdev]]))</f>
        <v/>
      </c>
      <c r="M15" s="46">
        <f>IF(ROW(tbl_FDX[[#This Row],[Adj Close]])=5, 0, $F15-$F14)</f>
        <v>6.8902889999999957</v>
      </c>
      <c r="N15" s="46">
        <f>MAX(tbl_FDX[[#This Row],[Move]],0)</f>
        <v>6.8902889999999957</v>
      </c>
      <c r="O15" s="46">
        <f>MAX(-tbl_FDX[[#This Row],[Move]],0)</f>
        <v>0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IF(tbl_FDX[[#This Row],[Avg_Upmove]]="", "", tbl_FDX[[#This Row],[Avg_Upmove]]/tbl_FDX[[#This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25">
      <c r="A16" s="8">
        <v>44068</v>
      </c>
      <c r="B16" s="10">
        <v>219.16999799999999</v>
      </c>
      <c r="C16" s="10">
        <v>219.58000200000001</v>
      </c>
      <c r="D16" s="10">
        <v>213.220001</v>
      </c>
      <c r="E16" s="10">
        <v>214.30999800000001</v>
      </c>
      <c r="F16" s="10">
        <v>213.69877600000001</v>
      </c>
      <c r="G16">
        <v>2160200</v>
      </c>
      <c r="H16" s="10">
        <f>IF(tbl_FDX[[#This Row],[Date]]=$A$5, $F16, EMA_Beta*$H15 + (1-EMA_Beta)*$F16)</f>
        <v>205.70614021276432</v>
      </c>
      <c r="I16" s="46" t="str">
        <f ca="1">IF(tbl_FDX[[#This Row],[RS]]= "", "", 100-(100/(1+tbl_FDX[[#This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IF(tbl_FDX[[#This Row],[BB_Mean]]="", "", tbl_FDX[[#This Row],[BB_Mean]]+(BB_Width*tbl_FDX[[#This Row],[BB_Stdev]]))</f>
        <v/>
      </c>
      <c r="L16" s="10" t="str">
        <f ca="1">IF(tbl_FDX[[#This Row],[BB_Mean]]="", "", tbl_FDX[[#This Row],[BB_Mean]]-(BB_Width*tbl_FDX[[#This Row],[BB_Stdev]]))</f>
        <v/>
      </c>
      <c r="M16" s="46">
        <f>IF(ROW(tbl_FDX[[#This Row],[Adj Close]])=5, 0, $F16-$F15)</f>
        <v>-3.0811919999999873</v>
      </c>
      <c r="N16" s="46">
        <f>MAX(tbl_FDX[[#This Row],[Move]],0)</f>
        <v>0</v>
      </c>
      <c r="O16" s="46">
        <f>MAX(-tbl_FDX[[#This Row],[Move]],0)</f>
        <v>3.0811919999999873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IF(tbl_FDX[[#This Row],[Avg_Upmove]]="", "", tbl_FDX[[#This Row],[Avg_Upmove]]/tbl_FDX[[#This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25">
      <c r="A17" s="8">
        <v>44069</v>
      </c>
      <c r="B17" s="10">
        <v>215.729996</v>
      </c>
      <c r="C17" s="10">
        <v>217.11999499999999</v>
      </c>
      <c r="D17" s="10">
        <v>214.08000200000001</v>
      </c>
      <c r="E17" s="10">
        <v>215.770004</v>
      </c>
      <c r="F17" s="10">
        <v>215.154617</v>
      </c>
      <c r="G17">
        <v>1518200</v>
      </c>
      <c r="H17" s="10">
        <f>IF(tbl_FDX[[#This Row],[Date]]=$A$5, $F17, EMA_Beta*$H16 + (1-EMA_Beta)*$F17)</f>
        <v>206.65098789148789</v>
      </c>
      <c r="I17" s="46" t="str">
        <f ca="1">IF(tbl_FDX[[#This Row],[RS]]= "", "", 100-(100/(1+tbl_FDX[[#This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IF(tbl_FDX[[#This Row],[BB_Mean]]="", "", tbl_FDX[[#This Row],[BB_Mean]]+(BB_Width*tbl_FDX[[#This Row],[BB_Stdev]]))</f>
        <v/>
      </c>
      <c r="L17" s="10" t="str">
        <f ca="1">IF(tbl_FDX[[#This Row],[BB_Mean]]="", "", tbl_FDX[[#This Row],[BB_Mean]]-(BB_Width*tbl_FDX[[#This Row],[BB_Stdev]]))</f>
        <v/>
      </c>
      <c r="M17" s="46">
        <f>IF(ROW(tbl_FDX[[#This Row],[Adj Close]])=5, 0, $F17-$F16)</f>
        <v>1.4558409999999924</v>
      </c>
      <c r="N17" s="46">
        <f>MAX(tbl_FDX[[#This Row],[Move]],0)</f>
        <v>1.4558409999999924</v>
      </c>
      <c r="O17" s="46">
        <f>MAX(-tbl_FDX[[#This Row],[Move]],0)</f>
        <v>0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IF(tbl_FDX[[#This Row],[Avg_Upmove]]="", "", tbl_FDX[[#This Row],[Avg_Upmove]]/tbl_FDX[[#This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25">
      <c r="A18" s="8">
        <v>44070</v>
      </c>
      <c r="B18" s="10">
        <v>216.10000600000001</v>
      </c>
      <c r="C18" s="10">
        <v>218.88000500000001</v>
      </c>
      <c r="D18" s="10">
        <v>215.08000200000001</v>
      </c>
      <c r="E18" s="10">
        <v>218.21000699999999</v>
      </c>
      <c r="F18" s="10">
        <v>217.58766199999999</v>
      </c>
      <c r="G18">
        <v>2014900</v>
      </c>
      <c r="H18" s="10">
        <f>IF(tbl_FDX[[#This Row],[Date]]=$A$5, $F18, EMA_Beta*$H17 + (1-EMA_Beta)*$F18)</f>
        <v>207.74465530233911</v>
      </c>
      <c r="I18" s="46" t="str">
        <f ca="1">IF(tbl_FDX[[#This Row],[RS]]= "", "", 100-(100/(1+tbl_FDX[[#This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207.78712142857145</v>
      </c>
      <c r="K18" s="10">
        <f ca="1">IF(tbl_FDX[[#This Row],[BB_Mean]]="", "", tbl_FDX[[#This Row],[BB_Mean]]+(BB_Width*tbl_FDX[[#This Row],[BB_Stdev]]))</f>
        <v>220.78548616766975</v>
      </c>
      <c r="L18" s="10">
        <f ca="1">IF(tbl_FDX[[#This Row],[BB_Mean]]="", "", tbl_FDX[[#This Row],[BB_Mean]]-(BB_Width*tbl_FDX[[#This Row],[BB_Stdev]]))</f>
        <v>194.78875668947316</v>
      </c>
      <c r="M18" s="46">
        <f>IF(ROW(tbl_FDX[[#This Row],[Adj Close]])=5, 0, $F18-$F17)</f>
        <v>2.4330449999999928</v>
      </c>
      <c r="N18" s="46">
        <f>MAX(tbl_FDX[[#This Row],[Move]],0)</f>
        <v>2.4330449999999928</v>
      </c>
      <c r="O18" s="46">
        <f>MAX(-tbl_FDX[[#This Row],[Move]],0)</f>
        <v>0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IF(tbl_FDX[[#This Row],[Avg_Upmove]]="", "", tbl_FDX[[#This Row],[Avg_Upmove]]/tbl_FDX[[#This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6.4991823695491435</v>
      </c>
    </row>
    <row r="19" spans="1:19" x14ac:dyDescent="0.25">
      <c r="A19" s="8">
        <v>44071</v>
      </c>
      <c r="B19" s="10">
        <v>218.229996</v>
      </c>
      <c r="C19" s="10">
        <v>223.66000399999999</v>
      </c>
      <c r="D19" s="10">
        <v>218.009995</v>
      </c>
      <c r="E19" s="10">
        <v>221.89999399999999</v>
      </c>
      <c r="F19" s="10">
        <v>221.26713599999999</v>
      </c>
      <c r="G19">
        <v>2996100</v>
      </c>
      <c r="H19" s="10">
        <f>IF(tbl_FDX[[#This Row],[Date]]=$A$5, $F19, EMA_Beta*$H18 + (1-EMA_Beta)*$F19)</f>
        <v>209.0969033721052</v>
      </c>
      <c r="I19" s="46">
        <f ca="1">IF(tbl_FDX[[#This Row],[RS]]= "", "", 100-(100/(1+tbl_FDX[[#This Row],[RS]])))</f>
        <v>78.045017667701288</v>
      </c>
      <c r="J19" s="10">
        <f ca="1">IF(ROW($N19)-4&lt;BB_Periods, "", AVERAGE(INDIRECT(ADDRESS(ROW($F19)-RSI_Periods +1, MATCH("Adj Close", Price_Header,0))): INDIRECT(ADDRESS(ROW($F19),MATCH("Adj Close", Price_Header,0)))))</f>
        <v>209.34837021428572</v>
      </c>
      <c r="K19" s="10">
        <f ca="1">IF(tbl_FDX[[#This Row],[BB_Mean]]="", "", tbl_FDX[[#This Row],[BB_Mean]]+(BB_Width*tbl_FDX[[#This Row],[BB_Stdev]]))</f>
        <v>223.23267985254844</v>
      </c>
      <c r="L19" s="10">
        <f ca="1">IF(tbl_FDX[[#This Row],[BB_Mean]]="", "", tbl_FDX[[#This Row],[BB_Mean]]-(BB_Width*tbl_FDX[[#This Row],[BB_Stdev]]))</f>
        <v>195.464060576023</v>
      </c>
      <c r="M19" s="46">
        <f>IF(ROW(tbl_FDX[[#This Row],[Adj Close]])=5, 0, $F19-$F18)</f>
        <v>3.679473999999999</v>
      </c>
      <c r="N19" s="46">
        <f>MAX(tbl_FDX[[#This Row],[Move]],0)</f>
        <v>3.679473999999999</v>
      </c>
      <c r="O19" s="46">
        <f>MAX(-tbl_FDX[[#This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2.1723589285714269</v>
      </c>
      <c r="Q19" s="46">
        <f ca="1">IF(ROW($O19)-5&lt;RSI_Periods, "", AVERAGE(INDIRECT(ADDRESS(ROW($O19)-RSI_Periods +1, MATCH("Downmove", Price_Header,0))): INDIRECT(ADDRESS(ROW($O19),MATCH("Downmove", Price_Header,0)))))</f>
        <v>0.61111014285714105</v>
      </c>
      <c r="R19" s="46">
        <f ca="1">IF(tbl_FDX[[#This Row],[Avg_Upmove]]="", "", tbl_FDX[[#This Row],[Avg_Upmove]]/tbl_FDX[[#This Row],[Avg_Downmove]])</f>
        <v>3.5547747880847371</v>
      </c>
      <c r="S19" s="10">
        <f ca="1">IF(ROW($N19)-4&lt;BB_Periods, "", _xlfn.STDEV.S(INDIRECT(ADDRESS(ROW($F19)-RSI_Periods +1, MATCH("Adj Close", Price_Header,0))): INDIRECT(ADDRESS(ROW($F19),MATCH("Adj Close", Price_Header,0)))))</f>
        <v>6.9421548191313613</v>
      </c>
    </row>
    <row r="20" spans="1:19" x14ac:dyDescent="0.25">
      <c r="A20" s="8">
        <v>44074</v>
      </c>
      <c r="B20" s="10">
        <v>221.800003</v>
      </c>
      <c r="C20" s="10">
        <v>224.199997</v>
      </c>
      <c r="D20" s="10">
        <v>219.800003</v>
      </c>
      <c r="E20" s="10">
        <v>219.83999600000001</v>
      </c>
      <c r="F20" s="10">
        <v>219.21301299999999</v>
      </c>
      <c r="G20">
        <v>1839300</v>
      </c>
      <c r="H20" s="10">
        <f>IF(tbl_FDX[[#This Row],[Date]]=$A$5, $F20, EMA_Beta*$H19 + (1-EMA_Beta)*$F20)</f>
        <v>210.10851433489466</v>
      </c>
      <c r="I20" s="46">
        <f ca="1">IF(tbl_FDX[[#This Row],[RS]]= "", "", 100-(100/(1+tbl_FDX[[#This Row],[RS]])))</f>
        <v>81.095427051479589</v>
      </c>
      <c r="J20" s="10">
        <f ca="1">IF(ROW($N20)-4&lt;BB_Periods, "", AVERAGE(INDIRECT(ADDRESS(ROW($F20)-RSI_Periods +1, MATCH("Adj Close", Price_Header,0))): INDIRECT(ADDRESS(ROW($F20),MATCH("Adj Close", Price_Header,0)))))</f>
        <v>211.01431935714285</v>
      </c>
      <c r="K20" s="10">
        <f ca="1">IF(tbl_FDX[[#This Row],[BB_Mean]]="", "", tbl_FDX[[#This Row],[BB_Mean]]+(BB_Width*tbl_FDX[[#This Row],[BB_Stdev]]))</f>
        <v>223.46528546806431</v>
      </c>
      <c r="L20" s="10">
        <f ca="1">IF(tbl_FDX[[#This Row],[BB_Mean]]="", "", tbl_FDX[[#This Row],[BB_Mean]]-(BB_Width*tbl_FDX[[#This Row],[BB_Stdev]]))</f>
        <v>198.5633532462214</v>
      </c>
      <c r="M20" s="46">
        <f>IF(ROW(tbl_FDX[[#This Row],[Adj Close]])=5, 0, $F20-$F19)</f>
        <v>-2.0541230000000041</v>
      </c>
      <c r="N20" s="46">
        <f>MAX(tbl_FDX[[#This Row],[Move]],0)</f>
        <v>0</v>
      </c>
      <c r="O20" s="46">
        <f>MAX(-tbl_FDX[[#This Row],[Move]],0)</f>
        <v>2.0541230000000041</v>
      </c>
      <c r="P20" s="46">
        <f ca="1">IF(ROW($N20)-5&lt;RSI_Periods, "", AVERAGE(INDIRECT(ADDRESS(ROW($N20)-RSI_Periods +1, MATCH("Upmove", Price_Header,0))): INDIRECT(ADDRESS(ROW($N20),MATCH("Upmove", Price_Header,0)))))</f>
        <v>2.1723589285714269</v>
      </c>
      <c r="Q20" s="46">
        <f ca="1">IF(ROW($O20)-5&lt;RSI_Periods, "", AVERAGE(INDIRECT(ADDRESS(ROW($O20)-RSI_Periods +1, MATCH("Downmove", Price_Header,0))): INDIRECT(ADDRESS(ROW($O20),MATCH("Downmove", Price_Header,0)))))</f>
        <v>0.50640978571428463</v>
      </c>
      <c r="R20" s="46">
        <f ca="1">IF(tbl_FDX[[#This Row],[Avg_Upmove]]="", "", tbl_FDX[[#This Row],[Avg_Upmove]]/tbl_FDX[[#This Row],[Avg_Downmove]])</f>
        <v>4.2897254157664859</v>
      </c>
      <c r="S20" s="10">
        <f ca="1">IF(ROW($N20)-4&lt;BB_Periods, "", _xlfn.STDEV.S(INDIRECT(ADDRESS(ROW($F20)-RSI_Periods +1, MATCH("Adj Close", Price_Header,0))): INDIRECT(ADDRESS(ROW($F20),MATCH("Adj Close", Price_Header,0)))))</f>
        <v>6.2254830554607317</v>
      </c>
    </row>
    <row r="21" spans="1:19" x14ac:dyDescent="0.25">
      <c r="A21" s="8">
        <v>44075</v>
      </c>
      <c r="B21" s="10">
        <v>219.990005</v>
      </c>
      <c r="C21" s="10">
        <v>226.550003</v>
      </c>
      <c r="D21" s="10">
        <v>219.13999899999999</v>
      </c>
      <c r="E21" s="10">
        <v>225.46000699999999</v>
      </c>
      <c r="F21" s="10">
        <v>224.81698600000001</v>
      </c>
      <c r="G21">
        <v>1904800</v>
      </c>
      <c r="H21" s="10">
        <f>IF(tbl_FDX[[#This Row],[Date]]=$A$5, $F21, EMA_Beta*$H20 + (1-EMA_Beta)*$F21)</f>
        <v>211.5793615014052</v>
      </c>
      <c r="I21" s="46">
        <f ca="1">IF(tbl_FDX[[#This Row],[RS]]= "", "", 100-(100/(1+tbl_FDX[[#This Row],[RS]])))</f>
        <v>81.150553851302746</v>
      </c>
      <c r="J21" s="10">
        <f ca="1">IF(ROW($N21)-4&lt;BB_Periods, "", AVERAGE(INDIRECT(ADDRESS(ROW($F21)-RSI_Periods +1, MATCH("Adj Close", Price_Header,0))): INDIRECT(ADDRESS(ROW($F21),MATCH("Adj Close", Price_Header,0)))))</f>
        <v>212.68810278571428</v>
      </c>
      <c r="K21" s="10">
        <f ca="1">IF(tbl_FDX[[#This Row],[BB_Mean]]="", "", tbl_FDX[[#This Row],[BB_Mean]]+(BB_Width*tbl_FDX[[#This Row],[BB_Stdev]]))</f>
        <v>225.8426340233184</v>
      </c>
      <c r="L21" s="10">
        <f ca="1">IF(tbl_FDX[[#This Row],[BB_Mean]]="", "", tbl_FDX[[#This Row],[BB_Mean]]-(BB_Width*tbl_FDX[[#This Row],[BB_Stdev]]))</f>
        <v>199.53357154811016</v>
      </c>
      <c r="M21" s="46">
        <f>IF(ROW(tbl_FDX[[#This Row],[Adj Close]])=5, 0, $F21-$F20)</f>
        <v>5.6039730000000247</v>
      </c>
      <c r="N21" s="46">
        <f>MAX(tbl_FDX[[#This Row],[Move]],0)</f>
        <v>5.6039730000000247</v>
      </c>
      <c r="O21" s="46">
        <f>MAX(-tbl_FDX[[#This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2.1801932142857146</v>
      </c>
      <c r="Q21" s="46">
        <f ca="1">IF(ROW($O21)-5&lt;RSI_Periods, "", AVERAGE(INDIRECT(ADDRESS(ROW($O21)-RSI_Periods +1, MATCH("Downmove", Price_Header,0))): INDIRECT(ADDRESS(ROW($O21),MATCH("Downmove", Price_Header,0)))))</f>
        <v>0.50640978571428463</v>
      </c>
      <c r="R21" s="46">
        <f ca="1">IF(tbl_FDX[[#This Row],[Avg_Upmove]]="", "", tbl_FDX[[#This Row],[Avg_Upmove]]/tbl_FDX[[#This Row],[Avg_Downmove]])</f>
        <v>4.3051956652270835</v>
      </c>
      <c r="S21" s="10">
        <f ca="1">IF(ROW($N21)-4&lt;BB_Periods, "", _xlfn.STDEV.S(INDIRECT(ADDRESS(ROW($F21)-RSI_Periods +1, MATCH("Adj Close", Price_Header,0))): INDIRECT(ADDRESS(ROW($F21),MATCH("Adj Close", Price_Header,0)))))</f>
        <v>6.5772656188020537</v>
      </c>
    </row>
    <row r="22" spans="1:19" x14ac:dyDescent="0.25">
      <c r="A22" s="8">
        <v>44076</v>
      </c>
      <c r="B22" s="10">
        <v>227.11999499999999</v>
      </c>
      <c r="C22" s="10">
        <v>229</v>
      </c>
      <c r="D22" s="10">
        <v>223.070007</v>
      </c>
      <c r="E22" s="10">
        <v>227.91000399999999</v>
      </c>
      <c r="F22" s="10">
        <v>227.259995</v>
      </c>
      <c r="G22">
        <v>1680700</v>
      </c>
      <c r="H22" s="10">
        <f>IF(tbl_FDX[[#This Row],[Date]]=$A$5, $F22, EMA_Beta*$H21 + (1-EMA_Beta)*$F22)</f>
        <v>213.14742485126467</v>
      </c>
      <c r="I22" s="46">
        <f ca="1">IF(tbl_FDX[[#This Row],[RS]]= "", "", 100-(100/(1+tbl_FDX[[#This Row],[RS]])))</f>
        <v>81.421457450847143</v>
      </c>
      <c r="J22" s="10">
        <f ca="1">IF(ROW($N22)-4&lt;BB_Periods, "", AVERAGE(INDIRECT(ADDRESS(ROW($F22)-RSI_Periods +1, MATCH("Adj Close", Price_Header,0))): INDIRECT(ADDRESS(ROW($F22),MATCH("Adj Close", Price_Header,0)))))</f>
        <v>214.401061</v>
      </c>
      <c r="K22" s="10">
        <f ca="1">IF(tbl_FDX[[#This Row],[BB_Mean]]="", "", tbl_FDX[[#This Row],[BB_Mean]]+(BB_Width*tbl_FDX[[#This Row],[BB_Stdev]]))</f>
        <v>228.48987010072324</v>
      </c>
      <c r="L22" s="10">
        <f ca="1">IF(tbl_FDX[[#This Row],[BB_Mean]]="", "", tbl_FDX[[#This Row],[BB_Mean]]-(BB_Width*tbl_FDX[[#This Row],[BB_Stdev]]))</f>
        <v>200.31225189927676</v>
      </c>
      <c r="M22" s="46">
        <f>IF(ROW(tbl_FDX[[#This Row],[Adj Close]])=5, 0, $F22-$F21)</f>
        <v>2.4430089999999893</v>
      </c>
      <c r="N22" s="46">
        <f>MAX(tbl_FDX[[#This Row],[Move]],0)</f>
        <v>2.4430089999999893</v>
      </c>
      <c r="O22" s="46">
        <f>MAX(-tbl_FDX[[#This Row],[Move]],0)</f>
        <v>0</v>
      </c>
      <c r="P22" s="46">
        <f ca="1">IF(ROW($N22)-5&lt;RSI_Periods, "", AVERAGE(INDIRECT(ADDRESS(ROW($N22)-RSI_Periods +1, MATCH("Upmove", Price_Header,0))): INDIRECT(ADDRESS(ROW($N22),MATCH("Upmove", Price_Header,0)))))</f>
        <v>2.2193679999999989</v>
      </c>
      <c r="Q22" s="46">
        <f ca="1">IF(ROW($O22)-5&lt;RSI_Periods, "", AVERAGE(INDIRECT(ADDRESS(ROW($O22)-RSI_Periods +1, MATCH("Downmove", Price_Header,0))): INDIRECT(ADDRESS(ROW($O22),MATCH("Downmove", Price_Header,0)))))</f>
        <v>0.50640978571428463</v>
      </c>
      <c r="R22" s="46">
        <f ca="1">IF(tbl_FDX[[#This Row],[Avg_Upmove]]="", "", tbl_FDX[[#This Row],[Avg_Upmove]]/tbl_FDX[[#This Row],[Avg_Downmove]])</f>
        <v>4.3825535418309665</v>
      </c>
      <c r="S22" s="10">
        <f ca="1">IF(ROW($N22)-4&lt;BB_Periods, "", _xlfn.STDEV.S(INDIRECT(ADDRESS(ROW($F22)-RSI_Periods +1, MATCH("Adj Close", Price_Header,0))): INDIRECT(ADDRESS(ROW($F22),MATCH("Adj Close", Price_Header,0)))))</f>
        <v>7.0444045503616231</v>
      </c>
    </row>
    <row r="23" spans="1:19" x14ac:dyDescent="0.25">
      <c r="A23" s="8">
        <v>44077</v>
      </c>
      <c r="B23" s="10">
        <v>228.13000500000001</v>
      </c>
      <c r="C23" s="10">
        <v>231.58000200000001</v>
      </c>
      <c r="D23" s="10">
        <v>218.58999600000001</v>
      </c>
      <c r="E23" s="10">
        <v>220.970001</v>
      </c>
      <c r="F23" s="10">
        <v>220.970001</v>
      </c>
      <c r="G23">
        <v>4003800</v>
      </c>
      <c r="H23" s="10">
        <f>IF(tbl_FDX[[#This Row],[Date]]=$A$5, $F23, EMA_Beta*$H22 + (1-EMA_Beta)*$F23)</f>
        <v>213.92968246613822</v>
      </c>
      <c r="I23" s="46">
        <f ca="1">IF(tbl_FDX[[#This Row],[RS]]= "", "", 100-(100/(1+tbl_FDX[[#This Row],[RS]])))</f>
        <v>66.318592445314835</v>
      </c>
      <c r="J23" s="10">
        <f ca="1">IF(ROW($N23)-4&lt;BB_Periods, "", AVERAGE(INDIRECT(ADDRESS(ROW($F23)-RSI_Periods +1, MATCH("Adj Close", Price_Header,0))): INDIRECT(ADDRESS(ROW($F23),MATCH("Adj Close", Price_Header,0)))))</f>
        <v>215.3271267142857</v>
      </c>
      <c r="K23" s="10">
        <f ca="1">IF(tbl_FDX[[#This Row],[BB_Mean]]="", "", tbl_FDX[[#This Row],[BB_Mean]]+(BB_Width*tbl_FDX[[#This Row],[BB_Stdev]]))</f>
        <v>229.30890943061686</v>
      </c>
      <c r="L23" s="10">
        <f ca="1">IF(tbl_FDX[[#This Row],[BB_Mean]]="", "", tbl_FDX[[#This Row],[BB_Mean]]-(BB_Width*tbl_FDX[[#This Row],[BB_Stdev]]))</f>
        <v>201.34534399795453</v>
      </c>
      <c r="M23" s="46">
        <f>IF(ROW(tbl_FDX[[#This Row],[Adj Close]])=5, 0, $F23-$F22)</f>
        <v>-6.2899940000000072</v>
      </c>
      <c r="N23" s="46">
        <f>MAX(tbl_FDX[[#This Row],[Move]],0)</f>
        <v>0</v>
      </c>
      <c r="O23" s="46">
        <f>MAX(-tbl_FDX[[#This Row],[Move]],0)</f>
        <v>6.2899940000000072</v>
      </c>
      <c r="P23" s="46">
        <f ca="1">IF(ROW($N23)-5&lt;RSI_Periods, "", AVERAGE(INDIRECT(ADDRESS(ROW($N23)-RSI_Periods +1, MATCH("Upmove", Price_Header,0))): INDIRECT(ADDRESS(ROW($N23),MATCH("Upmove", Price_Header,0)))))</f>
        <v>1.8817607857142857</v>
      </c>
      <c r="Q23" s="46">
        <f ca="1">IF(ROW($O23)-5&lt;RSI_Periods, "", AVERAGE(INDIRECT(ADDRESS(ROW($O23)-RSI_Periods +1, MATCH("Downmove", Price_Header,0))): INDIRECT(ADDRESS(ROW($O23),MATCH("Downmove", Price_Header,0)))))</f>
        <v>0.95569507142857091</v>
      </c>
      <c r="R23" s="46">
        <f ca="1">IF(tbl_FDX[[#This Row],[Avg_Upmove]]="", "", tbl_FDX[[#This Row],[Avg_Upmove]]/tbl_FDX[[#This Row],[Avg_Downmove]])</f>
        <v>1.9689970598063604</v>
      </c>
      <c r="S23" s="10">
        <f ca="1">IF(ROW($N23)-4&lt;BB_Periods, "", _xlfn.STDEV.S(INDIRECT(ADDRESS(ROW($F23)-RSI_Periods +1, MATCH("Adj Close", Price_Header,0))): INDIRECT(ADDRESS(ROW($F23),MATCH("Adj Close", Price_Header,0)))))</f>
        <v>6.9908913581655812</v>
      </c>
    </row>
    <row r="24" spans="1:19" x14ac:dyDescent="0.25">
      <c r="A24" s="8">
        <v>44078</v>
      </c>
      <c r="B24" s="10">
        <v>222.46000699999999</v>
      </c>
      <c r="C24" s="10">
        <v>228.240005</v>
      </c>
      <c r="D24" s="10">
        <v>217.39999399999999</v>
      </c>
      <c r="E24" s="10">
        <v>226.11999499999999</v>
      </c>
      <c r="F24" s="10">
        <v>226.11999499999999</v>
      </c>
      <c r="G24">
        <v>2879800</v>
      </c>
      <c r="H24" s="10">
        <f>IF(tbl_FDX[[#This Row],[Date]]=$A$5, $F24, EMA_Beta*$H23 + (1-EMA_Beta)*$F24)</f>
        <v>215.14871371952441</v>
      </c>
      <c r="I24" s="46">
        <f ca="1">IF(tbl_FDX[[#This Row],[RS]]= "", "", 100-(100/(1+tbl_FDX[[#This Row],[RS]])))</f>
        <v>73.379959820087407</v>
      </c>
      <c r="J24" s="10">
        <f ca="1">IF(ROW($N24)-4&lt;BB_Periods, "", AVERAGE(INDIRECT(ADDRESS(ROW($F24)-RSI_Periods +1, MATCH("Adj Close", Price_Header,0))): INDIRECT(ADDRESS(ROW($F24),MATCH("Adj Close", Price_Header,0)))))</f>
        <v>216.76065071428567</v>
      </c>
      <c r="K24" s="10">
        <f ca="1">IF(tbl_FDX[[#This Row],[BB_Mean]]="", "", tbl_FDX[[#This Row],[BB_Mean]]+(BB_Width*tbl_FDX[[#This Row],[BB_Stdev]]))</f>
        <v>230.76072306047558</v>
      </c>
      <c r="L24" s="10">
        <f ca="1">IF(tbl_FDX[[#This Row],[BB_Mean]]="", "", tbl_FDX[[#This Row],[BB_Mean]]-(BB_Width*tbl_FDX[[#This Row],[BB_Stdev]]))</f>
        <v>202.76057836809576</v>
      </c>
      <c r="M24" s="46">
        <f>IF(ROW(tbl_FDX[[#This Row],[Adj Close]])=5, 0, $F24-$F23)</f>
        <v>5.1499939999999924</v>
      </c>
      <c r="N24" s="46">
        <f>MAX(tbl_FDX[[#This Row],[Move]],0)</f>
        <v>5.1499939999999924</v>
      </c>
      <c r="O24" s="46">
        <f>MAX(-tbl_FDX[[#This Row],[Move]],0)</f>
        <v>0</v>
      </c>
      <c r="P24" s="46">
        <f ca="1">IF(ROW($N24)-5&lt;RSI_Periods, "", AVERAGE(INDIRECT(ADDRESS(ROW($N24)-RSI_Periods +1, MATCH("Upmove", Price_Header,0))): INDIRECT(ADDRESS(ROW($N24),MATCH("Upmove", Price_Header,0)))))</f>
        <v>2.2496174999999994</v>
      </c>
      <c r="Q24" s="46">
        <f ca="1">IF(ROW($O24)-5&lt;RSI_Periods, "", AVERAGE(INDIRECT(ADDRESS(ROW($O24)-RSI_Periods +1, MATCH("Downmove", Price_Header,0))): INDIRECT(ADDRESS(ROW($O24),MATCH("Downmove", Price_Header,0)))))</f>
        <v>0.81609349999999992</v>
      </c>
      <c r="R24" s="46">
        <f ca="1">IF(tbl_FDX[[#This Row],[Avg_Upmove]]="", "", tbl_FDX[[#This Row],[Avg_Upmove]]/tbl_FDX[[#This Row],[Avg_Downmove]])</f>
        <v>2.7565683343881546</v>
      </c>
      <c r="S24" s="10">
        <f ca="1">IF(ROW($N24)-4&lt;BB_Periods, "", _xlfn.STDEV.S(INDIRECT(ADDRESS(ROW($F24)-RSI_Periods +1, MATCH("Adj Close", Price_Header,0))): INDIRECT(ADDRESS(ROW($F24),MATCH("Adj Close", Price_Header,0)))))</f>
        <v>7.0000361730949558</v>
      </c>
    </row>
    <row r="25" spans="1:19" x14ac:dyDescent="0.25">
      <c r="A25" s="8">
        <v>44082</v>
      </c>
      <c r="B25" s="10">
        <v>223.78999300000001</v>
      </c>
      <c r="C25" s="10">
        <v>225.75</v>
      </c>
      <c r="D25" s="10">
        <v>219.720001</v>
      </c>
      <c r="E25" s="10">
        <v>221.050003</v>
      </c>
      <c r="F25" s="10">
        <v>221.050003</v>
      </c>
      <c r="G25">
        <v>2121100</v>
      </c>
      <c r="H25" s="10">
        <f>IF(tbl_FDX[[#This Row],[Date]]=$A$5, $F25, EMA_Beta*$H24 + (1-EMA_Beta)*$F25)</f>
        <v>215.73884264757197</v>
      </c>
      <c r="I25" s="46">
        <f ca="1">IF(tbl_FDX[[#This Row],[RS]]= "", "", 100-(100/(1+tbl_FDX[[#This Row],[RS]])))</f>
        <v>65.390279115643892</v>
      </c>
      <c r="J25" s="10">
        <f ca="1">IF(ROW($N25)-4&lt;BB_Periods, "", AVERAGE(INDIRECT(ADDRESS(ROW($F25)-RSI_Periods +1, MATCH("Adj Close", Price_Header,0))): INDIRECT(ADDRESS(ROW($F25),MATCH("Adj Close", Price_Header,0)))))</f>
        <v>217.80852842857141</v>
      </c>
      <c r="K25" s="10">
        <f ca="1">IF(tbl_FDX[[#This Row],[BB_Mean]]="", "", tbl_FDX[[#This Row],[BB_Mean]]+(BB_Width*tbl_FDX[[#This Row],[BB_Stdev]]))</f>
        <v>230.60598770032675</v>
      </c>
      <c r="L25" s="10">
        <f ca="1">IF(tbl_FDX[[#This Row],[BB_Mean]]="", "", tbl_FDX[[#This Row],[BB_Mean]]-(BB_Width*tbl_FDX[[#This Row],[BB_Stdev]]))</f>
        <v>205.01106915681606</v>
      </c>
      <c r="M25" s="46">
        <f>IF(ROW(tbl_FDX[[#This Row],[Adj Close]])=5, 0, $F25-$F24)</f>
        <v>-5.069991999999985</v>
      </c>
      <c r="N25" s="46">
        <f>MAX(tbl_FDX[[#This Row],[Move]],0)</f>
        <v>0</v>
      </c>
      <c r="O25" s="46">
        <f>MAX(-tbl_FDX[[#This Row],[Move]],0)</f>
        <v>5.069991999999985</v>
      </c>
      <c r="P25" s="46">
        <f ca="1">IF(ROW($N25)-5&lt;RSI_Periods, "", AVERAGE(INDIRECT(ADDRESS(ROW($N25)-RSI_Periods +1, MATCH("Upmove", Price_Header,0))): INDIRECT(ADDRESS(ROW($N25),MATCH("Upmove", Price_Header,0)))))</f>
        <v>2.226113499999999</v>
      </c>
      <c r="Q25" s="46">
        <f ca="1">IF(ROW($O25)-5&lt;RSI_Periods, "", AVERAGE(INDIRECT(ADDRESS(ROW($O25)-RSI_Periods +1, MATCH("Downmove", Price_Header,0))): INDIRECT(ADDRESS(ROW($O25),MATCH("Downmove", Price_Header,0)))))</f>
        <v>1.1782357857142844</v>
      </c>
      <c r="R25" s="46">
        <f ca="1">IF(tbl_FDX[[#This Row],[Avg_Upmove]]="", "", tbl_FDX[[#This Row],[Avg_Upmove]]/tbl_FDX[[#This Row],[Avg_Downmove]])</f>
        <v>1.8893616430521649</v>
      </c>
      <c r="S25" s="10">
        <f ca="1">IF(ROW($N25)-4&lt;BB_Periods, "", _xlfn.STDEV.S(INDIRECT(ADDRESS(ROW($F25)-RSI_Periods +1, MATCH("Adj Close", Price_Header,0))): INDIRECT(ADDRESS(ROW($F25),MATCH("Adj Close", Price_Header,0)))))</f>
        <v>6.3987296358776691</v>
      </c>
    </row>
    <row r="26" spans="1:19" x14ac:dyDescent="0.25">
      <c r="A26" s="8">
        <v>44083</v>
      </c>
      <c r="B26" s="10">
        <v>226</v>
      </c>
      <c r="C26" s="10">
        <v>228.85000600000001</v>
      </c>
      <c r="D26" s="10">
        <v>224.11999499999999</v>
      </c>
      <c r="E26" s="10">
        <v>225.75</v>
      </c>
      <c r="F26" s="10">
        <v>225.75</v>
      </c>
      <c r="G26">
        <v>3222700</v>
      </c>
      <c r="H26" s="10">
        <f>IF(tbl_FDX[[#This Row],[Date]]=$A$5, $F26, EMA_Beta*$H25 + (1-EMA_Beta)*$F26)</f>
        <v>216.73995838281476</v>
      </c>
      <c r="I26" s="46">
        <f ca="1">IF(tbl_FDX[[#This Row],[RS]]= "", "", 100-(100/(1+tbl_FDX[[#This Row],[RS]])))</f>
        <v>67.941328824094825</v>
      </c>
      <c r="J26" s="10">
        <f ca="1">IF(ROW($N26)-4&lt;BB_Periods, "", AVERAGE(INDIRECT(ADDRESS(ROW($F26)-RSI_Periods +1, MATCH("Adj Close", Price_Header,0))): INDIRECT(ADDRESS(ROW($F26),MATCH("Adj Close", Price_Header,0)))))</f>
        <v>219.12730521428571</v>
      </c>
      <c r="K26" s="10">
        <f ca="1">IF(tbl_FDX[[#This Row],[BB_Mean]]="", "", tbl_FDX[[#This Row],[BB_Mean]]+(BB_Width*tbl_FDX[[#This Row],[BB_Stdev]]))</f>
        <v>231.02801317067059</v>
      </c>
      <c r="L26" s="10">
        <f ca="1">IF(tbl_FDX[[#This Row],[BB_Mean]]="", "", tbl_FDX[[#This Row],[BB_Mean]]-(BB_Width*tbl_FDX[[#This Row],[BB_Stdev]]))</f>
        <v>207.22659725790083</v>
      </c>
      <c r="M26" s="46">
        <f>IF(ROW(tbl_FDX[[#This Row],[Adj Close]])=5, 0, $F26-$F25)</f>
        <v>4.6999969999999962</v>
      </c>
      <c r="N26" s="46">
        <f>MAX(tbl_FDX[[#This Row],[Move]],0)</f>
        <v>4.6999969999999962</v>
      </c>
      <c r="O26" s="46">
        <f>MAX(-tbl_FDX[[#This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2.49701257142857</v>
      </c>
      <c r="Q26" s="46">
        <f ca="1">IF(ROW($O26)-5&lt;RSI_Periods, "", AVERAGE(INDIRECT(ADDRESS(ROW($O26)-RSI_Periods +1, MATCH("Downmove", Price_Header,0))): INDIRECT(ADDRESS(ROW($O26),MATCH("Downmove", Price_Header,0)))))</f>
        <v>1.1782357857142844</v>
      </c>
      <c r="R26" s="46">
        <f ca="1">IF(tbl_FDX[[#This Row],[Avg_Upmove]]="", "", tbl_FDX[[#This Row],[Avg_Upmove]]/tbl_FDX[[#This Row],[Avg_Downmove]])</f>
        <v>2.1192808788393749</v>
      </c>
      <c r="S26" s="10">
        <f ca="1">IF(ROW($N26)-4&lt;BB_Periods, "", _xlfn.STDEV.S(INDIRECT(ADDRESS(ROW($F26)-RSI_Periods +1, MATCH("Adj Close", Price_Header,0))): INDIRECT(ADDRESS(ROW($F26),MATCH("Adj Close", Price_Header,0)))))</f>
        <v>5.9503539781924415</v>
      </c>
    </row>
    <row r="27" spans="1:19" x14ac:dyDescent="0.25">
      <c r="A27" s="8">
        <v>44084</v>
      </c>
      <c r="B27" s="10">
        <v>229.490005</v>
      </c>
      <c r="C27" s="10">
        <v>229.490005</v>
      </c>
      <c r="D27" s="10">
        <v>222.88999899999999</v>
      </c>
      <c r="E27" s="10">
        <v>224.44000199999999</v>
      </c>
      <c r="F27" s="10">
        <v>224.44000199999999</v>
      </c>
      <c r="G27">
        <v>2443300</v>
      </c>
      <c r="H27" s="10">
        <f>IF(tbl_FDX[[#This Row],[Date]]=$A$5, $F27, EMA_Beta*$H26 + (1-EMA_Beta)*$F27)</f>
        <v>217.50996274453328</v>
      </c>
      <c r="I27" s="46">
        <f ca="1">IF(tbl_FDX[[#This Row],[RS]]= "", "", 100-(100/(1+tbl_FDX[[#This Row],[RS]])))</f>
        <v>65.644184930706217</v>
      </c>
      <c r="J27" s="10">
        <f ca="1">IF(ROW($N27)-4&lt;BB_Periods, "", AVERAGE(INDIRECT(ADDRESS(ROW($F27)-RSI_Periods +1, MATCH("Adj Close", Price_Header,0))): INDIRECT(ADDRESS(ROW($F27),MATCH("Adj Close", Price_Header,0)))))</f>
        <v>220.28555950000001</v>
      </c>
      <c r="K27" s="10">
        <f ca="1">IF(tbl_FDX[[#This Row],[BB_Mean]]="", "", tbl_FDX[[#This Row],[BB_Mean]]+(BB_Width*tbl_FDX[[#This Row],[BB_Stdev]]))</f>
        <v>230.67575963218869</v>
      </c>
      <c r="L27" s="10">
        <f ca="1">IF(tbl_FDX[[#This Row],[BB_Mean]]="", "", tbl_FDX[[#This Row],[BB_Mean]]-(BB_Width*tbl_FDX[[#This Row],[BB_Stdev]]))</f>
        <v>209.89535936781132</v>
      </c>
      <c r="M27" s="46">
        <f>IF(ROW(tbl_FDX[[#This Row],[Adj Close]])=5, 0, $F27-$F26)</f>
        <v>-1.3099980000000073</v>
      </c>
      <c r="N27" s="46">
        <f>MAX(tbl_FDX[[#This Row],[Move]],0)</f>
        <v>0</v>
      </c>
      <c r="O27" s="46">
        <f>MAX(-tbl_FDX[[#This Row],[Move]],0)</f>
        <v>1.3099980000000073</v>
      </c>
      <c r="P27" s="46">
        <f ca="1">IF(ROW($N27)-5&lt;RSI_Periods, "", AVERAGE(INDIRECT(ADDRESS(ROW($N27)-RSI_Periods +1, MATCH("Upmove", Price_Header,0))): INDIRECT(ADDRESS(ROW($N27),MATCH("Upmove", Price_Header,0)))))</f>
        <v>2.4300613571428551</v>
      </c>
      <c r="Q27" s="46">
        <f ca="1">IF(ROW($O27)-5&lt;RSI_Periods, "", AVERAGE(INDIRECT(ADDRESS(ROW($O27)-RSI_Periods +1, MATCH("Downmove", Price_Header,0))): INDIRECT(ADDRESS(ROW($O27),MATCH("Downmove", Price_Header,0)))))</f>
        <v>1.2718070714285707</v>
      </c>
      <c r="R27" s="46">
        <f ca="1">IF(tbl_FDX[[#This Row],[Avg_Upmove]]="", "", tbl_FDX[[#This Row],[Avg_Upmove]]/tbl_FDX[[#This Row],[Avg_Downmove]])</f>
        <v>1.9107153999491944</v>
      </c>
      <c r="S27" s="10">
        <f ca="1">IF(ROW($N27)-4&lt;BB_Periods, "", _xlfn.STDEV.S(INDIRECT(ADDRESS(ROW($F27)-RSI_Periods +1, MATCH("Adj Close", Price_Header,0))): INDIRECT(ADDRESS(ROW($F27),MATCH("Adj Close", Price_Header,0)))))</f>
        <v>5.1951000660943469</v>
      </c>
    </row>
    <row r="28" spans="1:19" x14ac:dyDescent="0.25">
      <c r="A28" s="8">
        <v>44085</v>
      </c>
      <c r="B28" s="10">
        <v>226.44000199999999</v>
      </c>
      <c r="C28" s="10">
        <v>233.66999799999999</v>
      </c>
      <c r="D28" s="10">
        <v>225.470001</v>
      </c>
      <c r="E28" s="10">
        <v>232.78999300000001</v>
      </c>
      <c r="F28" s="10">
        <v>232.78999300000001</v>
      </c>
      <c r="G28">
        <v>4865200</v>
      </c>
      <c r="H28" s="10">
        <f>IF(tbl_FDX[[#This Row],[Date]]=$A$5, $F28, EMA_Beta*$H27 + (1-EMA_Beta)*$F28)</f>
        <v>219.03796577007995</v>
      </c>
      <c r="I28" s="46">
        <f ca="1">IF(tbl_FDX[[#This Row],[RS]]= "", "", 100-(100/(1+tbl_FDX[[#This Row],[RS]])))</f>
        <v>69.569267694887415</v>
      </c>
      <c r="J28" s="10">
        <f ca="1">IF(ROW($N28)-4&lt;BB_Periods, "", AVERAGE(INDIRECT(ADDRESS(ROW($F28)-RSI_Periods +1, MATCH("Adj Close", Price_Header,0))): INDIRECT(ADDRESS(ROW($F28),MATCH("Adj Close", Price_Header,0)))))</f>
        <v>221.92129621428566</v>
      </c>
      <c r="K28" s="10">
        <f ca="1">IF(tbl_FDX[[#This Row],[BB_Mean]]="", "", tbl_FDX[[#This Row],[BB_Mean]]+(BB_Width*tbl_FDX[[#This Row],[BB_Stdev]]))</f>
        <v>232.4706014406203</v>
      </c>
      <c r="L28" s="10">
        <f ca="1">IF(tbl_FDX[[#This Row],[BB_Mean]]="", "", tbl_FDX[[#This Row],[BB_Mean]]-(BB_Width*tbl_FDX[[#This Row],[BB_Stdev]]))</f>
        <v>211.37199098795102</v>
      </c>
      <c r="M28" s="46">
        <f>IF(ROW(tbl_FDX[[#This Row],[Adj Close]])=5, 0, $F28-$F27)</f>
        <v>8.349991000000017</v>
      </c>
      <c r="N28" s="46">
        <f>MAX(tbl_FDX[[#This Row],[Move]],0)</f>
        <v>8.349991000000017</v>
      </c>
      <c r="O28" s="46">
        <f>MAX(-tbl_FDX[[#This Row],[Move]],0)</f>
        <v>0</v>
      </c>
      <c r="P28" s="46">
        <f ca="1">IF(ROW($N28)-5&lt;RSI_Periods, "", AVERAGE(INDIRECT(ADDRESS(ROW($N28)-RSI_Periods +1, MATCH("Upmove", Price_Header,0))): INDIRECT(ADDRESS(ROW($N28),MATCH("Upmove", Price_Header,0)))))</f>
        <v>2.9075437857142856</v>
      </c>
      <c r="Q28" s="46">
        <f ca="1">IF(ROW($O28)-5&lt;RSI_Periods, "", AVERAGE(INDIRECT(ADDRESS(ROW($O28)-RSI_Periods +1, MATCH("Downmove", Price_Header,0))): INDIRECT(ADDRESS(ROW($O28),MATCH("Downmove", Price_Header,0)))))</f>
        <v>1.2718070714285707</v>
      </c>
      <c r="R28" s="46">
        <f ca="1">IF(tbl_FDX[[#This Row],[Avg_Upmove]]="", "", tbl_FDX[[#This Row],[Avg_Upmove]]/tbl_FDX[[#This Row],[Avg_Downmove]])</f>
        <v>2.2861516113826577</v>
      </c>
      <c r="S28" s="10">
        <f ca="1">IF(ROW($N28)-4&lt;BB_Periods, "", _xlfn.STDEV.S(INDIRECT(ADDRESS(ROW($F28)-RSI_Periods +1, MATCH("Adj Close", Price_Header,0))): INDIRECT(ADDRESS(ROW($F28),MATCH("Adj Close", Price_Header,0)))))</f>
        <v>5.2746526131673175</v>
      </c>
    </row>
    <row r="29" spans="1:19" x14ac:dyDescent="0.25">
      <c r="A29" s="8">
        <v>44088</v>
      </c>
      <c r="B29" s="10">
        <v>240.990005</v>
      </c>
      <c r="C29" s="10">
        <v>241</v>
      </c>
      <c r="D29" s="10">
        <v>232.570007</v>
      </c>
      <c r="E29" s="10">
        <v>236.33999600000001</v>
      </c>
      <c r="F29" s="10">
        <v>236.33999600000001</v>
      </c>
      <c r="G29">
        <v>6583700</v>
      </c>
      <c r="H29" s="10">
        <f>IF(tbl_FDX[[#This Row],[Date]]=$A$5, $F29, EMA_Beta*$H28 + (1-EMA_Beta)*$F29)</f>
        <v>220.76816879307194</v>
      </c>
      <c r="I29" s="46">
        <f ca="1">IF(tbl_FDX[[#This Row],[RS]]= "", "", 100-(100/(1+tbl_FDX[[#This Row],[RS]])))</f>
        <v>67.726849791408938</v>
      </c>
      <c r="J29" s="10">
        <f ca="1">IF(ROW($N29)-4&lt;BB_Periods, "", AVERAGE(INDIRECT(ADDRESS(ROW($F29)-RSI_Periods +1, MATCH("Adj Close", Price_Header,0))): INDIRECT(ADDRESS(ROW($F29),MATCH("Adj Close", Price_Header,0)))))</f>
        <v>223.31844107142857</v>
      </c>
      <c r="K29" s="10">
        <f ca="1">IF(tbl_FDX[[#This Row],[BB_Mean]]="", "", tbl_FDX[[#This Row],[BB_Mean]]+(BB_Width*tbl_FDX[[#This Row],[BB_Stdev]]))</f>
        <v>235.91664531028107</v>
      </c>
      <c r="L29" s="10">
        <f ca="1">IF(tbl_FDX[[#This Row],[BB_Mean]]="", "", tbl_FDX[[#This Row],[BB_Mean]]-(BB_Width*tbl_FDX[[#This Row],[BB_Stdev]]))</f>
        <v>210.72023683257606</v>
      </c>
      <c r="M29" s="46">
        <f>IF(ROW(tbl_FDX[[#This Row],[Adj Close]])=5, 0, $F29-$F28)</f>
        <v>3.5500030000000038</v>
      </c>
      <c r="N29" s="46">
        <f>MAX(tbl_FDX[[#This Row],[Move]],0)</f>
        <v>3.5500030000000038</v>
      </c>
      <c r="O29" s="46">
        <f>MAX(-tbl_FDX[[#This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2.6689519285714289</v>
      </c>
      <c r="Q29" s="46">
        <f ca="1">IF(ROW($O29)-5&lt;RSI_Periods, "", AVERAGE(INDIRECT(ADDRESS(ROW($O29)-RSI_Periods +1, MATCH("Downmove", Price_Header,0))): INDIRECT(ADDRESS(ROW($O29),MATCH("Downmove", Price_Header,0)))))</f>
        <v>1.2718070714285707</v>
      </c>
      <c r="R29" s="46">
        <f ca="1">IF(tbl_FDX[[#This Row],[Avg_Upmove]]="", "", tbl_FDX[[#This Row],[Avg_Upmove]]/tbl_FDX[[#This Row],[Avg_Downmove]])</f>
        <v>2.0985509426154554</v>
      </c>
      <c r="S29" s="10">
        <f ca="1">IF(ROW($N29)-4&lt;BB_Periods, "", _xlfn.STDEV.S(INDIRECT(ADDRESS(ROW($F29)-RSI_Periods +1, MATCH("Adj Close", Price_Header,0))): INDIRECT(ADDRESS(ROW($F29),MATCH("Adj Close", Price_Header,0)))))</f>
        <v>6.2991021194262498</v>
      </c>
    </row>
    <row r="30" spans="1:19" x14ac:dyDescent="0.25">
      <c r="A30" s="8">
        <v>44089</v>
      </c>
      <c r="B30" s="10">
        <v>234.990005</v>
      </c>
      <c r="C30" s="10">
        <v>239.85000600000001</v>
      </c>
      <c r="D30" s="10">
        <v>230.509995</v>
      </c>
      <c r="E30" s="10">
        <v>236.66999799999999</v>
      </c>
      <c r="F30" s="10">
        <v>236.66999799999999</v>
      </c>
      <c r="G30">
        <v>9847300</v>
      </c>
      <c r="H30" s="10">
        <f>IF(tbl_FDX[[#This Row],[Date]]=$A$5, $F30, EMA_Beta*$H29 + (1-EMA_Beta)*$F30)</f>
        <v>222.35835171376473</v>
      </c>
      <c r="I30" s="46">
        <f ca="1">IF(tbl_FDX[[#This Row],[RS]]= "", "", 100-(100/(1+tbl_FDX[[#This Row],[RS]])))</f>
        <v>71.910977828910632</v>
      </c>
      <c r="J30" s="10">
        <f ca="1">IF(ROW($N30)-4&lt;BB_Periods, "", AVERAGE(INDIRECT(ADDRESS(ROW($F30)-RSI_Periods +1, MATCH("Adj Close", Price_Header,0))): INDIRECT(ADDRESS(ROW($F30),MATCH("Adj Close", Price_Header,0)))))</f>
        <v>224.95924264285713</v>
      </c>
      <c r="K30" s="10">
        <f ca="1">IF(tbl_FDX[[#This Row],[BB_Mean]]="", "", tbl_FDX[[#This Row],[BB_Mean]]+(BB_Width*tbl_FDX[[#This Row],[BB_Stdev]]))</f>
        <v>238.13098205042292</v>
      </c>
      <c r="L30" s="10">
        <f ca="1">IF(tbl_FDX[[#This Row],[BB_Mean]]="", "", tbl_FDX[[#This Row],[BB_Mean]]-(BB_Width*tbl_FDX[[#This Row],[BB_Stdev]]))</f>
        <v>211.78750323529135</v>
      </c>
      <c r="M30" s="46">
        <f>IF(ROW(tbl_FDX[[#This Row],[Adj Close]])=5, 0, $F30-$F29)</f>
        <v>0.33000199999997903</v>
      </c>
      <c r="N30" s="46">
        <f>MAX(tbl_FDX[[#This Row],[Move]],0)</f>
        <v>0.33000199999997903</v>
      </c>
      <c r="O30" s="46">
        <f>MAX(-tbl_FDX[[#This Row],[Move]],0)</f>
        <v>0</v>
      </c>
      <c r="P30" s="46">
        <f ca="1">IF(ROW($N30)-5&lt;RSI_Periods, "", AVERAGE(INDIRECT(ADDRESS(ROW($N30)-RSI_Periods +1, MATCH("Upmove", Price_Header,0))): INDIRECT(ADDRESS(ROW($N30),MATCH("Upmove", Price_Header,0)))))</f>
        <v>2.6925234999999992</v>
      </c>
      <c r="Q30" s="46">
        <f ca="1">IF(ROW($O30)-5&lt;RSI_Periods, "", AVERAGE(INDIRECT(ADDRESS(ROW($O30)-RSI_Periods +1, MATCH("Downmove", Price_Header,0))): INDIRECT(ADDRESS(ROW($O30),MATCH("Downmove", Price_Header,0)))))</f>
        <v>1.0517219285714288</v>
      </c>
      <c r="R30" s="46">
        <f ca="1">IF(tbl_FDX[[#This Row],[Avg_Upmove]]="", "", tbl_FDX[[#This Row],[Avg_Upmove]]/tbl_FDX[[#This Row],[Avg_Downmove]])</f>
        <v>2.5601096895044284</v>
      </c>
      <c r="S30" s="10">
        <f ca="1">IF(ROW($N30)-4&lt;BB_Periods, "", _xlfn.STDEV.S(INDIRECT(ADDRESS(ROW($F30)-RSI_Periods +1, MATCH("Adj Close", Price_Header,0))): INDIRECT(ADDRESS(ROW($F30),MATCH("Adj Close", Price_Header,0)))))</f>
        <v>6.585869703782893</v>
      </c>
    </row>
    <row r="31" spans="1:19" x14ac:dyDescent="0.25">
      <c r="A31" s="8">
        <v>44090</v>
      </c>
      <c r="B31" s="10">
        <v>253.029999</v>
      </c>
      <c r="C31" s="10">
        <v>256.17999300000002</v>
      </c>
      <c r="D31" s="10">
        <v>246.300003</v>
      </c>
      <c r="E31" s="10">
        <v>250.300003</v>
      </c>
      <c r="F31" s="10">
        <v>250.300003</v>
      </c>
      <c r="G31">
        <v>17073300</v>
      </c>
      <c r="H31" s="10">
        <f>IF(tbl_FDX[[#This Row],[Date]]=$A$5, $F31, EMA_Beta*$H30 + (1-EMA_Beta)*$F31)</f>
        <v>225.15251684238825</v>
      </c>
      <c r="I31" s="46">
        <f ca="1">IF(tbl_FDX[[#This Row],[RS]]= "", "", 100-(100/(1+tbl_FDX[[#This Row],[RS]])))</f>
        <v>77.205006378340883</v>
      </c>
      <c r="J31" s="10">
        <f ca="1">IF(ROW($N31)-4&lt;BB_Periods, "", AVERAGE(INDIRECT(ADDRESS(ROW($F31)-RSI_Periods +1, MATCH("Adj Close", Price_Header,0))): INDIRECT(ADDRESS(ROW($F31),MATCH("Adj Close", Price_Header,0)))))</f>
        <v>227.46962735714283</v>
      </c>
      <c r="K31" s="10">
        <f ca="1">IF(tbl_FDX[[#This Row],[BB_Mean]]="", "", tbl_FDX[[#This Row],[BB_Mean]]+(BB_Width*tbl_FDX[[#This Row],[BB_Stdev]]))</f>
        <v>245.19967875632355</v>
      </c>
      <c r="L31" s="10">
        <f ca="1">IF(tbl_FDX[[#This Row],[BB_Mean]]="", "", tbl_FDX[[#This Row],[BB_Mean]]-(BB_Width*tbl_FDX[[#This Row],[BB_Stdev]]))</f>
        <v>209.7395759579621</v>
      </c>
      <c r="M31" s="46">
        <f>IF(ROW(tbl_FDX[[#This Row],[Adj Close]])=5, 0, $F31-$F30)</f>
        <v>13.630005000000011</v>
      </c>
      <c r="N31" s="46">
        <f>MAX(tbl_FDX[[#This Row],[Move]],0)</f>
        <v>13.630005000000011</v>
      </c>
      <c r="O31" s="46">
        <f>MAX(-tbl_FDX[[#This Row],[Move]],0)</f>
        <v>0</v>
      </c>
      <c r="P31" s="46">
        <f ca="1">IF(ROW($N31)-5&lt;RSI_Periods, "", AVERAGE(INDIRECT(ADDRESS(ROW($N31)-RSI_Periods +1, MATCH("Upmove", Price_Header,0))): INDIRECT(ADDRESS(ROW($N31),MATCH("Upmove", Price_Header,0)))))</f>
        <v>3.5621066428571431</v>
      </c>
      <c r="Q31" s="46">
        <f ca="1">IF(ROW($O31)-5&lt;RSI_Periods, "", AVERAGE(INDIRECT(ADDRESS(ROW($O31)-RSI_Periods +1, MATCH("Downmove", Price_Header,0))): INDIRECT(ADDRESS(ROW($O31),MATCH("Downmove", Price_Header,0)))))</f>
        <v>1.0517219285714288</v>
      </c>
      <c r="R31" s="46">
        <f ca="1">IF(tbl_FDX[[#This Row],[Avg_Upmove]]="", "", tbl_FDX[[#This Row],[Avg_Upmove]]/tbl_FDX[[#This Row],[Avg_Downmove]])</f>
        <v>3.3869281851863744</v>
      </c>
      <c r="S31" s="10">
        <f ca="1">IF(ROW($N31)-4&lt;BB_Periods, "", _xlfn.STDEV.S(INDIRECT(ADDRESS(ROW($F31)-RSI_Periods +1, MATCH("Adj Close", Price_Header,0))): INDIRECT(ADDRESS(ROW($F31),MATCH("Adj Close", Price_Header,0)))))</f>
        <v>8.8650256995903671</v>
      </c>
    </row>
    <row r="32" spans="1:19" x14ac:dyDescent="0.25">
      <c r="A32" s="8">
        <v>44091</v>
      </c>
      <c r="B32" s="10">
        <v>242.63000500000001</v>
      </c>
      <c r="C32" s="10">
        <v>249.800003</v>
      </c>
      <c r="D32" s="10">
        <v>242.11000100000001</v>
      </c>
      <c r="E32" s="10">
        <v>244.08000200000001</v>
      </c>
      <c r="F32" s="10">
        <v>244.08000200000001</v>
      </c>
      <c r="G32">
        <v>4231853</v>
      </c>
      <c r="H32" s="10">
        <f>IF(tbl_FDX[[#This Row],[Date]]=$A$5, $F32, EMA_Beta*$H31 + (1-EMA_Beta)*$F32)</f>
        <v>227.04526535814944</v>
      </c>
      <c r="I32" s="46">
        <f ca="1">IF(tbl_FDX[[#This Row],[RS]]= "", "", 100-(100/(1+tbl_FDX[[#This Row],[RS]])))</f>
        <v>69.371252260657258</v>
      </c>
      <c r="J32" s="10">
        <f ca="1">IF(ROW($N32)-4&lt;BB_Periods, "", AVERAGE(INDIRECT(ADDRESS(ROW($F32)-RSI_Periods +1, MATCH("Adj Close", Price_Header,0))): INDIRECT(ADDRESS(ROW($F32),MATCH("Adj Close", Price_Header,0)))))</f>
        <v>229.36193735714286</v>
      </c>
      <c r="K32" s="10">
        <f ca="1">IF(tbl_FDX[[#This Row],[BB_Mean]]="", "", tbl_FDX[[#This Row],[BB_Mean]]+(BB_Width*tbl_FDX[[#This Row],[BB_Stdev]]))</f>
        <v>248.1708749630796</v>
      </c>
      <c r="L32" s="10">
        <f ca="1">IF(tbl_FDX[[#This Row],[BB_Mean]]="", "", tbl_FDX[[#This Row],[BB_Mean]]-(BB_Width*tbl_FDX[[#This Row],[BB_Stdev]]))</f>
        <v>210.55299975120613</v>
      </c>
      <c r="M32" s="46">
        <f>IF(ROW(tbl_FDX[[#This Row],[Adj Close]])=5, 0, $F32-$F31)</f>
        <v>-6.2200009999999963</v>
      </c>
      <c r="N32" s="46">
        <f>MAX(tbl_FDX[[#This Row],[Move]],0)</f>
        <v>0</v>
      </c>
      <c r="O32" s="46">
        <f>MAX(-tbl_FDX[[#This Row],[Move]],0)</f>
        <v>6.2200009999999963</v>
      </c>
      <c r="P32" s="46">
        <f ca="1">IF(ROW($N32)-5&lt;RSI_Periods, "", AVERAGE(INDIRECT(ADDRESS(ROW($N32)-RSI_Periods +1, MATCH("Upmove", Price_Header,0))): INDIRECT(ADDRESS(ROW($N32),MATCH("Upmove", Price_Header,0)))))</f>
        <v>3.3883177142857153</v>
      </c>
      <c r="Q32" s="46">
        <f ca="1">IF(ROW($O32)-5&lt;RSI_Periods, "", AVERAGE(INDIRECT(ADDRESS(ROW($O32)-RSI_Periods +1, MATCH("Downmove", Price_Header,0))): INDIRECT(ADDRESS(ROW($O32),MATCH("Downmove", Price_Header,0)))))</f>
        <v>1.4960077142857142</v>
      </c>
      <c r="R32" s="46">
        <f ca="1">IF(tbl_FDX[[#This Row],[Avg_Upmove]]="", "", tbl_FDX[[#This Row],[Avg_Upmove]]/tbl_FDX[[#This Row],[Avg_Downmove]])</f>
        <v>2.2649065789767708</v>
      </c>
      <c r="S32" s="10">
        <f ca="1">IF(ROW($N32)-4&lt;BB_Periods, "", _xlfn.STDEV.S(INDIRECT(ADDRESS(ROW($F32)-RSI_Periods +1, MATCH("Adj Close", Price_Header,0))): INDIRECT(ADDRESS(ROW($F32),MATCH("Adj Close", Price_Header,0)))))</f>
        <v>9.4044688029683723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opLeftCell="A7" workbookViewId="0">
      <selection activeCell="F26" sqref="F26"/>
    </sheetView>
  </sheetViews>
  <sheetFormatPr defaultRowHeight="15" x14ac:dyDescent="0.25"/>
  <cols>
    <col min="6" max="6" width="11.42578125" customWidth="1"/>
    <col min="7" max="7" width="10.140625" customWidth="1"/>
    <col min="10" max="10" width="11.5703125" customWidth="1"/>
    <col min="11" max="11" width="12" customWidth="1"/>
    <col min="12" max="12" width="11.85546875" customWidth="1"/>
    <col min="14" max="14" width="10.7109375" customWidth="1"/>
    <col min="15" max="15" width="13.28515625" customWidth="1"/>
    <col min="16" max="16" width="15" customWidth="1"/>
    <col min="17" max="17" width="17.5703125" customWidth="1"/>
    <col min="19" max="19" width="11.42578125" customWidth="1"/>
  </cols>
  <sheetData>
    <row r="1" spans="1:19" ht="21" x14ac:dyDescent="0.35">
      <c r="A1" s="41" t="s">
        <v>253</v>
      </c>
      <c r="B1" s="13"/>
      <c r="C1" s="13"/>
      <c r="D1" s="13"/>
      <c r="E1" s="13"/>
      <c r="F1" s="13"/>
    </row>
    <row r="2" spans="1:19" x14ac:dyDescent="0.25">
      <c r="A2" t="s">
        <v>251</v>
      </c>
    </row>
    <row r="4" spans="1:19" x14ac:dyDescent="0.2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25">
      <c r="A5">
        <v>44053</v>
      </c>
      <c r="B5">
        <v>41.599997999999999</v>
      </c>
      <c r="C5">
        <v>45.720001000000003</v>
      </c>
      <c r="D5">
        <v>40.25</v>
      </c>
      <c r="E5">
        <v>44.810001</v>
      </c>
      <c r="F5">
        <v>44.810001</v>
      </c>
      <c r="G5">
        <v>59030200</v>
      </c>
      <c r="H5" s="10">
        <f>IF(tbl_NKLA[[#This Row],[Date]]=$A$5, $F5, EMA_Beta*$H4 + (1-EMA_Beta)*$F5)</f>
        <v>44.810001</v>
      </c>
      <c r="I5" s="46" t="str">
        <f ca="1">IF(tbl_NKLA[[#This Row],[RS]]= "", "", 100-(100/(1+tbl_NKLA[[#This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IF(tbl_NKLA[[#This Row],[BB_Mean]]="", "", tbl_NKLA[[#This Row],[BB_Mean]]+(BB_Width*tbl_NKLA[[#This Row],[BB_Stdev]]))</f>
        <v/>
      </c>
      <c r="L5" s="10" t="str">
        <f ca="1">IF(tbl_NKLA[[#This Row],[BB_Mean]]="", "", tbl_NKLA[[#This Row],[BB_Mean]]-(BB_Width*tbl_NKLA[[#This Row],[BB_Stdev]]))</f>
        <v/>
      </c>
      <c r="M5" s="46">
        <f>IF(ROW(tbl_NKLA[[#This Row],[Adj Close]])=5, 0, $F5-$F4)</f>
        <v>0</v>
      </c>
      <c r="N5" s="46">
        <f>MAX(tbl_NKLA[[#This Row],[Move]],0)</f>
        <v>0</v>
      </c>
      <c r="O5" s="46">
        <f>MAX(-tbl_NKLA[[#This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IF(tbl_NKLA[[#This Row],[Avg_Upmove]]="", "", tbl_NKLA[[#This Row],[Avg_Upmove]]/tbl_NKLA[[#This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25">
      <c r="A6">
        <v>44054</v>
      </c>
      <c r="B6">
        <v>43.5</v>
      </c>
      <c r="C6">
        <v>44.25</v>
      </c>
      <c r="D6">
        <v>40.599997999999999</v>
      </c>
      <c r="E6">
        <v>41.099997999999999</v>
      </c>
      <c r="F6">
        <v>41.099997999999999</v>
      </c>
      <c r="G6">
        <v>21432800</v>
      </c>
      <c r="H6" s="10">
        <f>IF(tbl_NKLA[[#This Row],[Date]]=$A$5, $F6, EMA_Beta*$H5 + (1-EMA_Beta)*$F6)</f>
        <v>44.439000700000001</v>
      </c>
      <c r="I6" s="46" t="str">
        <f ca="1">IF(tbl_NKLA[[#This Row],[RS]]= "", "", 100-(100/(1+tbl_NKLA[[#This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IF(tbl_NKLA[[#This Row],[BB_Mean]]="", "", tbl_NKLA[[#This Row],[BB_Mean]]+(BB_Width*tbl_NKLA[[#This Row],[BB_Stdev]]))</f>
        <v/>
      </c>
      <c r="L6" s="10" t="str">
        <f ca="1">IF(tbl_NKLA[[#This Row],[BB_Mean]]="", "", tbl_NKLA[[#This Row],[BB_Mean]]-(BB_Width*tbl_NKLA[[#This Row],[BB_Stdev]]))</f>
        <v/>
      </c>
      <c r="M6" s="46">
        <f>IF(ROW(tbl_NKLA[[#This Row],[Adj Close]])=5, 0, $F6-$F5)</f>
        <v>-3.7100030000000004</v>
      </c>
      <c r="N6" s="46">
        <f>MAX(tbl_NKLA[[#This Row],[Move]],0)</f>
        <v>0</v>
      </c>
      <c r="O6" s="46">
        <f>MAX(-tbl_NKLA[[#This Row],[Move]],0)</f>
        <v>3.7100030000000004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IF(tbl_NKLA[[#This Row],[Avg_Upmove]]="", "", tbl_NKLA[[#This Row],[Avg_Upmove]]/tbl_NKLA[[#This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25">
      <c r="A7">
        <v>44055</v>
      </c>
      <c r="B7">
        <v>42</v>
      </c>
      <c r="C7">
        <v>43.639999000000003</v>
      </c>
      <c r="D7">
        <v>41.410998999999997</v>
      </c>
      <c r="E7">
        <v>42.810001</v>
      </c>
      <c r="F7">
        <v>42.810001</v>
      </c>
      <c r="G7">
        <v>10806700</v>
      </c>
      <c r="H7" s="10">
        <f>IF(tbl_NKLA[[#This Row],[Date]]=$A$5, $F7, EMA_Beta*$H6 + (1-EMA_Beta)*$F7)</f>
        <v>44.276100730000003</v>
      </c>
      <c r="I7" s="46" t="str">
        <f ca="1">IF(tbl_NKLA[[#This Row],[RS]]= "", "", 100-(100/(1+tbl_NKLA[[#This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IF(tbl_NKLA[[#This Row],[BB_Mean]]="", "", tbl_NKLA[[#This Row],[BB_Mean]]+(BB_Width*tbl_NKLA[[#This Row],[BB_Stdev]]))</f>
        <v/>
      </c>
      <c r="L7" s="10" t="str">
        <f ca="1">IF(tbl_NKLA[[#This Row],[BB_Mean]]="", "", tbl_NKLA[[#This Row],[BB_Mean]]-(BB_Width*tbl_NKLA[[#This Row],[BB_Stdev]]))</f>
        <v/>
      </c>
      <c r="M7" s="46">
        <f>IF(ROW(tbl_NKLA[[#This Row],[Adj Close]])=5, 0, $F7-$F6)</f>
        <v>1.7100030000000004</v>
      </c>
      <c r="N7" s="46">
        <f>MAX(tbl_NKLA[[#This Row],[Move]],0)</f>
        <v>1.7100030000000004</v>
      </c>
      <c r="O7" s="46">
        <f>MAX(-tbl_NKLA[[#This Row],[Move]],0)</f>
        <v>0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IF(tbl_NKLA[[#This Row],[Avg_Upmove]]="", "", tbl_NKLA[[#This Row],[Avg_Upmove]]/tbl_NKLA[[#This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25">
      <c r="A8">
        <v>44056</v>
      </c>
      <c r="B8">
        <v>43.549999</v>
      </c>
      <c r="C8">
        <v>47.450001</v>
      </c>
      <c r="D8">
        <v>43.310001</v>
      </c>
      <c r="E8">
        <v>45.970001000000003</v>
      </c>
      <c r="F8">
        <v>45.970001000000003</v>
      </c>
      <c r="G8">
        <v>23804300</v>
      </c>
      <c r="H8" s="10">
        <f>IF(tbl_NKLA[[#This Row],[Date]]=$A$5, $F8, EMA_Beta*$H7 + (1-EMA_Beta)*$F8)</f>
        <v>44.445490757000002</v>
      </c>
      <c r="I8" s="46" t="str">
        <f ca="1">IF(tbl_NKLA[[#This Row],[RS]]= "", "", 100-(100/(1+tbl_NKLA[[#This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IF(tbl_NKLA[[#This Row],[BB_Mean]]="", "", tbl_NKLA[[#This Row],[BB_Mean]]+(BB_Width*tbl_NKLA[[#This Row],[BB_Stdev]]))</f>
        <v/>
      </c>
      <c r="L8" s="10" t="str">
        <f ca="1">IF(tbl_NKLA[[#This Row],[BB_Mean]]="", "", tbl_NKLA[[#This Row],[BB_Mean]]-(BB_Width*tbl_NKLA[[#This Row],[BB_Stdev]]))</f>
        <v/>
      </c>
      <c r="M8" s="46">
        <f>IF(ROW(tbl_NKLA[[#This Row],[Adj Close]])=5, 0, $F8-$F7)</f>
        <v>3.1600000000000037</v>
      </c>
      <c r="N8" s="46">
        <f>MAX(tbl_NKLA[[#This Row],[Move]],0)</f>
        <v>3.1600000000000037</v>
      </c>
      <c r="O8" s="46">
        <f>MAX(-tbl_NKLA[[#This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IF(tbl_NKLA[[#This Row],[Avg_Upmove]]="", "", tbl_NKLA[[#This Row],[Avg_Upmove]]/tbl_NKLA[[#This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25">
      <c r="A9">
        <v>44057</v>
      </c>
      <c r="B9">
        <v>46.869999</v>
      </c>
      <c r="C9">
        <v>46.950001</v>
      </c>
      <c r="D9">
        <v>44.360000999999997</v>
      </c>
      <c r="E9">
        <v>45.959999000000003</v>
      </c>
      <c r="F9">
        <v>45.959999000000003</v>
      </c>
      <c r="G9">
        <v>12493900</v>
      </c>
      <c r="H9" s="10">
        <f>IF(tbl_NKLA[[#This Row],[Date]]=$A$5, $F9, EMA_Beta*$H8 + (1-EMA_Beta)*$F9)</f>
        <v>44.596941581300001</v>
      </c>
      <c r="I9" s="46" t="str">
        <f ca="1">IF(tbl_NKLA[[#This Row],[RS]]= "", "", 100-(100/(1+tbl_NKLA[[#This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IF(tbl_NKLA[[#This Row],[BB_Mean]]="", "", tbl_NKLA[[#This Row],[BB_Mean]]+(BB_Width*tbl_NKLA[[#This Row],[BB_Stdev]]))</f>
        <v/>
      </c>
      <c r="L9" s="10" t="str">
        <f ca="1">IF(tbl_NKLA[[#This Row],[BB_Mean]]="", "", tbl_NKLA[[#This Row],[BB_Mean]]-(BB_Width*tbl_NKLA[[#This Row],[BB_Stdev]]))</f>
        <v/>
      </c>
      <c r="M9" s="46">
        <f>IF(ROW(tbl_NKLA[[#This Row],[Adj Close]])=5, 0, $F9-$F8)</f>
        <v>-1.0002000000000066E-2</v>
      </c>
      <c r="N9" s="46">
        <f>MAX(tbl_NKLA[[#This Row],[Move]],0)</f>
        <v>0</v>
      </c>
      <c r="O9" s="46">
        <f>MAX(-tbl_NKLA[[#This Row],[Move]],0)</f>
        <v>1.0002000000000066E-2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IF(tbl_NKLA[[#This Row],[Avg_Upmove]]="", "", tbl_NKLA[[#This Row],[Avg_Upmove]]/tbl_NKLA[[#This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25">
      <c r="A10">
        <v>44060</v>
      </c>
      <c r="B10">
        <v>46.200001</v>
      </c>
      <c r="C10">
        <v>46.650002000000001</v>
      </c>
      <c r="D10">
        <v>41.827998999999998</v>
      </c>
      <c r="E10">
        <v>43.57</v>
      </c>
      <c r="F10">
        <v>43.57</v>
      </c>
      <c r="G10">
        <v>13680600</v>
      </c>
      <c r="H10" s="10">
        <f>IF(tbl_NKLA[[#This Row],[Date]]=$A$5, $F10, EMA_Beta*$H9 + (1-EMA_Beta)*$F10)</f>
        <v>44.494247423170002</v>
      </c>
      <c r="I10" s="46" t="str">
        <f ca="1">IF(tbl_NKLA[[#This Row],[RS]]= "", "", 100-(100/(1+tbl_NKLA[[#This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IF(tbl_NKLA[[#This Row],[BB_Mean]]="", "", tbl_NKLA[[#This Row],[BB_Mean]]+(BB_Width*tbl_NKLA[[#This Row],[BB_Stdev]]))</f>
        <v/>
      </c>
      <c r="L10" s="10" t="str">
        <f ca="1">IF(tbl_NKLA[[#This Row],[BB_Mean]]="", "", tbl_NKLA[[#This Row],[BB_Mean]]-(BB_Width*tbl_NKLA[[#This Row],[BB_Stdev]]))</f>
        <v/>
      </c>
      <c r="M10" s="46">
        <f>IF(ROW(tbl_NKLA[[#This Row],[Adj Close]])=5, 0, $F10-$F9)</f>
        <v>-2.3899990000000031</v>
      </c>
      <c r="N10" s="46">
        <f>MAX(tbl_NKLA[[#This Row],[Move]],0)</f>
        <v>0</v>
      </c>
      <c r="O10" s="46">
        <f>MAX(-tbl_NKLA[[#This Row],[Move]],0)</f>
        <v>2.3899990000000031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IF(tbl_NKLA[[#This Row],[Avg_Upmove]]="", "", tbl_NKLA[[#This Row],[Avg_Upmove]]/tbl_NKLA[[#This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25">
      <c r="A11">
        <v>44061</v>
      </c>
      <c r="B11">
        <v>43.849997999999999</v>
      </c>
      <c r="C11">
        <v>43.880001</v>
      </c>
      <c r="D11">
        <v>41.049999</v>
      </c>
      <c r="E11">
        <v>41.759998000000003</v>
      </c>
      <c r="F11">
        <v>41.759998000000003</v>
      </c>
      <c r="G11">
        <v>9301100</v>
      </c>
      <c r="H11" s="10">
        <f>IF(tbl_NKLA[[#This Row],[Date]]=$A$5, $F11, EMA_Beta*$H10 + (1-EMA_Beta)*$F11)</f>
        <v>44.220822480853002</v>
      </c>
      <c r="I11" s="46" t="str">
        <f ca="1">IF(tbl_NKLA[[#This Row],[RS]]= "", "", 100-(100/(1+tbl_NKLA[[#This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IF(tbl_NKLA[[#This Row],[BB_Mean]]="", "", tbl_NKLA[[#This Row],[BB_Mean]]+(BB_Width*tbl_NKLA[[#This Row],[BB_Stdev]]))</f>
        <v/>
      </c>
      <c r="L11" s="10" t="str">
        <f ca="1">IF(tbl_NKLA[[#This Row],[BB_Mean]]="", "", tbl_NKLA[[#This Row],[BB_Mean]]-(BB_Width*tbl_NKLA[[#This Row],[BB_Stdev]]))</f>
        <v/>
      </c>
      <c r="M11" s="46">
        <f>IF(ROW(tbl_NKLA[[#This Row],[Adj Close]])=5, 0, $F11-$F10)</f>
        <v>-1.8100019999999972</v>
      </c>
      <c r="N11" s="46">
        <f>MAX(tbl_NKLA[[#This Row],[Move]],0)</f>
        <v>0</v>
      </c>
      <c r="O11" s="46">
        <f>MAX(-tbl_NKLA[[#This Row],[Move]],0)</f>
        <v>1.8100019999999972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IF(tbl_NKLA[[#This Row],[Avg_Upmove]]="", "", tbl_NKLA[[#This Row],[Avg_Upmove]]/tbl_NKLA[[#This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25">
      <c r="A12">
        <v>44062</v>
      </c>
      <c r="B12">
        <v>41.720001000000003</v>
      </c>
      <c r="C12">
        <v>44.599997999999999</v>
      </c>
      <c r="D12">
        <v>41.259998000000003</v>
      </c>
      <c r="E12">
        <v>42.529998999999997</v>
      </c>
      <c r="F12">
        <v>42.529998999999997</v>
      </c>
      <c r="G12">
        <v>10041300</v>
      </c>
      <c r="H12" s="10">
        <f>IF(tbl_NKLA[[#This Row],[Date]]=$A$5, $F12, EMA_Beta*$H11 + (1-EMA_Beta)*$F12)</f>
        <v>44.051740132767705</v>
      </c>
      <c r="I12" s="46" t="str">
        <f ca="1">IF(tbl_NKLA[[#This Row],[RS]]= "", "", 100-(100/(1+tbl_NKLA[[#This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IF(tbl_NKLA[[#This Row],[BB_Mean]]="", "", tbl_NKLA[[#This Row],[BB_Mean]]+(BB_Width*tbl_NKLA[[#This Row],[BB_Stdev]]))</f>
        <v/>
      </c>
      <c r="L12" s="10" t="str">
        <f ca="1">IF(tbl_NKLA[[#This Row],[BB_Mean]]="", "", tbl_NKLA[[#This Row],[BB_Mean]]-(BB_Width*tbl_NKLA[[#This Row],[BB_Stdev]]))</f>
        <v/>
      </c>
      <c r="M12" s="46">
        <f>IF(ROW(tbl_NKLA[[#This Row],[Adj Close]])=5, 0, $F12-$F11)</f>
        <v>0.7700009999999935</v>
      </c>
      <c r="N12" s="46">
        <f>MAX(tbl_NKLA[[#This Row],[Move]],0)</f>
        <v>0.7700009999999935</v>
      </c>
      <c r="O12" s="46">
        <f>MAX(-tbl_NKLA[[#This Row],[Move]],0)</f>
        <v>0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IF(tbl_NKLA[[#This Row],[Avg_Upmove]]="", "", tbl_NKLA[[#This Row],[Avg_Upmove]]/tbl_NKLA[[#This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25">
      <c r="A13">
        <v>44063</v>
      </c>
      <c r="B13">
        <v>41.700001</v>
      </c>
      <c r="C13">
        <v>42.41</v>
      </c>
      <c r="D13">
        <v>40.200001</v>
      </c>
      <c r="E13">
        <v>40.939999</v>
      </c>
      <c r="F13">
        <v>40.939999</v>
      </c>
      <c r="G13">
        <v>7662300</v>
      </c>
      <c r="H13" s="10">
        <f>IF(tbl_NKLA[[#This Row],[Date]]=$A$5, $F13, EMA_Beta*$H12 + (1-EMA_Beta)*$F13)</f>
        <v>43.740566019490934</v>
      </c>
      <c r="I13" s="46" t="str">
        <f ca="1">IF(tbl_NKLA[[#This Row],[RS]]= "", "", 100-(100/(1+tbl_NKLA[[#This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IF(tbl_NKLA[[#This Row],[BB_Mean]]="", "", tbl_NKLA[[#This Row],[BB_Mean]]+(BB_Width*tbl_NKLA[[#This Row],[BB_Stdev]]))</f>
        <v/>
      </c>
      <c r="L13" s="10" t="str">
        <f ca="1">IF(tbl_NKLA[[#This Row],[BB_Mean]]="", "", tbl_NKLA[[#This Row],[BB_Mean]]-(BB_Width*tbl_NKLA[[#This Row],[BB_Stdev]]))</f>
        <v/>
      </c>
      <c r="M13" s="46">
        <f>IF(ROW(tbl_NKLA[[#This Row],[Adj Close]])=5, 0, $F13-$F12)</f>
        <v>-1.5899999999999963</v>
      </c>
      <c r="N13" s="46">
        <f>MAX(tbl_NKLA[[#This Row],[Move]],0)</f>
        <v>0</v>
      </c>
      <c r="O13" s="46">
        <f>MAX(-tbl_NKLA[[#This Row],[Move]],0)</f>
        <v>1.5899999999999963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IF(tbl_NKLA[[#This Row],[Avg_Upmove]]="", "", tbl_NKLA[[#This Row],[Avg_Upmove]]/tbl_NKLA[[#This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25">
      <c r="A14">
        <v>44064</v>
      </c>
      <c r="B14">
        <v>40.75</v>
      </c>
      <c r="C14">
        <v>41.130001</v>
      </c>
      <c r="D14">
        <v>39.029998999999997</v>
      </c>
      <c r="E14">
        <v>39.369999</v>
      </c>
      <c r="F14">
        <v>39.369999</v>
      </c>
      <c r="G14">
        <v>8920000</v>
      </c>
      <c r="H14" s="10">
        <f>IF(tbl_NKLA[[#This Row],[Date]]=$A$5, $F14, EMA_Beta*$H13 + (1-EMA_Beta)*$F14)</f>
        <v>43.303509317541838</v>
      </c>
      <c r="I14" s="46" t="str">
        <f ca="1">IF(tbl_NKLA[[#This Row],[RS]]= "", "", 100-(100/(1+tbl_NKLA[[#This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IF(tbl_NKLA[[#This Row],[BB_Mean]]="", "", tbl_NKLA[[#This Row],[BB_Mean]]+(BB_Width*tbl_NKLA[[#This Row],[BB_Stdev]]))</f>
        <v/>
      </c>
      <c r="L14" s="10" t="str">
        <f ca="1">IF(tbl_NKLA[[#This Row],[BB_Mean]]="", "", tbl_NKLA[[#This Row],[BB_Mean]]-(BB_Width*tbl_NKLA[[#This Row],[BB_Stdev]]))</f>
        <v/>
      </c>
      <c r="M14" s="46">
        <f>IF(ROW(tbl_NKLA[[#This Row],[Adj Close]])=5, 0, $F14-$F13)</f>
        <v>-1.5700000000000003</v>
      </c>
      <c r="N14" s="46">
        <f>MAX(tbl_NKLA[[#This Row],[Move]],0)</f>
        <v>0</v>
      </c>
      <c r="O14" s="46">
        <f>MAX(-tbl_NKLA[[#This Row],[Move]],0)</f>
        <v>1.5700000000000003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IF(tbl_NKLA[[#This Row],[Avg_Upmove]]="", "", tbl_NKLA[[#This Row],[Avg_Upmove]]/tbl_NKLA[[#This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25">
      <c r="A15">
        <v>44067</v>
      </c>
      <c r="B15">
        <v>40.529998999999997</v>
      </c>
      <c r="C15">
        <v>40.540000999999997</v>
      </c>
      <c r="D15">
        <v>37</v>
      </c>
      <c r="E15">
        <v>38.689999</v>
      </c>
      <c r="F15">
        <v>38.689999</v>
      </c>
      <c r="G15">
        <v>10244600</v>
      </c>
      <c r="H15" s="10">
        <f>IF(tbl_NKLA[[#This Row],[Date]]=$A$5, $F15, EMA_Beta*$H14 + (1-EMA_Beta)*$F15)</f>
        <v>42.842158285787654</v>
      </c>
      <c r="I15" s="46" t="str">
        <f ca="1">IF(tbl_NKLA[[#This Row],[RS]]= "", "", 100-(100/(1+tbl_NKLA[[#This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IF(tbl_NKLA[[#This Row],[BB_Mean]]="", "", tbl_NKLA[[#This Row],[BB_Mean]]+(BB_Width*tbl_NKLA[[#This Row],[BB_Stdev]]))</f>
        <v/>
      </c>
      <c r="L15" s="10" t="str">
        <f ca="1">IF(tbl_NKLA[[#This Row],[BB_Mean]]="", "", tbl_NKLA[[#This Row],[BB_Mean]]-(BB_Width*tbl_NKLA[[#This Row],[BB_Stdev]]))</f>
        <v/>
      </c>
      <c r="M15" s="46">
        <f>IF(ROW(tbl_NKLA[[#This Row],[Adj Close]])=5, 0, $F15-$F14)</f>
        <v>-0.67999999999999972</v>
      </c>
      <c r="N15" s="46">
        <f>MAX(tbl_NKLA[[#This Row],[Move]],0)</f>
        <v>0</v>
      </c>
      <c r="O15" s="46">
        <f>MAX(-tbl_NKLA[[#This Row],[Move]],0)</f>
        <v>0.67999999999999972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IF(tbl_NKLA[[#This Row],[Avg_Upmove]]="", "", tbl_NKLA[[#This Row],[Avg_Upmove]]/tbl_NKLA[[#This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25">
      <c r="A16">
        <v>44068</v>
      </c>
      <c r="B16">
        <v>38.779998999999997</v>
      </c>
      <c r="C16">
        <v>39.970001000000003</v>
      </c>
      <c r="D16">
        <v>38.110000999999997</v>
      </c>
      <c r="E16">
        <v>39.18</v>
      </c>
      <c r="F16">
        <v>39.18</v>
      </c>
      <c r="G16">
        <v>5500000</v>
      </c>
      <c r="H16" s="10">
        <f>IF(tbl_NKLA[[#This Row],[Date]]=$A$5, $F16, EMA_Beta*$H15 + (1-EMA_Beta)*$F16)</f>
        <v>42.475942457208888</v>
      </c>
      <c r="I16" s="46" t="str">
        <f ca="1">IF(tbl_NKLA[[#This Row],[RS]]= "", "", 100-(100/(1+tbl_NKLA[[#This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IF(tbl_NKLA[[#This Row],[BB_Mean]]="", "", tbl_NKLA[[#This Row],[BB_Mean]]+(BB_Width*tbl_NKLA[[#This Row],[BB_Stdev]]))</f>
        <v/>
      </c>
      <c r="L16" s="10" t="str">
        <f ca="1">IF(tbl_NKLA[[#This Row],[BB_Mean]]="", "", tbl_NKLA[[#This Row],[BB_Mean]]-(BB_Width*tbl_NKLA[[#This Row],[BB_Stdev]]))</f>
        <v/>
      </c>
      <c r="M16" s="46">
        <f>IF(ROW(tbl_NKLA[[#This Row],[Adj Close]])=5, 0, $F16-$F15)</f>
        <v>0.49000099999999946</v>
      </c>
      <c r="N16" s="46">
        <f>MAX(tbl_NKLA[[#This Row],[Move]],0)</f>
        <v>0.49000099999999946</v>
      </c>
      <c r="O16" s="46">
        <f>MAX(-tbl_NKLA[[#This Row],[Move]],0)</f>
        <v>0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IF(tbl_NKLA[[#This Row],[Avg_Upmove]]="", "", tbl_NKLA[[#This Row],[Avg_Upmove]]/tbl_NKLA[[#This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25">
      <c r="A17">
        <v>44069</v>
      </c>
      <c r="B17">
        <v>39.959999000000003</v>
      </c>
      <c r="C17">
        <v>40.169998</v>
      </c>
      <c r="D17">
        <v>38.049999</v>
      </c>
      <c r="E17">
        <v>38.82</v>
      </c>
      <c r="F17">
        <v>38.82</v>
      </c>
      <c r="G17">
        <v>6854000</v>
      </c>
      <c r="H17" s="10">
        <f>IF(tbl_NKLA[[#This Row],[Date]]=$A$5, $F17, EMA_Beta*$H16 + (1-EMA_Beta)*$F17)</f>
        <v>42.110348211487995</v>
      </c>
      <c r="I17" s="46" t="str">
        <f ca="1">IF(tbl_NKLA[[#This Row],[RS]]= "", "", 100-(100/(1+tbl_NKLA[[#This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IF(tbl_NKLA[[#This Row],[BB_Mean]]="", "", tbl_NKLA[[#This Row],[BB_Mean]]+(BB_Width*tbl_NKLA[[#This Row],[BB_Stdev]]))</f>
        <v/>
      </c>
      <c r="L17" s="10" t="str">
        <f ca="1">IF(tbl_NKLA[[#This Row],[BB_Mean]]="", "", tbl_NKLA[[#This Row],[BB_Mean]]-(BB_Width*tbl_NKLA[[#This Row],[BB_Stdev]]))</f>
        <v/>
      </c>
      <c r="M17" s="46">
        <f>IF(ROW(tbl_NKLA[[#This Row],[Adj Close]])=5, 0, $F17-$F16)</f>
        <v>-0.35999999999999943</v>
      </c>
      <c r="N17" s="46">
        <f>MAX(tbl_NKLA[[#This Row],[Move]],0)</f>
        <v>0</v>
      </c>
      <c r="O17" s="46">
        <f>MAX(-tbl_NKLA[[#This Row],[Move]],0)</f>
        <v>0.35999999999999943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IF(tbl_NKLA[[#This Row],[Avg_Upmove]]="", "", tbl_NKLA[[#This Row],[Avg_Upmove]]/tbl_NKLA[[#This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25">
      <c r="A18">
        <v>44070</v>
      </c>
      <c r="B18">
        <v>38.5</v>
      </c>
      <c r="C18">
        <v>39.849997999999999</v>
      </c>
      <c r="D18">
        <v>37.220001000000003</v>
      </c>
      <c r="E18">
        <v>39.310001</v>
      </c>
      <c r="F18">
        <v>39.310001</v>
      </c>
      <c r="G18">
        <v>8296400</v>
      </c>
      <c r="H18" s="10">
        <f>IF(tbl_NKLA[[#This Row],[Date]]=$A$5, $F18, EMA_Beta*$H17 + (1-EMA_Beta)*$F18)</f>
        <v>41.830313490339194</v>
      </c>
      <c r="I18" s="46" t="str">
        <f ca="1">IF(tbl_NKLA[[#This Row],[RS]]= "", "", 100-(100/(1+tbl_NKLA[[#This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41.772856785714289</v>
      </c>
      <c r="K18" s="10">
        <f ca="1">IF(tbl_NKLA[[#This Row],[BB_Mean]]="", "", tbl_NKLA[[#This Row],[BB_Mean]]+(BB_Width*tbl_NKLA[[#This Row],[BB_Stdev]]))</f>
        <v>46.95220342769597</v>
      </c>
      <c r="L18" s="10">
        <f ca="1">IF(tbl_NKLA[[#This Row],[BB_Mean]]="", "", tbl_NKLA[[#This Row],[BB_Mean]]-(BB_Width*tbl_NKLA[[#This Row],[BB_Stdev]]))</f>
        <v>36.593510143732608</v>
      </c>
      <c r="M18" s="46">
        <f>IF(ROW(tbl_NKLA[[#This Row],[Adj Close]])=5, 0, $F18-$F17)</f>
        <v>0.49000099999999946</v>
      </c>
      <c r="N18" s="46">
        <f>MAX(tbl_NKLA[[#This Row],[Move]],0)</f>
        <v>0.49000099999999946</v>
      </c>
      <c r="O18" s="46">
        <f>MAX(-tbl_NKLA[[#This Row],[Move]],0)</f>
        <v>0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IF(tbl_NKLA[[#This Row],[Avg_Upmove]]="", "", tbl_NKLA[[#This Row],[Avg_Upmove]]/tbl_NKLA[[#This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2.5896733209908391</v>
      </c>
    </row>
    <row r="19" spans="1:19" x14ac:dyDescent="0.25">
      <c r="A19">
        <v>44071</v>
      </c>
      <c r="B19">
        <v>39</v>
      </c>
      <c r="C19">
        <v>41.93</v>
      </c>
      <c r="D19">
        <v>38.610000999999997</v>
      </c>
      <c r="E19">
        <v>41.349997999999999</v>
      </c>
      <c r="F19">
        <v>41.349997999999999</v>
      </c>
      <c r="G19">
        <v>13570700</v>
      </c>
      <c r="H19" s="10">
        <f>IF(tbl_NKLA[[#This Row],[Date]]=$A$5, $F19, EMA_Beta*$H18 + (1-EMA_Beta)*$F19)</f>
        <v>41.782281941305271</v>
      </c>
      <c r="I19" s="46">
        <f ca="1">IF(tbl_NKLA[[#This Row],[RS]]= "", "", 100-(100/(1+tbl_NKLA[[#This Row],[RS]])))</f>
        <v>41.674683586518171</v>
      </c>
      <c r="J19" s="10">
        <f ca="1">IF(ROW($N19)-4&lt;BB_Periods, "", AVERAGE(INDIRECT(ADDRESS(ROW($F19)-RSI_Periods +1, MATCH("Adj Close", Price_Header,0))): INDIRECT(ADDRESS(ROW($F19),MATCH("Adj Close", Price_Header,0)))))</f>
        <v>41.525713714285715</v>
      </c>
      <c r="K19" s="10">
        <f ca="1">IF(tbl_NKLA[[#This Row],[BB_Mean]]="", "", tbl_NKLA[[#This Row],[BB_Mean]]+(BB_Width*tbl_NKLA[[#This Row],[BB_Stdev]]))</f>
        <v>46.402116916791776</v>
      </c>
      <c r="L19" s="10">
        <f ca="1">IF(tbl_NKLA[[#This Row],[BB_Mean]]="", "", tbl_NKLA[[#This Row],[BB_Mean]]-(BB_Width*tbl_NKLA[[#This Row],[BB_Stdev]]))</f>
        <v>36.649310511779653</v>
      </c>
      <c r="M19" s="46">
        <f>IF(ROW(tbl_NKLA[[#This Row],[Adj Close]])=5, 0, $F19-$F18)</f>
        <v>2.0399969999999996</v>
      </c>
      <c r="N19" s="46">
        <f>MAX(tbl_NKLA[[#This Row],[Move]],0)</f>
        <v>2.0399969999999996</v>
      </c>
      <c r="O19" s="46">
        <f>MAX(-tbl_NKLA[[#This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0.61857164285714261</v>
      </c>
      <c r="Q19" s="46">
        <f ca="1">IF(ROW($O19)-5&lt;RSI_Periods, "", AVERAGE(INDIRECT(ADDRESS(ROW($O19)-RSI_Periods +1, MATCH("Downmove", Price_Header,0))): INDIRECT(ADDRESS(ROW($O19),MATCH("Downmove", Price_Header,0)))))</f>
        <v>0.865714714285714</v>
      </c>
      <c r="R19" s="46">
        <f ca="1">IF(tbl_NKLA[[#This Row],[Avg_Upmove]]="", "", tbl_NKLA[[#This Row],[Avg_Upmove]]/tbl_NKLA[[#This Row],[Avg_Downmove]])</f>
        <v>0.71452134594652839</v>
      </c>
      <c r="S19" s="10">
        <f ca="1">IF(ROW($N19)-4&lt;BB_Periods, "", _xlfn.STDEV.S(INDIRECT(ADDRESS(ROW($F19)-RSI_Periods +1, MATCH("Adj Close", Price_Header,0))): INDIRECT(ADDRESS(ROW($F19),MATCH("Adj Close", Price_Header,0)))))</f>
        <v>2.4382016012530299</v>
      </c>
    </row>
    <row r="20" spans="1:19" x14ac:dyDescent="0.25">
      <c r="A20">
        <v>44074</v>
      </c>
      <c r="B20">
        <v>41.099997999999999</v>
      </c>
      <c r="C20">
        <v>43.279998999999997</v>
      </c>
      <c r="D20">
        <v>40.299999</v>
      </c>
      <c r="E20">
        <v>40.810001</v>
      </c>
      <c r="F20">
        <v>40.810001</v>
      </c>
      <c r="G20">
        <v>11367200</v>
      </c>
      <c r="H20" s="10">
        <f>IF(tbl_NKLA[[#This Row],[Date]]=$A$5, $F20, EMA_Beta*$H19 + (1-EMA_Beta)*$F20)</f>
        <v>41.685053847174743</v>
      </c>
      <c r="I20" s="46">
        <f ca="1">IF(tbl_NKLA[[#This Row],[RS]]= "", "", 100-(100/(1+tbl_NKLA[[#This Row],[RS]])))</f>
        <v>49.176612860315814</v>
      </c>
      <c r="J20" s="10">
        <f ca="1">IF(ROW($N20)-4&lt;BB_Periods, "", AVERAGE(INDIRECT(ADDRESS(ROW($F20)-RSI_Periods +1, MATCH("Adj Close", Price_Header,0))): INDIRECT(ADDRESS(ROW($F20),MATCH("Adj Close", Price_Header,0)))))</f>
        <v>41.50499964285715</v>
      </c>
      <c r="K20" s="10">
        <f ca="1">IF(tbl_NKLA[[#This Row],[BB_Mean]]="", "", tbl_NKLA[[#This Row],[BB_Mean]]+(BB_Width*tbl_NKLA[[#This Row],[BB_Stdev]]))</f>
        <v>46.391645666775972</v>
      </c>
      <c r="L20" s="10">
        <f ca="1">IF(tbl_NKLA[[#This Row],[BB_Mean]]="", "", tbl_NKLA[[#This Row],[BB_Mean]]-(BB_Width*tbl_NKLA[[#This Row],[BB_Stdev]]))</f>
        <v>36.618353618938329</v>
      </c>
      <c r="M20" s="46">
        <f>IF(ROW(tbl_NKLA[[#This Row],[Adj Close]])=5, 0, $F20-$F19)</f>
        <v>-0.53999699999999962</v>
      </c>
      <c r="N20" s="46">
        <f>MAX(tbl_NKLA[[#This Row],[Move]],0)</f>
        <v>0</v>
      </c>
      <c r="O20" s="46">
        <f>MAX(-tbl_NKLA[[#This Row],[Move]],0)</f>
        <v>0.53999699999999962</v>
      </c>
      <c r="P20" s="46">
        <f ca="1">IF(ROW($N20)-5&lt;RSI_Periods, "", AVERAGE(INDIRECT(ADDRESS(ROW($N20)-RSI_Periods +1, MATCH("Upmove", Price_Header,0))): INDIRECT(ADDRESS(ROW($N20),MATCH("Upmove", Price_Header,0)))))</f>
        <v>0.61857164285714261</v>
      </c>
      <c r="Q20" s="46">
        <f ca="1">IF(ROW($O20)-5&lt;RSI_Periods, "", AVERAGE(INDIRECT(ADDRESS(ROW($O20)-RSI_Periods +1, MATCH("Downmove", Price_Header,0))): INDIRECT(ADDRESS(ROW($O20),MATCH("Downmove", Price_Header,0)))))</f>
        <v>0.63928571428571401</v>
      </c>
      <c r="R20" s="46">
        <f ca="1">IF(tbl_NKLA[[#This Row],[Avg_Upmove]]="", "", tbl_NKLA[[#This Row],[Avg_Upmove]]/tbl_NKLA[[#This Row],[Avg_Downmove]])</f>
        <v>0.96759810055865925</v>
      </c>
      <c r="S20" s="10">
        <f ca="1">IF(ROW($N20)-4&lt;BB_Periods, "", _xlfn.STDEV.S(INDIRECT(ADDRESS(ROW($F20)-RSI_Periods +1, MATCH("Adj Close", Price_Header,0))): INDIRECT(ADDRESS(ROW($F20),MATCH("Adj Close", Price_Header,0)))))</f>
        <v>2.4433230119594107</v>
      </c>
    </row>
    <row r="21" spans="1:19" x14ac:dyDescent="0.25">
      <c r="A21">
        <v>44075</v>
      </c>
      <c r="B21">
        <v>40.32</v>
      </c>
      <c r="C21">
        <v>41.465000000000003</v>
      </c>
      <c r="D21">
        <v>39.119999</v>
      </c>
      <c r="E21">
        <v>41</v>
      </c>
      <c r="F21">
        <v>41</v>
      </c>
      <c r="G21">
        <v>8149300</v>
      </c>
      <c r="H21" s="10">
        <f>IF(tbl_NKLA[[#This Row],[Date]]=$A$5, $F21, EMA_Beta*$H20 + (1-EMA_Beta)*$F21)</f>
        <v>41.616548462457274</v>
      </c>
      <c r="I21" s="46">
        <f ca="1">IF(tbl_NKLA[[#This Row],[RS]]= "", "", 100-(100/(1+tbl_NKLA[[#This Row],[RS]])))</f>
        <v>44.375384982932566</v>
      </c>
      <c r="J21" s="10">
        <f ca="1">IF(ROW($N21)-4&lt;BB_Periods, "", AVERAGE(INDIRECT(ADDRESS(ROW($F21)-RSI_Periods +1, MATCH("Adj Close", Price_Header,0))): INDIRECT(ADDRESS(ROW($F21),MATCH("Adj Close", Price_Header,0)))))</f>
        <v>41.375713857142856</v>
      </c>
      <c r="K21" s="10">
        <f ca="1">IF(tbl_NKLA[[#This Row],[BB_Mean]]="", "", tbl_NKLA[[#This Row],[BB_Mean]]+(BB_Width*tbl_NKLA[[#This Row],[BB_Stdev]]))</f>
        <v>46.209115084363795</v>
      </c>
      <c r="L21" s="10">
        <f ca="1">IF(tbl_NKLA[[#This Row],[BB_Mean]]="", "", tbl_NKLA[[#This Row],[BB_Mean]]-(BB_Width*tbl_NKLA[[#This Row],[BB_Stdev]]))</f>
        <v>36.542312629921916</v>
      </c>
      <c r="M21" s="46">
        <f>IF(ROW(tbl_NKLA[[#This Row],[Adj Close]])=5, 0, $F21-$F20)</f>
        <v>0.18999900000000025</v>
      </c>
      <c r="N21" s="46">
        <f>MAX(tbl_NKLA[[#This Row],[Move]],0)</f>
        <v>0.18999900000000025</v>
      </c>
      <c r="O21" s="46">
        <f>MAX(-tbl_NKLA[[#This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0.50999992857142828</v>
      </c>
      <c r="Q21" s="46">
        <f ca="1">IF(ROW($O21)-5&lt;RSI_Periods, "", AVERAGE(INDIRECT(ADDRESS(ROW($O21)-RSI_Periods +1, MATCH("Downmove", Price_Header,0))): INDIRECT(ADDRESS(ROW($O21),MATCH("Downmove", Price_Header,0)))))</f>
        <v>0.63928571428571401</v>
      </c>
      <c r="R21" s="46">
        <f ca="1">IF(tbl_NKLA[[#This Row],[Avg_Upmove]]="", "", tbl_NKLA[[#This Row],[Avg_Upmove]]/tbl_NKLA[[#This Row],[Avg_Downmove]])</f>
        <v>0.79776525139664789</v>
      </c>
      <c r="S21" s="10">
        <f ca="1">IF(ROW($N21)-4&lt;BB_Periods, "", _xlfn.STDEV.S(INDIRECT(ADDRESS(ROW($F21)-RSI_Periods +1, MATCH("Adj Close", Price_Header,0))): INDIRECT(ADDRESS(ROW($F21),MATCH("Adj Close", Price_Header,0)))))</f>
        <v>2.4167006136104687</v>
      </c>
    </row>
    <row r="22" spans="1:19" x14ac:dyDescent="0.25">
      <c r="A22">
        <v>44076</v>
      </c>
      <c r="B22">
        <v>40.540000999999997</v>
      </c>
      <c r="C22">
        <v>41.57</v>
      </c>
      <c r="D22">
        <v>38.209999000000003</v>
      </c>
      <c r="E22">
        <v>39.419998</v>
      </c>
      <c r="F22">
        <v>39.419998</v>
      </c>
      <c r="G22">
        <v>8694900</v>
      </c>
      <c r="H22" s="10">
        <f>IF(tbl_NKLA[[#This Row],[Date]]=$A$5, $F22, EMA_Beta*$H21 + (1-EMA_Beta)*$F22)</f>
        <v>41.396893416211547</v>
      </c>
      <c r="I22" s="46">
        <f ca="1">IF(tbl_NKLA[[#This Row],[RS]]= "", "", 100-(100/(1+tbl_NKLA[[#This Row],[RS]])))</f>
        <v>27.429350280540959</v>
      </c>
      <c r="J22" s="10">
        <f ca="1">IF(ROW($N22)-4&lt;BB_Periods, "", AVERAGE(INDIRECT(ADDRESS(ROW($F22)-RSI_Periods +1, MATCH("Adj Close", Price_Header,0))): INDIRECT(ADDRESS(ROW($F22),MATCH("Adj Close", Price_Header,0)))))</f>
        <v>40.907856500000001</v>
      </c>
      <c r="K22" s="10">
        <f ca="1">IF(tbl_NKLA[[#This Row],[BB_Mean]]="", "", tbl_NKLA[[#This Row],[BB_Mean]]+(BB_Width*tbl_NKLA[[#This Row],[BB_Stdev]]))</f>
        <v>45.043206069289624</v>
      </c>
      <c r="L22" s="10">
        <f ca="1">IF(tbl_NKLA[[#This Row],[BB_Mean]]="", "", tbl_NKLA[[#This Row],[BB_Mean]]-(BB_Width*tbl_NKLA[[#This Row],[BB_Stdev]]))</f>
        <v>36.772506930710378</v>
      </c>
      <c r="M22" s="46">
        <f>IF(ROW(tbl_NKLA[[#This Row],[Adj Close]])=5, 0, $F22-$F21)</f>
        <v>-1.5800020000000004</v>
      </c>
      <c r="N22" s="46">
        <f>MAX(tbl_NKLA[[#This Row],[Move]],0)</f>
        <v>0</v>
      </c>
      <c r="O22" s="46">
        <f>MAX(-tbl_NKLA[[#This Row],[Move]],0)</f>
        <v>1.5800020000000004</v>
      </c>
      <c r="P22" s="46">
        <f ca="1">IF(ROW($N22)-5&lt;RSI_Periods, "", AVERAGE(INDIRECT(ADDRESS(ROW($N22)-RSI_Periods +1, MATCH("Upmove", Price_Header,0))): INDIRECT(ADDRESS(ROW($N22),MATCH("Upmove", Price_Header,0)))))</f>
        <v>0.28428564285714231</v>
      </c>
      <c r="Q22" s="46">
        <f ca="1">IF(ROW($O22)-5&lt;RSI_Periods, "", AVERAGE(INDIRECT(ADDRESS(ROW($O22)-RSI_Periods +1, MATCH("Downmove", Price_Header,0))): INDIRECT(ADDRESS(ROW($O22),MATCH("Downmove", Price_Header,0)))))</f>
        <v>0.75214299999999967</v>
      </c>
      <c r="R22" s="46">
        <f ca="1">IF(tbl_NKLA[[#This Row],[Avg_Upmove]]="", "", tbl_NKLA[[#This Row],[Avg_Upmove]]/tbl_NKLA[[#This Row],[Avg_Downmove]])</f>
        <v>0.37796754454557502</v>
      </c>
      <c r="S22" s="10">
        <f ca="1">IF(ROW($N22)-4&lt;BB_Periods, "", _xlfn.STDEV.S(INDIRECT(ADDRESS(ROW($F22)-RSI_Periods +1, MATCH("Adj Close", Price_Header,0))): INDIRECT(ADDRESS(ROW($F22),MATCH("Adj Close", Price_Header,0)))))</f>
        <v>2.0676747846448107</v>
      </c>
    </row>
    <row r="23" spans="1:19" x14ac:dyDescent="0.25">
      <c r="A23">
        <v>44077</v>
      </c>
      <c r="B23">
        <v>39</v>
      </c>
      <c r="C23">
        <v>39.330002</v>
      </c>
      <c r="D23">
        <v>35.549999</v>
      </c>
      <c r="E23">
        <v>36.130001</v>
      </c>
      <c r="F23">
        <v>36.130001</v>
      </c>
      <c r="G23">
        <v>10455300</v>
      </c>
      <c r="H23" s="10">
        <f>IF(tbl_NKLA[[#This Row],[Date]]=$A$5, $F23, EMA_Beta*$H22 + (1-EMA_Beta)*$F23)</f>
        <v>40.870204174590391</v>
      </c>
      <c r="I23" s="46">
        <f ca="1">IF(tbl_NKLA[[#This Row],[RS]]= "", "", 100-(100/(1+tbl_NKLA[[#This Row],[RS]])))</f>
        <v>22.372118577204816</v>
      </c>
      <c r="J23" s="10">
        <f ca="1">IF(ROW($N23)-4&lt;BB_Periods, "", AVERAGE(INDIRECT(ADDRESS(ROW($F23)-RSI_Periods +1, MATCH("Adj Close", Price_Header,0))): INDIRECT(ADDRESS(ROW($F23),MATCH("Adj Close", Price_Header,0)))))</f>
        <v>40.205713785714288</v>
      </c>
      <c r="K23" s="10">
        <f ca="1">IF(tbl_NKLA[[#This Row],[BB_Mean]]="", "", tbl_NKLA[[#This Row],[BB_Mean]]+(BB_Width*tbl_NKLA[[#This Row],[BB_Stdev]]))</f>
        <v>43.967068903923611</v>
      </c>
      <c r="L23" s="10">
        <f ca="1">IF(tbl_NKLA[[#This Row],[BB_Mean]]="", "", tbl_NKLA[[#This Row],[BB_Mean]]-(BB_Width*tbl_NKLA[[#This Row],[BB_Stdev]]))</f>
        <v>36.444358667504964</v>
      </c>
      <c r="M23" s="46">
        <f>IF(ROW(tbl_NKLA[[#This Row],[Adj Close]])=5, 0, $F23-$F22)</f>
        <v>-3.2899969999999996</v>
      </c>
      <c r="N23" s="46">
        <f>MAX(tbl_NKLA[[#This Row],[Move]],0)</f>
        <v>0</v>
      </c>
      <c r="O23" s="46">
        <f>MAX(-tbl_NKLA[[#This Row],[Move]],0)</f>
        <v>3.2899969999999996</v>
      </c>
      <c r="P23" s="46">
        <f ca="1">IF(ROW($N23)-5&lt;RSI_Periods, "", AVERAGE(INDIRECT(ADDRESS(ROW($N23)-RSI_Periods +1, MATCH("Upmove", Price_Header,0))): INDIRECT(ADDRESS(ROW($N23),MATCH("Upmove", Price_Header,0)))))</f>
        <v>0.28428564285714231</v>
      </c>
      <c r="Q23" s="46">
        <f ca="1">IF(ROW($O23)-5&lt;RSI_Periods, "", AVERAGE(INDIRECT(ADDRESS(ROW($O23)-RSI_Periods +1, MATCH("Downmove", Price_Header,0))): INDIRECT(ADDRESS(ROW($O23),MATCH("Downmove", Price_Header,0)))))</f>
        <v>0.98642835714285682</v>
      </c>
      <c r="R23" s="46">
        <f ca="1">IF(tbl_NKLA[[#This Row],[Avg_Upmove]]="", "", tbl_NKLA[[#This Row],[Avg_Upmove]]/tbl_NKLA[[#This Row],[Avg_Downmove]])</f>
        <v>0.28819694892040842</v>
      </c>
      <c r="S23" s="10">
        <f ca="1">IF(ROW($N23)-4&lt;BB_Periods, "", _xlfn.STDEV.S(INDIRECT(ADDRESS(ROW($F23)-RSI_Periods +1, MATCH("Adj Close", Price_Header,0))): INDIRECT(ADDRESS(ROW($F23),MATCH("Adj Close", Price_Header,0)))))</f>
        <v>1.8806775591046629</v>
      </c>
    </row>
    <row r="24" spans="1:19" x14ac:dyDescent="0.25">
      <c r="A24">
        <v>44078</v>
      </c>
      <c r="B24">
        <v>36.720001000000003</v>
      </c>
      <c r="C24">
        <v>37.360000999999997</v>
      </c>
      <c r="D24">
        <v>32.799999</v>
      </c>
      <c r="E24">
        <v>35.549999</v>
      </c>
      <c r="F24">
        <v>35.549999</v>
      </c>
      <c r="G24">
        <v>8560900</v>
      </c>
      <c r="H24" s="10">
        <f>IF(tbl_NKLA[[#This Row],[Date]]=$A$5, $F24, EMA_Beta*$H23 + (1-EMA_Beta)*$F24)</f>
        <v>40.338183657131353</v>
      </c>
      <c r="I24" s="46">
        <f ca="1">IF(tbl_NKLA[[#This Row],[RS]]= "", "", 100-(100/(1+tbl_NKLA[[#This Row],[RS]])))</f>
        <v>24.906127966591214</v>
      </c>
      <c r="J24" s="10">
        <f ca="1">IF(ROW($N24)-4&lt;BB_Periods, "", AVERAGE(INDIRECT(ADDRESS(ROW($F24)-RSI_Periods +1, MATCH("Adj Close", Price_Header,0))): INDIRECT(ADDRESS(ROW($F24),MATCH("Adj Close", Price_Header,0)))))</f>
        <v>39.632856571428576</v>
      </c>
      <c r="K24" s="10">
        <f ca="1">IF(tbl_NKLA[[#This Row],[BB_Mean]]="", "", tbl_NKLA[[#This Row],[BB_Mean]]+(BB_Width*tbl_NKLA[[#This Row],[BB_Stdev]]))</f>
        <v>43.622970048126682</v>
      </c>
      <c r="L24" s="10">
        <f ca="1">IF(tbl_NKLA[[#This Row],[BB_Mean]]="", "", tbl_NKLA[[#This Row],[BB_Mean]]-(BB_Width*tbl_NKLA[[#This Row],[BB_Stdev]]))</f>
        <v>35.64274309473047</v>
      </c>
      <c r="M24" s="46">
        <f>IF(ROW(tbl_NKLA[[#This Row],[Adj Close]])=5, 0, $F24-$F23)</f>
        <v>-0.58000200000000035</v>
      </c>
      <c r="N24" s="46">
        <f>MAX(tbl_NKLA[[#This Row],[Move]],0)</f>
        <v>0</v>
      </c>
      <c r="O24" s="46">
        <f>MAX(-tbl_NKLA[[#This Row],[Move]],0)</f>
        <v>0.58000200000000035</v>
      </c>
      <c r="P24" s="46">
        <f ca="1">IF(ROW($N24)-5&lt;RSI_Periods, "", AVERAGE(INDIRECT(ADDRESS(ROW($N24)-RSI_Periods +1, MATCH("Upmove", Price_Header,0))): INDIRECT(ADDRESS(ROW($N24),MATCH("Upmove", Price_Header,0)))))</f>
        <v>0.28428564285714231</v>
      </c>
      <c r="Q24" s="46">
        <f ca="1">IF(ROW($O24)-5&lt;RSI_Periods, "", AVERAGE(INDIRECT(ADDRESS(ROW($O24)-RSI_Periods +1, MATCH("Downmove", Price_Header,0))): INDIRECT(ADDRESS(ROW($O24),MATCH("Downmove", Price_Header,0)))))</f>
        <v>0.85714285714285665</v>
      </c>
      <c r="R24" s="46">
        <f ca="1">IF(tbl_NKLA[[#This Row],[Avg_Upmove]]="", "", tbl_NKLA[[#This Row],[Avg_Upmove]]/tbl_NKLA[[#This Row],[Avg_Downmove]])</f>
        <v>0.33166658333333288</v>
      </c>
      <c r="S24" s="10">
        <f ca="1">IF(ROW($N24)-4&lt;BB_Periods, "", _xlfn.STDEV.S(INDIRECT(ADDRESS(ROW($F24)-RSI_Periods +1, MATCH("Adj Close", Price_Header,0))): INDIRECT(ADDRESS(ROW($F24),MATCH("Adj Close", Price_Header,0)))))</f>
        <v>1.9950567383490514</v>
      </c>
    </row>
    <row r="25" spans="1:19" x14ac:dyDescent="0.25">
      <c r="A25">
        <v>44082</v>
      </c>
      <c r="B25">
        <v>46</v>
      </c>
      <c r="C25">
        <v>54.560001</v>
      </c>
      <c r="D25">
        <v>42.439999</v>
      </c>
      <c r="E25">
        <v>50.049999</v>
      </c>
      <c r="F25">
        <v>50.049999</v>
      </c>
      <c r="G25">
        <v>134889600</v>
      </c>
      <c r="H25" s="10">
        <f>IF(tbl_NKLA[[#This Row],[Date]]=$A$5, $F25, EMA_Beta*$H24 + (1-EMA_Beta)*$F25)</f>
        <v>41.309365191418223</v>
      </c>
      <c r="I25" s="46">
        <f ca="1">IF(tbl_NKLA[[#This Row],[RS]]= "", "", 100-(100/(1+tbl_NKLA[[#This Row],[RS]])))</f>
        <v>64.457624463650973</v>
      </c>
      <c r="J25" s="10">
        <f ca="1">IF(ROW($N25)-4&lt;BB_Periods, "", AVERAGE(INDIRECT(ADDRESS(ROW($F25)-RSI_Periods +1, MATCH("Adj Close", Price_Header,0))): INDIRECT(ADDRESS(ROW($F25),MATCH("Adj Close", Price_Header,0)))))</f>
        <v>40.224999500000003</v>
      </c>
      <c r="K25" s="10">
        <f ca="1">IF(tbl_NKLA[[#This Row],[BB_Mean]]="", "", tbl_NKLA[[#This Row],[BB_Mean]]+(BB_Width*tbl_NKLA[[#This Row],[BB_Stdev]]))</f>
        <v>47.037353172331407</v>
      </c>
      <c r="L25" s="10">
        <f ca="1">IF(tbl_NKLA[[#This Row],[BB_Mean]]="", "", tbl_NKLA[[#This Row],[BB_Mean]]-(BB_Width*tbl_NKLA[[#This Row],[BB_Stdev]]))</f>
        <v>33.412645827668598</v>
      </c>
      <c r="M25" s="46">
        <f>IF(ROW(tbl_NKLA[[#This Row],[Adj Close]])=5, 0, $F25-$F24)</f>
        <v>14.5</v>
      </c>
      <c r="N25" s="46">
        <f>MAX(tbl_NKLA[[#This Row],[Move]],0)</f>
        <v>14.5</v>
      </c>
      <c r="O25" s="46">
        <f>MAX(-tbl_NKLA[[#This Row],[Move]],0)</f>
        <v>0</v>
      </c>
      <c r="P25" s="46">
        <f ca="1">IF(ROW($N25)-5&lt;RSI_Periods, "", AVERAGE(INDIRECT(ADDRESS(ROW($N25)-RSI_Periods +1, MATCH("Upmove", Price_Header,0))): INDIRECT(ADDRESS(ROW($N25),MATCH("Upmove", Price_Header,0)))))</f>
        <v>1.3199999285714281</v>
      </c>
      <c r="Q25" s="46">
        <f ca="1">IF(ROW($O25)-5&lt;RSI_Periods, "", AVERAGE(INDIRECT(ADDRESS(ROW($O25)-RSI_Periods +1, MATCH("Downmove", Price_Header,0))): INDIRECT(ADDRESS(ROW($O25),MATCH("Downmove", Price_Header,0)))))</f>
        <v>0.72785699999999964</v>
      </c>
      <c r="R25" s="46">
        <f ca="1">IF(tbl_NKLA[[#This Row],[Avg_Upmove]]="", "", tbl_NKLA[[#This Row],[Avg_Upmove]]/tbl_NKLA[[#This Row],[Avg_Downmove]])</f>
        <v>1.8135429467208926</v>
      </c>
      <c r="S25" s="10">
        <f ca="1">IF(ROW($N25)-4&lt;BB_Periods, "", _xlfn.STDEV.S(INDIRECT(ADDRESS(ROW($F25)-RSI_Periods +1, MATCH("Adj Close", Price_Header,0))): INDIRECT(ADDRESS(ROW($F25),MATCH("Adj Close", Price_Header,0)))))</f>
        <v>3.4061768361657041</v>
      </c>
    </row>
    <row r="26" spans="1:19" x14ac:dyDescent="0.25">
      <c r="A26">
        <v>44083</v>
      </c>
      <c r="B26">
        <v>49.93</v>
      </c>
      <c r="C26">
        <v>50.150002000000001</v>
      </c>
      <c r="D26">
        <v>42.310001</v>
      </c>
      <c r="E26">
        <v>42.369999</v>
      </c>
      <c r="F26">
        <v>42.369999</v>
      </c>
      <c r="G26">
        <v>51515200</v>
      </c>
      <c r="H26" s="10">
        <f>IF(tbl_NKLA[[#This Row],[Date]]=$A$5, $F26, EMA_Beta*$H25 + (1-EMA_Beta)*$F26)</f>
        <v>41.415428572276404</v>
      </c>
      <c r="I26" s="46">
        <f ca="1">IF(tbl_NKLA[[#This Row],[RS]]= "", "", 100-(100/(1+tbl_NKLA[[#This Row],[RS]])))</f>
        <v>49.77515455594768</v>
      </c>
      <c r="J26" s="10">
        <f ca="1">IF(ROW($N26)-4&lt;BB_Periods, "", AVERAGE(INDIRECT(ADDRESS(ROW($F26)-RSI_Periods +1, MATCH("Adj Close", Price_Header,0))): INDIRECT(ADDRESS(ROW($F26),MATCH("Adj Close", Price_Header,0)))))</f>
        <v>40.213570928571428</v>
      </c>
      <c r="K26" s="10">
        <f ca="1">IF(tbl_NKLA[[#This Row],[BB_Mean]]="", "", tbl_NKLA[[#This Row],[BB_Mean]]+(BB_Width*tbl_NKLA[[#This Row],[BB_Stdev]]))</f>
        <v>47.009784804378931</v>
      </c>
      <c r="L26" s="10">
        <f ca="1">IF(tbl_NKLA[[#This Row],[BB_Mean]]="", "", tbl_NKLA[[#This Row],[BB_Mean]]-(BB_Width*tbl_NKLA[[#This Row],[BB_Stdev]]))</f>
        <v>33.417357052763926</v>
      </c>
      <c r="M26" s="46">
        <f>IF(ROW(tbl_NKLA[[#This Row],[Adj Close]])=5, 0, $F26-$F25)</f>
        <v>-7.68</v>
      </c>
      <c r="N26" s="46">
        <f>MAX(tbl_NKLA[[#This Row],[Move]],0)</f>
        <v>0</v>
      </c>
      <c r="O26" s="46">
        <f>MAX(-tbl_NKLA[[#This Row],[Move]],0)</f>
        <v>7.68</v>
      </c>
      <c r="P26" s="46">
        <f ca="1">IF(ROW($N26)-5&lt;RSI_Periods, "", AVERAGE(INDIRECT(ADDRESS(ROW($N26)-RSI_Periods +1, MATCH("Upmove", Price_Header,0))): INDIRECT(ADDRESS(ROW($N26),MATCH("Upmove", Price_Header,0)))))</f>
        <v>1.2649998571428571</v>
      </c>
      <c r="Q26" s="46">
        <f ca="1">IF(ROW($O26)-5&lt;RSI_Periods, "", AVERAGE(INDIRECT(ADDRESS(ROW($O26)-RSI_Periods +1, MATCH("Downmove", Price_Header,0))): INDIRECT(ADDRESS(ROW($O26),MATCH("Downmove", Price_Header,0)))))</f>
        <v>1.2764284285714282</v>
      </c>
      <c r="R26" s="46">
        <f ca="1">IF(tbl_NKLA[[#This Row],[Avg_Upmove]]="", "", tbl_NKLA[[#This Row],[Avg_Upmove]]/tbl_NKLA[[#This Row],[Avg_Downmove]])</f>
        <v>0.99104644555640153</v>
      </c>
      <c r="S26" s="10">
        <f ca="1">IF(ROW($N26)-4&lt;BB_Periods, "", _xlfn.STDEV.S(INDIRECT(ADDRESS(ROW($F26)-RSI_Periods +1, MATCH("Adj Close", Price_Header,0))): INDIRECT(ADDRESS(ROW($F26),MATCH("Adj Close", Price_Header,0)))))</f>
        <v>3.3981069379037514</v>
      </c>
    </row>
    <row r="27" spans="1:19" x14ac:dyDescent="0.25">
      <c r="A27">
        <v>44084</v>
      </c>
      <c r="B27">
        <v>38.849997999999999</v>
      </c>
      <c r="C27">
        <v>41</v>
      </c>
      <c r="D27">
        <v>36.75</v>
      </c>
      <c r="E27">
        <v>37.57</v>
      </c>
      <c r="F27">
        <v>37.57</v>
      </c>
      <c r="G27">
        <v>66305900</v>
      </c>
      <c r="H27" s="10">
        <f>IF(tbl_NKLA[[#This Row],[Date]]=$A$5, $F27, EMA_Beta*$H26 + (1-EMA_Beta)*$F27)</f>
        <v>41.030885715048761</v>
      </c>
      <c r="I27" s="46">
        <f ca="1">IF(tbl_NKLA[[#This Row],[RS]]= "", "", 100-(100/(1+tbl_NKLA[[#This Row],[RS]])))</f>
        <v>45.656097661265491</v>
      </c>
      <c r="J27" s="10">
        <f ca="1">IF(ROW($N27)-4&lt;BB_Periods, "", AVERAGE(INDIRECT(ADDRESS(ROW($F27)-RSI_Periods +1, MATCH("Adj Close", Price_Header,0))): INDIRECT(ADDRESS(ROW($F27),MATCH("Adj Close", Price_Header,0)))))</f>
        <v>39.972856714285719</v>
      </c>
      <c r="K27" s="10">
        <f ca="1">IF(tbl_NKLA[[#This Row],[BB_Mean]]="", "", tbl_NKLA[[#This Row],[BB_Mean]]+(BB_Width*tbl_NKLA[[#This Row],[BB_Stdev]]))</f>
        <v>46.89577879072769</v>
      </c>
      <c r="L27" s="10">
        <f ca="1">IF(tbl_NKLA[[#This Row],[BB_Mean]]="", "", tbl_NKLA[[#This Row],[BB_Mean]]-(BB_Width*tbl_NKLA[[#This Row],[BB_Stdev]]))</f>
        <v>33.049934637843748</v>
      </c>
      <c r="M27" s="46">
        <f>IF(ROW(tbl_NKLA[[#This Row],[Adj Close]])=5, 0, $F27-$F26)</f>
        <v>-4.7999989999999997</v>
      </c>
      <c r="N27" s="46">
        <f>MAX(tbl_NKLA[[#This Row],[Move]],0)</f>
        <v>0</v>
      </c>
      <c r="O27" s="46">
        <f>MAX(-tbl_NKLA[[#This Row],[Move]],0)</f>
        <v>4.7999989999999997</v>
      </c>
      <c r="P27" s="46">
        <f ca="1">IF(ROW($N27)-5&lt;RSI_Periods, "", AVERAGE(INDIRECT(ADDRESS(ROW($N27)-RSI_Periods +1, MATCH("Upmove", Price_Header,0))): INDIRECT(ADDRESS(ROW($N27),MATCH("Upmove", Price_Header,0)))))</f>
        <v>1.2649998571428571</v>
      </c>
      <c r="Q27" s="46">
        <f ca="1">IF(ROW($O27)-5&lt;RSI_Periods, "", AVERAGE(INDIRECT(ADDRESS(ROW($O27)-RSI_Periods +1, MATCH("Downmove", Price_Header,0))): INDIRECT(ADDRESS(ROW($O27),MATCH("Downmove", Price_Header,0)))))</f>
        <v>1.5057140714285713</v>
      </c>
      <c r="R27" s="46">
        <f ca="1">IF(tbl_NKLA[[#This Row],[Avg_Upmove]]="", "", tbl_NKLA[[#This Row],[Avg_Upmove]]/tbl_NKLA[[#This Row],[Avg_Downmove]])</f>
        <v>0.84013285201131682</v>
      </c>
      <c r="S27" s="10">
        <f ca="1">IF(ROW($N27)-4&lt;BB_Periods, "", _xlfn.STDEV.S(INDIRECT(ADDRESS(ROW($F27)-RSI_Periods +1, MATCH("Adj Close", Price_Header,0))): INDIRECT(ADDRESS(ROW($F27),MATCH("Adj Close", Price_Header,0)))))</f>
        <v>3.4614610382209872</v>
      </c>
    </row>
    <row r="28" spans="1:19" x14ac:dyDescent="0.25">
      <c r="A28">
        <v>44085</v>
      </c>
      <c r="B28">
        <v>35.5</v>
      </c>
      <c r="C28">
        <v>35.689999</v>
      </c>
      <c r="D28">
        <v>30.780999999999999</v>
      </c>
      <c r="E28">
        <v>32.130001</v>
      </c>
      <c r="F28">
        <v>32.130001</v>
      </c>
      <c r="G28">
        <v>99981400</v>
      </c>
      <c r="H28" s="10">
        <f>IF(tbl_NKLA[[#This Row],[Date]]=$A$5, $F28, EMA_Beta*$H27 + (1-EMA_Beta)*$F28)</f>
        <v>40.140797243543886</v>
      </c>
      <c r="I28" s="46">
        <f ca="1">IF(tbl_NKLA[[#This Row],[RS]]= "", "", 100-(100/(1+tbl_NKLA[[#This Row],[RS]])))</f>
        <v>41.514300259864079</v>
      </c>
      <c r="J28" s="10">
        <f ca="1">IF(ROW($N28)-4&lt;BB_Periods, "", AVERAGE(INDIRECT(ADDRESS(ROW($F28)-RSI_Periods +1, MATCH("Adj Close", Price_Header,0))): INDIRECT(ADDRESS(ROW($F28),MATCH("Adj Close", Price_Header,0)))))</f>
        <v>39.455714</v>
      </c>
      <c r="K28" s="10">
        <f ca="1">IF(tbl_NKLA[[#This Row],[BB_Mean]]="", "", tbl_NKLA[[#This Row],[BB_Mean]]+(BB_Width*tbl_NKLA[[#This Row],[BB_Stdev]]))</f>
        <v>47.554433725276084</v>
      </c>
      <c r="L28" s="10">
        <f ca="1">IF(tbl_NKLA[[#This Row],[BB_Mean]]="", "", tbl_NKLA[[#This Row],[BB_Mean]]-(BB_Width*tbl_NKLA[[#This Row],[BB_Stdev]]))</f>
        <v>31.356994274723913</v>
      </c>
      <c r="M28" s="46">
        <f>IF(ROW(tbl_NKLA[[#This Row],[Adj Close]])=5, 0, $F28-$F27)</f>
        <v>-5.4399990000000003</v>
      </c>
      <c r="N28" s="46">
        <f>MAX(tbl_NKLA[[#This Row],[Move]],0)</f>
        <v>0</v>
      </c>
      <c r="O28" s="46">
        <f>MAX(-tbl_NKLA[[#This Row],[Move]],0)</f>
        <v>5.4399990000000003</v>
      </c>
      <c r="P28" s="46">
        <f ca="1">IF(ROW($N28)-5&lt;RSI_Periods, "", AVERAGE(INDIRECT(ADDRESS(ROW($N28)-RSI_Periods +1, MATCH("Upmove", Price_Header,0))): INDIRECT(ADDRESS(ROW($N28),MATCH("Upmove", Price_Header,0)))))</f>
        <v>1.2649998571428571</v>
      </c>
      <c r="Q28" s="46">
        <f ca="1">IF(ROW($O28)-5&lt;RSI_Periods, "", AVERAGE(INDIRECT(ADDRESS(ROW($O28)-RSI_Periods +1, MATCH("Downmove", Price_Header,0))): INDIRECT(ADDRESS(ROW($O28),MATCH("Downmove", Price_Header,0)))))</f>
        <v>1.7821425714285712</v>
      </c>
      <c r="R28" s="46">
        <f ca="1">IF(tbl_NKLA[[#This Row],[Avg_Upmove]]="", "", tbl_NKLA[[#This Row],[Avg_Upmove]]/tbl_NKLA[[#This Row],[Avg_Downmove]])</f>
        <v>0.70981967291698167</v>
      </c>
      <c r="S28" s="10">
        <f ca="1">IF(ROW($N28)-4&lt;BB_Periods, "", _xlfn.STDEV.S(INDIRECT(ADDRESS(ROW($F28)-RSI_Periods +1, MATCH("Adj Close", Price_Header,0))): INDIRECT(ADDRESS(ROW($F28),MATCH("Adj Close", Price_Header,0)))))</f>
        <v>4.0493598626380436</v>
      </c>
    </row>
    <row r="29" spans="1:19" x14ac:dyDescent="0.25">
      <c r="A29">
        <v>44088</v>
      </c>
      <c r="B29">
        <v>30.51</v>
      </c>
      <c r="C29">
        <v>36.900002000000001</v>
      </c>
      <c r="D29">
        <v>28.75</v>
      </c>
      <c r="E29">
        <v>35.790000999999997</v>
      </c>
      <c r="F29">
        <v>35.790000999999997</v>
      </c>
      <c r="G29">
        <v>112232500</v>
      </c>
      <c r="H29" s="10">
        <f>IF(tbl_NKLA[[#This Row],[Date]]=$A$5, $F29, EMA_Beta*$H28 + (1-EMA_Beta)*$F29)</f>
        <v>39.7057176191895</v>
      </c>
      <c r="I29" s="46">
        <f ca="1">IF(tbl_NKLA[[#This Row],[RS]]= "", "", 100-(100/(1+tbl_NKLA[[#This Row],[RS]])))</f>
        <v>46.822964087155654</v>
      </c>
      <c r="J29" s="10">
        <f ca="1">IF(ROW($N29)-4&lt;BB_Periods, "", AVERAGE(INDIRECT(ADDRESS(ROW($F29)-RSI_Periods +1, MATCH("Adj Close", Price_Header,0))): INDIRECT(ADDRESS(ROW($F29),MATCH("Adj Close", Price_Header,0)))))</f>
        <v>39.248571285714284</v>
      </c>
      <c r="K29" s="10">
        <f ca="1">IF(tbl_NKLA[[#This Row],[BB_Mean]]="", "", tbl_NKLA[[#This Row],[BB_Mean]]+(BB_Width*tbl_NKLA[[#This Row],[BB_Stdev]]))</f>
        <v>47.576753611045532</v>
      </c>
      <c r="L29" s="10">
        <f ca="1">IF(tbl_NKLA[[#This Row],[BB_Mean]]="", "", tbl_NKLA[[#This Row],[BB_Mean]]-(BB_Width*tbl_NKLA[[#This Row],[BB_Stdev]]))</f>
        <v>30.920388960383036</v>
      </c>
      <c r="M29" s="46">
        <f>IF(ROW(tbl_NKLA[[#This Row],[Adj Close]])=5, 0, $F29-$F28)</f>
        <v>3.6599999999999966</v>
      </c>
      <c r="N29" s="46">
        <f>MAX(tbl_NKLA[[#This Row],[Move]],0)</f>
        <v>3.6599999999999966</v>
      </c>
      <c r="O29" s="46">
        <f>MAX(-tbl_NKLA[[#This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1.5264284285714282</v>
      </c>
      <c r="Q29" s="46">
        <f ca="1">IF(ROW($O29)-5&lt;RSI_Periods, "", AVERAGE(INDIRECT(ADDRESS(ROW($O29)-RSI_Periods +1, MATCH("Downmove", Price_Header,0))): INDIRECT(ADDRESS(ROW($O29),MATCH("Downmove", Price_Header,0)))))</f>
        <v>1.7335711428571428</v>
      </c>
      <c r="R29" s="46">
        <f ca="1">IF(tbl_NKLA[[#This Row],[Avg_Upmove]]="", "", tbl_NKLA[[#This Row],[Avg_Upmove]]/tbl_NKLA[[#This Row],[Avg_Downmove]])</f>
        <v>0.88051098154280683</v>
      </c>
      <c r="S29" s="10">
        <f ca="1">IF(ROW($N29)-4&lt;BB_Periods, "", _xlfn.STDEV.S(INDIRECT(ADDRESS(ROW($F29)-RSI_Periods +1, MATCH("Adj Close", Price_Header,0))): INDIRECT(ADDRESS(ROW($F29),MATCH("Adj Close", Price_Header,0)))))</f>
        <v>4.1640911626656232</v>
      </c>
    </row>
    <row r="30" spans="1:19" x14ac:dyDescent="0.25">
      <c r="A30">
        <v>44089</v>
      </c>
      <c r="B30">
        <v>33</v>
      </c>
      <c r="C30">
        <v>34.659999999999997</v>
      </c>
      <c r="D30">
        <v>32.060001</v>
      </c>
      <c r="E30">
        <v>32.830002</v>
      </c>
      <c r="F30">
        <v>32.830002</v>
      </c>
      <c r="G30">
        <v>52984900</v>
      </c>
      <c r="H30" s="10">
        <f>IF(tbl_NKLA[[#This Row],[Date]]=$A$5, $F30, EMA_Beta*$H29 + (1-EMA_Beta)*$F30)</f>
        <v>39.018146057270549</v>
      </c>
      <c r="I30" s="46">
        <f ca="1">IF(tbl_NKLA[[#This Row],[RS]]= "", "", 100-(100/(1+tbl_NKLA[[#This Row],[RS]])))</f>
        <v>43.40054140936045</v>
      </c>
      <c r="J30" s="10">
        <f ca="1">IF(ROW($N30)-4&lt;BB_Periods, "", AVERAGE(INDIRECT(ADDRESS(ROW($F30)-RSI_Periods +1, MATCH("Adj Close", Price_Header,0))): INDIRECT(ADDRESS(ROW($F30),MATCH("Adj Close", Price_Header,0)))))</f>
        <v>38.795000000000002</v>
      </c>
      <c r="K30" s="10">
        <f ca="1">IF(tbl_NKLA[[#This Row],[BB_Mean]]="", "", tbl_NKLA[[#This Row],[BB_Mean]]+(BB_Width*tbl_NKLA[[#This Row],[BB_Stdev]]))</f>
        <v>47.80317868793982</v>
      </c>
      <c r="L30" s="10">
        <f ca="1">IF(tbl_NKLA[[#This Row],[BB_Mean]]="", "", tbl_NKLA[[#This Row],[BB_Mean]]-(BB_Width*tbl_NKLA[[#This Row],[BB_Stdev]]))</f>
        <v>29.786821312060184</v>
      </c>
      <c r="M30" s="46">
        <f>IF(ROW(tbl_NKLA[[#This Row],[Adj Close]])=5, 0, $F30-$F29)</f>
        <v>-2.9599989999999963</v>
      </c>
      <c r="N30" s="46">
        <f>MAX(tbl_NKLA[[#This Row],[Move]],0)</f>
        <v>0</v>
      </c>
      <c r="O30" s="46">
        <f>MAX(-tbl_NKLA[[#This Row],[Move]],0)</f>
        <v>2.9599989999999963</v>
      </c>
      <c r="P30" s="46">
        <f ca="1">IF(ROW($N30)-5&lt;RSI_Periods, "", AVERAGE(INDIRECT(ADDRESS(ROW($N30)-RSI_Periods +1, MATCH("Upmove", Price_Header,0))): INDIRECT(ADDRESS(ROW($N30),MATCH("Upmove", Price_Header,0)))))</f>
        <v>1.4914283571428568</v>
      </c>
      <c r="Q30" s="46">
        <f ca="1">IF(ROW($O30)-5&lt;RSI_Periods, "", AVERAGE(INDIRECT(ADDRESS(ROW($O30)-RSI_Periods +1, MATCH("Downmove", Price_Header,0))): INDIRECT(ADDRESS(ROW($O30),MATCH("Downmove", Price_Header,0)))))</f>
        <v>1.9449996428571426</v>
      </c>
      <c r="R30" s="46">
        <f ca="1">IF(tbl_NKLA[[#This Row],[Avg_Upmove]]="", "", tbl_NKLA[[#This Row],[Avg_Upmove]]/tbl_NKLA[[#This Row],[Avg_Downmove]])</f>
        <v>0.76680135269947713</v>
      </c>
      <c r="S30" s="10">
        <f ca="1">IF(ROW($N30)-4&lt;BB_Periods, "", _xlfn.STDEV.S(INDIRECT(ADDRESS(ROW($F30)-RSI_Periods +1, MATCH("Adj Close", Price_Header,0))): INDIRECT(ADDRESS(ROW($F30),MATCH("Adj Close", Price_Header,0)))))</f>
        <v>4.5040893439699099</v>
      </c>
    </row>
    <row r="31" spans="1:19" x14ac:dyDescent="0.25">
      <c r="A31">
        <v>44090</v>
      </c>
      <c r="B31">
        <v>30.389999</v>
      </c>
      <c r="C31">
        <v>34.919998</v>
      </c>
      <c r="D31">
        <v>30.25</v>
      </c>
      <c r="E31">
        <v>33.279998999999997</v>
      </c>
      <c r="F31">
        <v>33.279998999999997</v>
      </c>
      <c r="G31">
        <v>46638100</v>
      </c>
      <c r="H31" s="10">
        <f>IF(tbl_NKLA[[#This Row],[Date]]=$A$5, $F31, EMA_Beta*$H30 + (1-EMA_Beta)*$F31)</f>
        <v>38.444331351543497</v>
      </c>
      <c r="I31" s="46">
        <f ca="1">IF(tbl_NKLA[[#This Row],[RS]]= "", "", 100-(100/(1+tbl_NKLA[[#This Row],[RS]])))</f>
        <v>44.253109684319632</v>
      </c>
      <c r="J31" s="10">
        <f ca="1">IF(ROW($N31)-4&lt;BB_Periods, "", AVERAGE(INDIRECT(ADDRESS(ROW($F31)-RSI_Periods +1, MATCH("Adj Close", Price_Header,0))): INDIRECT(ADDRESS(ROW($F31),MATCH("Adj Close", Price_Header,0)))))</f>
        <v>38.399285642857144</v>
      </c>
      <c r="K31" s="10">
        <f ca="1">IF(tbl_NKLA[[#This Row],[BB_Mean]]="", "", tbl_NKLA[[#This Row],[BB_Mean]]+(BB_Width*tbl_NKLA[[#This Row],[BB_Stdev]]))</f>
        <v>47.87721179926816</v>
      </c>
      <c r="L31" s="10">
        <f ca="1">IF(tbl_NKLA[[#This Row],[BB_Mean]]="", "", tbl_NKLA[[#This Row],[BB_Mean]]-(BB_Width*tbl_NKLA[[#This Row],[BB_Stdev]]))</f>
        <v>28.921359486446129</v>
      </c>
      <c r="M31" s="46">
        <f>IF(ROW(tbl_NKLA[[#This Row],[Adj Close]])=5, 0, $F31-$F30)</f>
        <v>0.44999699999999621</v>
      </c>
      <c r="N31" s="46">
        <f>MAX(tbl_NKLA[[#This Row],[Move]],0)</f>
        <v>0.44999699999999621</v>
      </c>
      <c r="O31" s="46">
        <f>MAX(-tbl_NKLA[[#This Row],[Move]],0)</f>
        <v>0</v>
      </c>
      <c r="P31" s="46">
        <f ca="1">IF(ROW($N31)-5&lt;RSI_Periods, "", AVERAGE(INDIRECT(ADDRESS(ROW($N31)-RSI_Periods +1, MATCH("Upmove", Price_Header,0))): INDIRECT(ADDRESS(ROW($N31),MATCH("Upmove", Price_Header,0)))))</f>
        <v>1.5235709999999993</v>
      </c>
      <c r="Q31" s="46">
        <f ca="1">IF(ROW($O31)-5&lt;RSI_Periods, "", AVERAGE(INDIRECT(ADDRESS(ROW($O31)-RSI_Periods +1, MATCH("Downmove", Price_Header,0))): INDIRECT(ADDRESS(ROW($O31),MATCH("Downmove", Price_Header,0)))))</f>
        <v>1.9192853571428568</v>
      </c>
      <c r="R31" s="46">
        <f ca="1">IF(tbl_NKLA[[#This Row],[Avg_Upmove]]="", "", tbl_NKLA[[#This Row],[Avg_Upmove]]/tbl_NKLA[[#This Row],[Avg_Downmove]])</f>
        <v>0.79382203085635095</v>
      </c>
      <c r="S31" s="10">
        <f ca="1">IF(ROW($N31)-4&lt;BB_Periods, "", _xlfn.STDEV.S(INDIRECT(ADDRESS(ROW($F31)-RSI_Periods +1, MATCH("Adj Close", Price_Header,0))): INDIRECT(ADDRESS(ROW($F31),MATCH("Adj Close", Price_Header,0)))))</f>
        <v>4.7389630782055088</v>
      </c>
    </row>
    <row r="32" spans="1:19" x14ac:dyDescent="0.25">
      <c r="A32">
        <v>44091</v>
      </c>
      <c r="B32">
        <v>32.549999</v>
      </c>
      <c r="C32">
        <v>34.860000999999997</v>
      </c>
      <c r="D32">
        <v>32.5</v>
      </c>
      <c r="E32">
        <v>33.830002</v>
      </c>
      <c r="F32">
        <v>33.830002</v>
      </c>
      <c r="G32">
        <v>24552430</v>
      </c>
      <c r="H32" s="10">
        <f>IF(tbl_NKLA[[#This Row],[Date]]=$A$5, $F32, EMA_Beta*$H31 + (1-EMA_Beta)*$F32)</f>
        <v>37.982898416389148</v>
      </c>
      <c r="I32" s="46">
        <f ca="1">IF(tbl_NKLA[[#This Row],[RS]]= "", "", 100-(100/(1+tbl_NKLA[[#This Row],[RS]])))</f>
        <v>44.322420201031534</v>
      </c>
      <c r="J32" s="10">
        <f ca="1">IF(ROW($N32)-4&lt;BB_Periods, "", AVERAGE(INDIRECT(ADDRESS(ROW($F32)-RSI_Periods +1, MATCH("Adj Close", Price_Header,0))): INDIRECT(ADDRESS(ROW($F32),MATCH("Adj Close", Price_Header,0)))))</f>
        <v>38.007857142857141</v>
      </c>
      <c r="K32" s="10">
        <f ca="1">IF(tbl_NKLA[[#This Row],[BB_Mean]]="", "", tbl_NKLA[[#This Row],[BB_Mean]]+(BB_Width*tbl_NKLA[[#This Row],[BB_Stdev]]))</f>
        <v>47.772076698802636</v>
      </c>
      <c r="L32" s="10">
        <f ca="1">IF(tbl_NKLA[[#This Row],[BB_Mean]]="", "", tbl_NKLA[[#This Row],[BB_Mean]]-(BB_Width*tbl_NKLA[[#This Row],[BB_Stdev]]))</f>
        <v>28.243637586911643</v>
      </c>
      <c r="M32" s="46">
        <f>IF(ROW(tbl_NKLA[[#This Row],[Adj Close]])=5, 0, $F32-$F31)</f>
        <v>0.55000300000000379</v>
      </c>
      <c r="N32" s="46">
        <f>MAX(tbl_NKLA[[#This Row],[Move]],0)</f>
        <v>0.55000300000000379</v>
      </c>
      <c r="O32" s="46">
        <f>MAX(-tbl_NKLA[[#This Row],[Move]],0)</f>
        <v>0</v>
      </c>
      <c r="P32" s="46">
        <f ca="1">IF(ROW($N32)-5&lt;RSI_Periods, "", AVERAGE(INDIRECT(ADDRESS(ROW($N32)-RSI_Periods +1, MATCH("Upmove", Price_Header,0))): INDIRECT(ADDRESS(ROW($N32),MATCH("Upmove", Price_Header,0)))))</f>
        <v>1.5278568571428568</v>
      </c>
      <c r="Q32" s="46">
        <f ca="1">IF(ROW($O32)-5&lt;RSI_Periods, "", AVERAGE(INDIRECT(ADDRESS(ROW($O32)-RSI_Periods +1, MATCH("Downmove", Price_Header,0))): INDIRECT(ADDRESS(ROW($O32),MATCH("Downmove", Price_Header,0)))))</f>
        <v>1.9192853571428568</v>
      </c>
      <c r="R32" s="46">
        <f ca="1">IF(tbl_NKLA[[#This Row],[Avg_Upmove]]="", "", tbl_NKLA[[#This Row],[Avg_Upmove]]/tbl_NKLA[[#This Row],[Avg_Downmove]])</f>
        <v>0.79605507928081121</v>
      </c>
      <c r="S32" s="10">
        <f ca="1">IF(ROW($N32)-4&lt;BB_Periods, "", _xlfn.STDEV.S(INDIRECT(ADDRESS(ROW($F32)-RSI_Periods +1, MATCH("Adj Close", Price_Header,0))): INDIRECT(ADDRESS(ROW($F32),MATCH("Adj Close", Price_Header,0)))))</f>
        <v>4.8821097779727491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opLeftCell="A13" workbookViewId="0">
      <selection activeCell="E32" sqref="E32"/>
    </sheetView>
  </sheetViews>
  <sheetFormatPr defaultRowHeight="15" x14ac:dyDescent="0.25"/>
  <cols>
    <col min="1" max="1" width="9.7109375" bestFit="1" customWidth="1"/>
    <col min="6" max="6" width="11.42578125" customWidth="1"/>
    <col min="7" max="7" width="10.140625" customWidth="1"/>
    <col min="10" max="10" width="11.5703125" customWidth="1"/>
    <col min="11" max="11" width="12" customWidth="1"/>
    <col min="12" max="12" width="11.85546875" customWidth="1"/>
    <col min="14" max="14" width="10.7109375" customWidth="1"/>
    <col min="15" max="15" width="13.28515625" customWidth="1"/>
    <col min="16" max="16" width="15" customWidth="1"/>
    <col min="17" max="17" width="17.5703125" customWidth="1"/>
    <col min="19" max="19" width="11.42578125" customWidth="1"/>
  </cols>
  <sheetData>
    <row r="1" spans="1:19" ht="21" x14ac:dyDescent="0.35">
      <c r="A1" s="41" t="s">
        <v>254</v>
      </c>
      <c r="B1" s="13"/>
      <c r="C1" s="13"/>
      <c r="D1" s="13"/>
      <c r="E1" s="13"/>
      <c r="F1" s="13"/>
    </row>
    <row r="2" spans="1:19" x14ac:dyDescent="0.25">
      <c r="A2" t="s">
        <v>251</v>
      </c>
    </row>
    <row r="4" spans="1:19" x14ac:dyDescent="0.2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25">
      <c r="A5" s="8">
        <v>44053</v>
      </c>
      <c r="B5" s="10">
        <v>6.03</v>
      </c>
      <c r="C5" s="10">
        <v>6.15</v>
      </c>
      <c r="D5" s="10">
        <v>5.99</v>
      </c>
      <c r="E5" s="10">
        <v>6.01</v>
      </c>
      <c r="F5" s="10">
        <v>6.01</v>
      </c>
      <c r="G5">
        <v>23395200</v>
      </c>
      <c r="H5" s="10">
        <f>IF(tbl_SPXS[[#This Row],[Date]]=$A$5, $F5, EMA_Beta*$H4 + (1-EMA_Beta)*$F5)</f>
        <v>6.01</v>
      </c>
      <c r="I5" s="46" t="str">
        <f ca="1">IF(tbl_SPXS[[#This Row],[RS]]= "", "", 100-(100/(1+tbl_SPXS[[#This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IF(tbl_SPXS[[#This Row],[BB_Mean]]="", "", tbl_SPXS[[#This Row],[BB_Mean]]+(BB_Width*tbl_SPXS[[#This Row],[BB_Stdev]]))</f>
        <v/>
      </c>
      <c r="L5" s="10" t="str">
        <f ca="1">IF(tbl_SPXS[[#This Row],[BB_Mean]]="", "", tbl_SPXS[[#This Row],[BB_Mean]]-(BB_Width*tbl_SPXS[[#This Row],[BB_Stdev]]))</f>
        <v/>
      </c>
      <c r="M5" s="46">
        <f>IF(ROW(tbl_SPXS[[#This Row],[Adj Close]])=5, 0, $F5-$F4)</f>
        <v>0</v>
      </c>
      <c r="N5" s="46">
        <f>MAX(tbl_SPXS[[#This Row],[Move]],0)</f>
        <v>0</v>
      </c>
      <c r="O5" s="46">
        <f>MAX(-tbl_SPXS[[#This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IF(tbl_SPXS[[#This Row],[Avg_Upmove]]="", "", tbl_SPXS[[#This Row],[Avg_Upmove]]/tbl_SPXS[[#This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25">
      <c r="A6" s="8">
        <v>44054</v>
      </c>
      <c r="B6" s="10">
        <v>5.93</v>
      </c>
      <c r="C6" s="10">
        <v>6.19</v>
      </c>
      <c r="D6" s="10">
        <v>5.9</v>
      </c>
      <c r="E6" s="10">
        <v>6.15</v>
      </c>
      <c r="F6" s="10">
        <v>6.15</v>
      </c>
      <c r="G6">
        <v>33356300</v>
      </c>
      <c r="H6" s="10">
        <f>IF(tbl_SPXS[[#This Row],[Date]]=$A$5, $F6, EMA_Beta*$H5 + (1-EMA_Beta)*$F6)</f>
        <v>6.024</v>
      </c>
      <c r="I6" s="46" t="str">
        <f ca="1">IF(tbl_SPXS[[#This Row],[RS]]= "", "", 100-(100/(1+tbl_SPXS[[#This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IF(tbl_SPXS[[#This Row],[BB_Mean]]="", "", tbl_SPXS[[#This Row],[BB_Mean]]+(BB_Width*tbl_SPXS[[#This Row],[BB_Stdev]]))</f>
        <v/>
      </c>
      <c r="L6" s="10" t="str">
        <f ca="1">IF(tbl_SPXS[[#This Row],[BB_Mean]]="", "", tbl_SPXS[[#This Row],[BB_Mean]]-(BB_Width*tbl_SPXS[[#This Row],[BB_Stdev]]))</f>
        <v/>
      </c>
      <c r="M6" s="46">
        <f>IF(ROW(tbl_SPXS[[#This Row],[Adj Close]])=5, 0, $F6-$F5)</f>
        <v>0.14000000000000057</v>
      </c>
      <c r="N6" s="46">
        <f>MAX(tbl_SPXS[[#This Row],[Move]],0)</f>
        <v>0.14000000000000057</v>
      </c>
      <c r="O6" s="46">
        <f>MAX(-tbl_SPXS[[#This Row],[Move]],0)</f>
        <v>0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IF(tbl_SPXS[[#This Row],[Avg_Upmove]]="", "", tbl_SPXS[[#This Row],[Avg_Upmove]]/tbl_SPXS[[#This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25">
      <c r="A7" s="8">
        <v>44055</v>
      </c>
      <c r="B7" s="10">
        <v>6.01</v>
      </c>
      <c r="C7" s="10">
        <v>6.01</v>
      </c>
      <c r="D7" s="10">
        <v>5.85</v>
      </c>
      <c r="E7" s="10">
        <v>5.88</v>
      </c>
      <c r="F7" s="10">
        <v>5.88</v>
      </c>
      <c r="G7">
        <v>29073900</v>
      </c>
      <c r="H7" s="10">
        <f>IF(tbl_SPXS[[#This Row],[Date]]=$A$5, $F7, EMA_Beta*$H6 + (1-EMA_Beta)*$F7)</f>
        <v>6.0095999999999998</v>
      </c>
      <c r="I7" s="46" t="str">
        <f ca="1">IF(tbl_SPXS[[#This Row],[RS]]= "", "", 100-(100/(1+tbl_SPXS[[#This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IF(tbl_SPXS[[#This Row],[BB_Mean]]="", "", tbl_SPXS[[#This Row],[BB_Mean]]+(BB_Width*tbl_SPXS[[#This Row],[BB_Stdev]]))</f>
        <v/>
      </c>
      <c r="L7" s="10" t="str">
        <f ca="1">IF(tbl_SPXS[[#This Row],[BB_Mean]]="", "", tbl_SPXS[[#This Row],[BB_Mean]]-(BB_Width*tbl_SPXS[[#This Row],[BB_Stdev]]))</f>
        <v/>
      </c>
      <c r="M7" s="46">
        <f>IF(ROW(tbl_SPXS[[#This Row],[Adj Close]])=5, 0, $F7-$F6)</f>
        <v>-0.27000000000000046</v>
      </c>
      <c r="N7" s="46">
        <f>MAX(tbl_SPXS[[#This Row],[Move]],0)</f>
        <v>0</v>
      </c>
      <c r="O7" s="46">
        <f>MAX(-tbl_SPXS[[#This Row],[Move]],0)</f>
        <v>0.27000000000000046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IF(tbl_SPXS[[#This Row],[Avg_Upmove]]="", "", tbl_SPXS[[#This Row],[Avg_Upmove]]/tbl_SPXS[[#This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25">
      <c r="A8" s="8">
        <v>44056</v>
      </c>
      <c r="B8" s="10">
        <v>5.94</v>
      </c>
      <c r="C8" s="10">
        <v>5.98</v>
      </c>
      <c r="D8" s="10">
        <v>5.85</v>
      </c>
      <c r="E8" s="10">
        <v>5.92</v>
      </c>
      <c r="F8" s="10">
        <v>5.92</v>
      </c>
      <c r="G8">
        <v>26562500</v>
      </c>
      <c r="H8" s="10">
        <f>IF(tbl_SPXS[[#This Row],[Date]]=$A$5, $F8, EMA_Beta*$H7 + (1-EMA_Beta)*$F8)</f>
        <v>6.0006399999999998</v>
      </c>
      <c r="I8" s="46" t="str">
        <f ca="1">IF(tbl_SPXS[[#This Row],[RS]]= "", "", 100-(100/(1+tbl_SPXS[[#This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IF(tbl_SPXS[[#This Row],[BB_Mean]]="", "", tbl_SPXS[[#This Row],[BB_Mean]]+(BB_Width*tbl_SPXS[[#This Row],[BB_Stdev]]))</f>
        <v/>
      </c>
      <c r="L8" s="10" t="str">
        <f ca="1">IF(tbl_SPXS[[#This Row],[BB_Mean]]="", "", tbl_SPXS[[#This Row],[BB_Mean]]-(BB_Width*tbl_SPXS[[#This Row],[BB_Stdev]]))</f>
        <v/>
      </c>
      <c r="M8" s="46">
        <f>IF(ROW(tbl_SPXS[[#This Row],[Adj Close]])=5, 0, $F8-$F7)</f>
        <v>4.0000000000000036E-2</v>
      </c>
      <c r="N8" s="46">
        <f>MAX(tbl_SPXS[[#This Row],[Move]],0)</f>
        <v>4.0000000000000036E-2</v>
      </c>
      <c r="O8" s="46">
        <f>MAX(-tbl_SPXS[[#This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IF(tbl_SPXS[[#This Row],[Avg_Upmove]]="", "", tbl_SPXS[[#This Row],[Avg_Upmove]]/tbl_SPXS[[#This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25">
      <c r="A9" s="8">
        <v>44057</v>
      </c>
      <c r="B9" s="10">
        <v>5.95</v>
      </c>
      <c r="C9" s="10">
        <v>5.98</v>
      </c>
      <c r="D9" s="10">
        <v>5.89</v>
      </c>
      <c r="E9" s="10">
        <v>5.93</v>
      </c>
      <c r="F9" s="10">
        <v>5.93</v>
      </c>
      <c r="G9">
        <v>19229800</v>
      </c>
      <c r="H9" s="10">
        <f>IF(tbl_SPXS[[#This Row],[Date]]=$A$5, $F9, EMA_Beta*$H8 + (1-EMA_Beta)*$F9)</f>
        <v>5.993576</v>
      </c>
      <c r="I9" s="46" t="str">
        <f ca="1">IF(tbl_SPXS[[#This Row],[RS]]= "", "", 100-(100/(1+tbl_SPXS[[#This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IF(tbl_SPXS[[#This Row],[BB_Mean]]="", "", tbl_SPXS[[#This Row],[BB_Mean]]+(BB_Width*tbl_SPXS[[#This Row],[BB_Stdev]]))</f>
        <v/>
      </c>
      <c r="L9" s="10" t="str">
        <f ca="1">IF(tbl_SPXS[[#This Row],[BB_Mean]]="", "", tbl_SPXS[[#This Row],[BB_Mean]]-(BB_Width*tbl_SPXS[[#This Row],[BB_Stdev]]))</f>
        <v/>
      </c>
      <c r="M9" s="46">
        <f>IF(ROW(tbl_SPXS[[#This Row],[Adj Close]])=5, 0, $F9-$F8)</f>
        <v>9.9999999999997868E-3</v>
      </c>
      <c r="N9" s="46">
        <f>MAX(tbl_SPXS[[#This Row],[Move]],0)</f>
        <v>9.9999999999997868E-3</v>
      </c>
      <c r="O9" s="46">
        <f>MAX(-tbl_SPXS[[#This Row],[Move]],0)</f>
        <v>0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IF(tbl_SPXS[[#This Row],[Avg_Upmove]]="", "", tbl_SPXS[[#This Row],[Avg_Upmove]]/tbl_SPXS[[#This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25">
      <c r="A10" s="8">
        <v>44060</v>
      </c>
      <c r="B10" s="10">
        <v>5.87</v>
      </c>
      <c r="C10" s="10">
        <v>5.89</v>
      </c>
      <c r="D10" s="10">
        <v>5.84</v>
      </c>
      <c r="E10" s="10">
        <v>5.87</v>
      </c>
      <c r="F10" s="10">
        <v>5.87</v>
      </c>
      <c r="G10">
        <v>9894600</v>
      </c>
      <c r="H10" s="10">
        <f>IF(tbl_SPXS[[#This Row],[Date]]=$A$5, $F10, EMA_Beta*$H9 + (1-EMA_Beta)*$F10)</f>
        <v>5.9812183999999995</v>
      </c>
      <c r="I10" s="46" t="str">
        <f ca="1">IF(tbl_SPXS[[#This Row],[RS]]= "", "", 100-(100/(1+tbl_SPXS[[#This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IF(tbl_SPXS[[#This Row],[BB_Mean]]="", "", tbl_SPXS[[#This Row],[BB_Mean]]+(BB_Width*tbl_SPXS[[#This Row],[BB_Stdev]]))</f>
        <v/>
      </c>
      <c r="L10" s="10" t="str">
        <f ca="1">IF(tbl_SPXS[[#This Row],[BB_Mean]]="", "", tbl_SPXS[[#This Row],[BB_Mean]]-(BB_Width*tbl_SPXS[[#This Row],[BB_Stdev]]))</f>
        <v/>
      </c>
      <c r="M10" s="46">
        <f>IF(ROW(tbl_SPXS[[#This Row],[Adj Close]])=5, 0, $F10-$F9)</f>
        <v>-5.9999999999999609E-2</v>
      </c>
      <c r="N10" s="46">
        <f>MAX(tbl_SPXS[[#This Row],[Move]],0)</f>
        <v>0</v>
      </c>
      <c r="O10" s="46">
        <f>MAX(-tbl_SPXS[[#This Row],[Move]],0)</f>
        <v>5.9999999999999609E-2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IF(tbl_SPXS[[#This Row],[Avg_Upmove]]="", "", tbl_SPXS[[#This Row],[Avg_Upmove]]/tbl_SPXS[[#This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25">
      <c r="A11" s="8">
        <v>44061</v>
      </c>
      <c r="B11" s="10">
        <v>5.84</v>
      </c>
      <c r="C11" s="10">
        <v>5.94</v>
      </c>
      <c r="D11" s="10">
        <v>5.8</v>
      </c>
      <c r="E11" s="10">
        <v>5.83</v>
      </c>
      <c r="F11" s="10">
        <v>5.83</v>
      </c>
      <c r="G11">
        <v>19266400</v>
      </c>
      <c r="H11" s="10">
        <f>IF(tbl_SPXS[[#This Row],[Date]]=$A$5, $F11, EMA_Beta*$H10 + (1-EMA_Beta)*$F11)</f>
        <v>5.9660965599999995</v>
      </c>
      <c r="I11" s="46" t="str">
        <f ca="1">IF(tbl_SPXS[[#This Row],[RS]]= "", "", 100-(100/(1+tbl_SPXS[[#This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IF(tbl_SPXS[[#This Row],[BB_Mean]]="", "", tbl_SPXS[[#This Row],[BB_Mean]]+(BB_Width*tbl_SPXS[[#This Row],[BB_Stdev]]))</f>
        <v/>
      </c>
      <c r="L11" s="10" t="str">
        <f ca="1">IF(tbl_SPXS[[#This Row],[BB_Mean]]="", "", tbl_SPXS[[#This Row],[BB_Mean]]-(BB_Width*tbl_SPXS[[#This Row],[BB_Stdev]]))</f>
        <v/>
      </c>
      <c r="M11" s="46">
        <f>IF(ROW(tbl_SPXS[[#This Row],[Adj Close]])=5, 0, $F11-$F10)</f>
        <v>-4.0000000000000036E-2</v>
      </c>
      <c r="N11" s="46">
        <f>MAX(tbl_SPXS[[#This Row],[Move]],0)</f>
        <v>0</v>
      </c>
      <c r="O11" s="46">
        <f>MAX(-tbl_SPXS[[#This Row],[Move]],0)</f>
        <v>4.0000000000000036E-2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IF(tbl_SPXS[[#This Row],[Avg_Upmove]]="", "", tbl_SPXS[[#This Row],[Avg_Upmove]]/tbl_SPXS[[#This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25">
      <c r="A12" s="8">
        <v>44062</v>
      </c>
      <c r="B12" s="10">
        <v>5.8</v>
      </c>
      <c r="C12" s="10">
        <v>5.94</v>
      </c>
      <c r="D12" s="10">
        <v>5.78</v>
      </c>
      <c r="E12" s="10">
        <v>5.92</v>
      </c>
      <c r="F12" s="10">
        <v>5.92</v>
      </c>
      <c r="G12">
        <v>32361900</v>
      </c>
      <c r="H12" s="10">
        <f>IF(tbl_SPXS[[#This Row],[Date]]=$A$5, $F12, EMA_Beta*$H11 + (1-EMA_Beta)*$F12)</f>
        <v>5.9614869039999991</v>
      </c>
      <c r="I12" s="46" t="str">
        <f ca="1">IF(tbl_SPXS[[#This Row],[RS]]= "", "", 100-(100/(1+tbl_SPXS[[#This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IF(tbl_SPXS[[#This Row],[BB_Mean]]="", "", tbl_SPXS[[#This Row],[BB_Mean]]+(BB_Width*tbl_SPXS[[#This Row],[BB_Stdev]]))</f>
        <v/>
      </c>
      <c r="L12" s="10" t="str">
        <f ca="1">IF(tbl_SPXS[[#This Row],[BB_Mean]]="", "", tbl_SPXS[[#This Row],[BB_Mean]]-(BB_Width*tbl_SPXS[[#This Row],[BB_Stdev]]))</f>
        <v/>
      </c>
      <c r="M12" s="46">
        <f>IF(ROW(tbl_SPXS[[#This Row],[Adj Close]])=5, 0, $F12-$F11)</f>
        <v>8.9999999999999858E-2</v>
      </c>
      <c r="N12" s="46">
        <f>MAX(tbl_SPXS[[#This Row],[Move]],0)</f>
        <v>8.9999999999999858E-2</v>
      </c>
      <c r="O12" s="46">
        <f>MAX(-tbl_SPXS[[#This Row],[Move]],0)</f>
        <v>0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IF(tbl_SPXS[[#This Row],[Avg_Upmove]]="", "", tbl_SPXS[[#This Row],[Avg_Upmove]]/tbl_SPXS[[#This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25">
      <c r="A13" s="8">
        <v>44063</v>
      </c>
      <c r="B13" s="10">
        <v>6.01</v>
      </c>
      <c r="C13" s="10">
        <v>6.01</v>
      </c>
      <c r="D13" s="10">
        <v>5.82</v>
      </c>
      <c r="E13" s="10">
        <v>5.85</v>
      </c>
      <c r="F13" s="10">
        <v>5.85</v>
      </c>
      <c r="G13">
        <v>20628200</v>
      </c>
      <c r="H13" s="10">
        <f>IF(tbl_SPXS[[#This Row],[Date]]=$A$5, $F13, EMA_Beta*$H12 + (1-EMA_Beta)*$F13)</f>
        <v>5.9503382135999994</v>
      </c>
      <c r="I13" s="46" t="str">
        <f ca="1">IF(tbl_SPXS[[#This Row],[RS]]= "", "", 100-(100/(1+tbl_SPXS[[#This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IF(tbl_SPXS[[#This Row],[BB_Mean]]="", "", tbl_SPXS[[#This Row],[BB_Mean]]+(BB_Width*tbl_SPXS[[#This Row],[BB_Stdev]]))</f>
        <v/>
      </c>
      <c r="L13" s="10" t="str">
        <f ca="1">IF(tbl_SPXS[[#This Row],[BB_Mean]]="", "", tbl_SPXS[[#This Row],[BB_Mean]]-(BB_Width*tbl_SPXS[[#This Row],[BB_Stdev]]))</f>
        <v/>
      </c>
      <c r="M13" s="46">
        <f>IF(ROW(tbl_SPXS[[#This Row],[Adj Close]])=5, 0, $F13-$F12)</f>
        <v>-7.0000000000000284E-2</v>
      </c>
      <c r="N13" s="46">
        <f>MAX(tbl_SPXS[[#This Row],[Move]],0)</f>
        <v>0</v>
      </c>
      <c r="O13" s="46">
        <f>MAX(-tbl_SPXS[[#This Row],[Move]],0)</f>
        <v>7.0000000000000284E-2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IF(tbl_SPXS[[#This Row],[Avg_Upmove]]="", "", tbl_SPXS[[#This Row],[Avg_Upmove]]/tbl_SPXS[[#This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25">
      <c r="A14" s="8">
        <v>44064</v>
      </c>
      <c r="B14" s="10">
        <v>5.86</v>
      </c>
      <c r="C14" s="10">
        <v>5.89</v>
      </c>
      <c r="D14" s="10">
        <v>5.77</v>
      </c>
      <c r="E14" s="10">
        <v>5.77</v>
      </c>
      <c r="F14" s="10">
        <v>5.77</v>
      </c>
      <c r="G14">
        <v>20173700</v>
      </c>
      <c r="H14" s="10">
        <f>IF(tbl_SPXS[[#This Row],[Date]]=$A$5, $F14, EMA_Beta*$H13 + (1-EMA_Beta)*$F14)</f>
        <v>5.9323043922399998</v>
      </c>
      <c r="I14" s="46" t="str">
        <f ca="1">IF(tbl_SPXS[[#This Row],[RS]]= "", "", 100-(100/(1+tbl_SPXS[[#This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IF(tbl_SPXS[[#This Row],[BB_Mean]]="", "", tbl_SPXS[[#This Row],[BB_Mean]]+(BB_Width*tbl_SPXS[[#This Row],[BB_Stdev]]))</f>
        <v/>
      </c>
      <c r="L14" s="10" t="str">
        <f ca="1">IF(tbl_SPXS[[#This Row],[BB_Mean]]="", "", tbl_SPXS[[#This Row],[BB_Mean]]-(BB_Width*tbl_SPXS[[#This Row],[BB_Stdev]]))</f>
        <v/>
      </c>
      <c r="M14" s="46">
        <f>IF(ROW(tbl_SPXS[[#This Row],[Adj Close]])=5, 0, $F14-$F13)</f>
        <v>-8.0000000000000071E-2</v>
      </c>
      <c r="N14" s="46">
        <f>MAX(tbl_SPXS[[#This Row],[Move]],0)</f>
        <v>0</v>
      </c>
      <c r="O14" s="46">
        <f>MAX(-tbl_SPXS[[#This Row],[Move]],0)</f>
        <v>8.0000000000000071E-2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IF(tbl_SPXS[[#This Row],[Avg_Upmove]]="", "", tbl_SPXS[[#This Row],[Avg_Upmove]]/tbl_SPXS[[#This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25">
      <c r="A15" s="8">
        <v>44067</v>
      </c>
      <c r="B15" s="10">
        <v>5.64</v>
      </c>
      <c r="C15" s="10">
        <v>5.71</v>
      </c>
      <c r="D15" s="10">
        <v>5.6</v>
      </c>
      <c r="E15" s="10">
        <v>5.6</v>
      </c>
      <c r="F15" s="10">
        <v>5.6</v>
      </c>
      <c r="G15">
        <v>25405500</v>
      </c>
      <c r="H15" s="10">
        <f>IF(tbl_SPXS[[#This Row],[Date]]=$A$5, $F15, EMA_Beta*$H14 + (1-EMA_Beta)*$F15)</f>
        <v>5.8990739530159999</v>
      </c>
      <c r="I15" s="46" t="str">
        <f ca="1">IF(tbl_SPXS[[#This Row],[RS]]= "", "", 100-(100/(1+tbl_SPXS[[#This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IF(tbl_SPXS[[#This Row],[BB_Mean]]="", "", tbl_SPXS[[#This Row],[BB_Mean]]+(BB_Width*tbl_SPXS[[#This Row],[BB_Stdev]]))</f>
        <v/>
      </c>
      <c r="L15" s="10" t="str">
        <f ca="1">IF(tbl_SPXS[[#This Row],[BB_Mean]]="", "", tbl_SPXS[[#This Row],[BB_Mean]]-(BB_Width*tbl_SPXS[[#This Row],[BB_Stdev]]))</f>
        <v/>
      </c>
      <c r="M15" s="46">
        <f>IF(ROW(tbl_SPXS[[#This Row],[Adj Close]])=5, 0, $F15-$F14)</f>
        <v>-0.16999999999999993</v>
      </c>
      <c r="N15" s="46">
        <f>MAX(tbl_SPXS[[#This Row],[Move]],0)</f>
        <v>0</v>
      </c>
      <c r="O15" s="46">
        <f>MAX(-tbl_SPXS[[#This Row],[Move]],0)</f>
        <v>0.16999999999999993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IF(tbl_SPXS[[#This Row],[Avg_Upmove]]="", "", tbl_SPXS[[#This Row],[Avg_Upmove]]/tbl_SPXS[[#This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25">
      <c r="A16" s="8">
        <v>44068</v>
      </c>
      <c r="B16" s="10">
        <v>5.58</v>
      </c>
      <c r="C16" s="10">
        <v>5.64</v>
      </c>
      <c r="D16" s="10">
        <v>5.54</v>
      </c>
      <c r="E16" s="10">
        <v>5.55</v>
      </c>
      <c r="F16" s="10">
        <v>5.55</v>
      </c>
      <c r="G16">
        <v>19978500</v>
      </c>
      <c r="H16" s="10">
        <f>IF(tbl_SPXS[[#This Row],[Date]]=$A$5, $F16, EMA_Beta*$H15 + (1-EMA_Beta)*$F16)</f>
        <v>5.8641665577144</v>
      </c>
      <c r="I16" s="46" t="str">
        <f ca="1">IF(tbl_SPXS[[#This Row],[RS]]= "", "", 100-(100/(1+tbl_SPXS[[#This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IF(tbl_SPXS[[#This Row],[BB_Mean]]="", "", tbl_SPXS[[#This Row],[BB_Mean]]+(BB_Width*tbl_SPXS[[#This Row],[BB_Stdev]]))</f>
        <v/>
      </c>
      <c r="L16" s="10" t="str">
        <f ca="1">IF(tbl_SPXS[[#This Row],[BB_Mean]]="", "", tbl_SPXS[[#This Row],[BB_Mean]]-(BB_Width*tbl_SPXS[[#This Row],[BB_Stdev]]))</f>
        <v/>
      </c>
      <c r="M16" s="46">
        <f>IF(ROW(tbl_SPXS[[#This Row],[Adj Close]])=5, 0, $F16-$F15)</f>
        <v>-4.9999999999999822E-2</v>
      </c>
      <c r="N16" s="46">
        <f>MAX(tbl_SPXS[[#This Row],[Move]],0)</f>
        <v>0</v>
      </c>
      <c r="O16" s="46">
        <f>MAX(-tbl_SPXS[[#This Row],[Move]],0)</f>
        <v>4.9999999999999822E-2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IF(tbl_SPXS[[#This Row],[Avg_Upmove]]="", "", tbl_SPXS[[#This Row],[Avg_Upmove]]/tbl_SPXS[[#This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25">
      <c r="A17" s="8">
        <v>44069</v>
      </c>
      <c r="B17" s="10">
        <v>5.52</v>
      </c>
      <c r="C17" s="10">
        <v>5.55</v>
      </c>
      <c r="D17" s="10">
        <v>5.37</v>
      </c>
      <c r="E17" s="10">
        <v>5.38</v>
      </c>
      <c r="F17" s="10">
        <v>5.38</v>
      </c>
      <c r="G17">
        <v>24636400</v>
      </c>
      <c r="H17" s="10">
        <f>IF(tbl_SPXS[[#This Row],[Date]]=$A$5, $F17, EMA_Beta*$H16 + (1-EMA_Beta)*$F17)</f>
        <v>5.8157499019429606</v>
      </c>
      <c r="I17" s="46" t="str">
        <f ca="1">IF(tbl_SPXS[[#This Row],[RS]]= "", "", 100-(100/(1+tbl_SPXS[[#This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IF(tbl_SPXS[[#This Row],[BB_Mean]]="", "", tbl_SPXS[[#This Row],[BB_Mean]]+(BB_Width*tbl_SPXS[[#This Row],[BB_Stdev]]))</f>
        <v/>
      </c>
      <c r="L17" s="10" t="str">
        <f ca="1">IF(tbl_SPXS[[#This Row],[BB_Mean]]="", "", tbl_SPXS[[#This Row],[BB_Mean]]-(BB_Width*tbl_SPXS[[#This Row],[BB_Stdev]]))</f>
        <v/>
      </c>
      <c r="M17" s="46">
        <f>IF(ROW(tbl_SPXS[[#This Row],[Adj Close]])=5, 0, $F17-$F16)</f>
        <v>-0.16999999999999993</v>
      </c>
      <c r="N17" s="46">
        <f>MAX(tbl_SPXS[[#This Row],[Move]],0)</f>
        <v>0</v>
      </c>
      <c r="O17" s="46">
        <f>MAX(-tbl_SPXS[[#This Row],[Move]],0)</f>
        <v>0.16999999999999993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IF(tbl_SPXS[[#This Row],[Avg_Upmove]]="", "", tbl_SPXS[[#This Row],[Avg_Upmove]]/tbl_SPXS[[#This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25">
      <c r="A18" s="8">
        <v>44070</v>
      </c>
      <c r="B18" s="10">
        <v>5.34</v>
      </c>
      <c r="C18" s="10">
        <v>5.43</v>
      </c>
      <c r="D18" s="10">
        <v>5.27</v>
      </c>
      <c r="E18" s="10">
        <v>5.36</v>
      </c>
      <c r="F18" s="10">
        <v>5.36</v>
      </c>
      <c r="G18">
        <v>42728500</v>
      </c>
      <c r="H18" s="10">
        <f>IF(tbl_SPXS[[#This Row],[Date]]=$A$5, $F18, EMA_Beta*$H17 + (1-EMA_Beta)*$F18)</f>
        <v>5.770174911748664</v>
      </c>
      <c r="I18" s="46" t="str">
        <f ca="1">IF(tbl_SPXS[[#This Row],[RS]]= "", "", 100-(100/(1+tbl_SPXS[[#This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5.7871428571428556</v>
      </c>
      <c r="K18" s="10">
        <f ca="1">IF(tbl_SPXS[[#This Row],[BB_Mean]]="", "", tbl_SPXS[[#This Row],[BB_Mean]]+(BB_Width*tbl_SPXS[[#This Row],[BB_Stdev]]))</f>
        <v>6.2506033240605898</v>
      </c>
      <c r="L18" s="10">
        <f ca="1">IF(tbl_SPXS[[#This Row],[BB_Mean]]="", "", tbl_SPXS[[#This Row],[BB_Mean]]-(BB_Width*tbl_SPXS[[#This Row],[BB_Stdev]]))</f>
        <v>5.3236823902251214</v>
      </c>
      <c r="M18" s="46">
        <f>IF(ROW(tbl_SPXS[[#This Row],[Adj Close]])=5, 0, $F18-$F17)</f>
        <v>-1.9999999999999574E-2</v>
      </c>
      <c r="N18" s="46">
        <f>MAX(tbl_SPXS[[#This Row],[Move]],0)</f>
        <v>0</v>
      </c>
      <c r="O18" s="46">
        <f>MAX(-tbl_SPXS[[#This Row],[Move]],0)</f>
        <v>1.9999999999999574E-2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IF(tbl_SPXS[[#This Row],[Avg_Upmove]]="", "", tbl_SPXS[[#This Row],[Avg_Upmove]]/tbl_SPXS[[#This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0.2317302334588672</v>
      </c>
    </row>
    <row r="19" spans="1:19" x14ac:dyDescent="0.25">
      <c r="A19" s="8">
        <v>44071</v>
      </c>
      <c r="B19" s="10">
        <v>5.3</v>
      </c>
      <c r="C19" s="10">
        <v>5.36</v>
      </c>
      <c r="D19" s="10">
        <v>5.23</v>
      </c>
      <c r="E19" s="10">
        <v>5.23</v>
      </c>
      <c r="F19" s="10">
        <v>5.23</v>
      </c>
      <c r="G19">
        <v>30955000</v>
      </c>
      <c r="H19" s="10">
        <f>IF(tbl_SPXS[[#This Row],[Date]]=$A$5, $F19, EMA_Beta*$H18 + (1-EMA_Beta)*$F19)</f>
        <v>5.7161574205737971</v>
      </c>
      <c r="I19" s="46">
        <f ca="1">IF(tbl_SPXS[[#This Row],[RS]]= "", "", 100-(100/(1+tbl_SPXS[[#This Row],[RS]])))</f>
        <v>20.895522388059732</v>
      </c>
      <c r="J19" s="10">
        <f ca="1">IF(ROW($N19)-4&lt;BB_Periods, "", AVERAGE(INDIRECT(ADDRESS(ROW($F19)-RSI_Periods +1, MATCH("Adj Close", Price_Header,0))): INDIRECT(ADDRESS(ROW($F19),MATCH("Adj Close", Price_Header,0)))))</f>
        <v>5.7314285714285722</v>
      </c>
      <c r="K19" s="10">
        <f ca="1">IF(tbl_SPXS[[#This Row],[BB_Mean]]="", "", tbl_SPXS[[#This Row],[BB_Mean]]+(BB_Width*tbl_SPXS[[#This Row],[BB_Stdev]]))</f>
        <v>6.2621382352304922</v>
      </c>
      <c r="L19" s="10">
        <f ca="1">IF(tbl_SPXS[[#This Row],[BB_Mean]]="", "", tbl_SPXS[[#This Row],[BB_Mean]]-(BB_Width*tbl_SPXS[[#This Row],[BB_Stdev]]))</f>
        <v>5.2007189076266522</v>
      </c>
      <c r="M19" s="46">
        <f>IF(ROW(tbl_SPXS[[#This Row],[Adj Close]])=5, 0, $F19-$F18)</f>
        <v>-0.12999999999999989</v>
      </c>
      <c r="N19" s="46">
        <f>MAX(tbl_SPXS[[#This Row],[Move]],0)</f>
        <v>0</v>
      </c>
      <c r="O19" s="46">
        <f>MAX(-tbl_SPXS[[#This Row],[Move]],0)</f>
        <v>0.12999999999999989</v>
      </c>
      <c r="P19" s="46">
        <f ca="1">IF(ROW($N19)-5&lt;RSI_Periods, "", AVERAGE(INDIRECT(ADDRESS(ROW($N19)-RSI_Periods +1, MATCH("Upmove", Price_Header,0))): INDIRECT(ADDRESS(ROW($N19),MATCH("Upmove", Price_Header,0)))))</f>
        <v>2.0000000000000018E-2</v>
      </c>
      <c r="Q19" s="46">
        <f ca="1">IF(ROW($O19)-5&lt;RSI_Periods, "", AVERAGE(INDIRECT(ADDRESS(ROW($O19)-RSI_Periods +1, MATCH("Downmove", Price_Header,0))): INDIRECT(ADDRESS(ROW($O19),MATCH("Downmove", Price_Header,0)))))</f>
        <v>7.5714285714285692E-2</v>
      </c>
      <c r="R19" s="46">
        <f ca="1">IF(tbl_SPXS[[#This Row],[Avg_Upmove]]="", "", tbl_SPXS[[#This Row],[Avg_Upmove]]/tbl_SPXS[[#This Row],[Avg_Downmove]])</f>
        <v>0.26415094339622675</v>
      </c>
      <c r="S19" s="10">
        <f ca="1">IF(ROW($N19)-4&lt;BB_Periods, "", _xlfn.STDEV.S(INDIRECT(ADDRESS(ROW($F19)-RSI_Periods +1, MATCH("Adj Close", Price_Header,0))): INDIRECT(ADDRESS(ROW($F19),MATCH("Adj Close", Price_Header,0)))))</f>
        <v>0.2653548319009601</v>
      </c>
    </row>
    <row r="20" spans="1:19" x14ac:dyDescent="0.25">
      <c r="A20" s="8">
        <v>44074</v>
      </c>
      <c r="B20" s="10">
        <v>5.25</v>
      </c>
      <c r="C20" s="10">
        <v>5.31</v>
      </c>
      <c r="D20" s="10">
        <v>5.21</v>
      </c>
      <c r="E20" s="10">
        <v>5.3</v>
      </c>
      <c r="F20" s="10">
        <v>5.3</v>
      </c>
      <c r="G20">
        <v>26924400</v>
      </c>
      <c r="H20" s="10">
        <f>IF(tbl_SPXS[[#This Row],[Date]]=$A$5, $F20, EMA_Beta*$H19 + (1-EMA_Beta)*$F20)</f>
        <v>5.6745416785164178</v>
      </c>
      <c r="I20" s="46">
        <f ca="1">IF(tbl_SPXS[[#This Row],[RS]]= "", "", 100-(100/(1+tbl_SPXS[[#This Row],[RS]])))</f>
        <v>16.535433070866091</v>
      </c>
      <c r="J20" s="10">
        <f ca="1">IF(ROW($N20)-4&lt;BB_Periods, "", AVERAGE(INDIRECT(ADDRESS(ROW($F20)-RSI_Periods +1, MATCH("Adj Close", Price_Header,0))): INDIRECT(ADDRESS(ROW($F20),MATCH("Adj Close", Price_Header,0)))))</f>
        <v>5.6707142857142854</v>
      </c>
      <c r="K20" s="10">
        <f ca="1">IF(tbl_SPXS[[#This Row],[BB_Mean]]="", "", tbl_SPXS[[#This Row],[BB_Mean]]+(BB_Width*tbl_SPXS[[#This Row],[BB_Stdev]]))</f>
        <v>6.1894977316108015</v>
      </c>
      <c r="L20" s="10">
        <f ca="1">IF(tbl_SPXS[[#This Row],[BB_Mean]]="", "", tbl_SPXS[[#This Row],[BB_Mean]]-(BB_Width*tbl_SPXS[[#This Row],[BB_Stdev]]))</f>
        <v>5.1519308398177692</v>
      </c>
      <c r="M20" s="46">
        <f>IF(ROW(tbl_SPXS[[#This Row],[Adj Close]])=5, 0, $F20-$F19)</f>
        <v>6.9999999999999396E-2</v>
      </c>
      <c r="N20" s="46">
        <f>MAX(tbl_SPXS[[#This Row],[Move]],0)</f>
        <v>6.9999999999999396E-2</v>
      </c>
      <c r="O20" s="46">
        <f>MAX(-tbl_SPXS[[#This Row],[Move]],0)</f>
        <v>0</v>
      </c>
      <c r="P20" s="46">
        <f ca="1">IF(ROW($N20)-5&lt;RSI_Periods, "", AVERAGE(INDIRECT(ADDRESS(ROW($N20)-RSI_Periods +1, MATCH("Upmove", Price_Header,0))): INDIRECT(ADDRESS(ROW($N20),MATCH("Upmove", Price_Header,0)))))</f>
        <v>1.4999999999999934E-2</v>
      </c>
      <c r="Q20" s="46">
        <f ca="1">IF(ROW($O20)-5&lt;RSI_Periods, "", AVERAGE(INDIRECT(ADDRESS(ROW($O20)-RSI_Periods +1, MATCH("Downmove", Price_Header,0))): INDIRECT(ADDRESS(ROW($O20),MATCH("Downmove", Price_Header,0)))))</f>
        <v>7.5714285714285692E-2</v>
      </c>
      <c r="R20" s="46">
        <f ca="1">IF(tbl_SPXS[[#This Row],[Avg_Upmove]]="", "", tbl_SPXS[[#This Row],[Avg_Upmove]]/tbl_SPXS[[#This Row],[Avg_Downmove]])</f>
        <v>0.19811320754716899</v>
      </c>
      <c r="S20" s="10">
        <f ca="1">IF(ROW($N20)-4&lt;BB_Periods, "", _xlfn.STDEV.S(INDIRECT(ADDRESS(ROW($F20)-RSI_Periods +1, MATCH("Adj Close", Price_Header,0))): INDIRECT(ADDRESS(ROW($F20),MATCH("Adj Close", Price_Header,0)))))</f>
        <v>0.25939172294825807</v>
      </c>
    </row>
    <row r="21" spans="1:19" x14ac:dyDescent="0.25">
      <c r="A21" s="8">
        <v>44075</v>
      </c>
      <c r="B21" s="10">
        <v>5.26</v>
      </c>
      <c r="C21" s="10">
        <v>5.3</v>
      </c>
      <c r="D21" s="10">
        <v>5.14</v>
      </c>
      <c r="E21" s="10">
        <v>5.14</v>
      </c>
      <c r="F21" s="10">
        <v>5.14</v>
      </c>
      <c r="G21">
        <v>22205200</v>
      </c>
      <c r="H21" s="10">
        <f>IF(tbl_SPXS[[#This Row],[Date]]=$A$5, $F21, EMA_Beta*$H20 + (1-EMA_Beta)*$F21)</f>
        <v>5.6210875106647764</v>
      </c>
      <c r="I21" s="46">
        <f ca="1">IF(tbl_SPXS[[#This Row],[RS]]= "", "", 100-(100/(1+tbl_SPXS[[#This Row],[RS]])))</f>
        <v>18.103448275862007</v>
      </c>
      <c r="J21" s="10">
        <f ca="1">IF(ROW($N21)-4&lt;BB_Periods, "", AVERAGE(INDIRECT(ADDRESS(ROW($F21)-RSI_Periods +1, MATCH("Adj Close", Price_Header,0))): INDIRECT(ADDRESS(ROW($F21),MATCH("Adj Close", Price_Header,0)))))</f>
        <v>5.6178571428571429</v>
      </c>
      <c r="K21" s="10">
        <f ca="1">IF(tbl_SPXS[[#This Row],[BB_Mean]]="", "", tbl_SPXS[[#This Row],[BB_Mean]]+(BB_Width*tbl_SPXS[[#This Row],[BB_Stdev]]))</f>
        <v>6.1925639481830519</v>
      </c>
      <c r="L21" s="10">
        <f ca="1">IF(tbl_SPXS[[#This Row],[BB_Mean]]="", "", tbl_SPXS[[#This Row],[BB_Mean]]-(BB_Width*tbl_SPXS[[#This Row],[BB_Stdev]]))</f>
        <v>5.0431503375312339</v>
      </c>
      <c r="M21" s="46">
        <f>IF(ROW(tbl_SPXS[[#This Row],[Adj Close]])=5, 0, $F21-$F20)</f>
        <v>-0.16000000000000014</v>
      </c>
      <c r="N21" s="46">
        <f>MAX(tbl_SPXS[[#This Row],[Move]],0)</f>
        <v>0</v>
      </c>
      <c r="O21" s="46">
        <f>MAX(-tbl_SPXS[[#This Row],[Move]],0)</f>
        <v>0.16000000000000014</v>
      </c>
      <c r="P21" s="46">
        <f ca="1">IF(ROW($N21)-5&lt;RSI_Periods, "", AVERAGE(INDIRECT(ADDRESS(ROW($N21)-RSI_Periods +1, MATCH("Upmove", Price_Header,0))): INDIRECT(ADDRESS(ROW($N21),MATCH("Upmove", Price_Header,0)))))</f>
        <v>1.4999999999999934E-2</v>
      </c>
      <c r="Q21" s="46">
        <f ca="1">IF(ROW($O21)-5&lt;RSI_Periods, "", AVERAGE(INDIRECT(ADDRESS(ROW($O21)-RSI_Periods +1, MATCH("Downmove", Price_Header,0))): INDIRECT(ADDRESS(ROW($O21),MATCH("Downmove", Price_Header,0)))))</f>
        <v>6.785714285714281E-2</v>
      </c>
      <c r="R21" s="46">
        <f ca="1">IF(tbl_SPXS[[#This Row],[Avg_Upmove]]="", "", tbl_SPXS[[#This Row],[Avg_Upmove]]/tbl_SPXS[[#This Row],[Avg_Downmove]])</f>
        <v>0.22105263157894653</v>
      </c>
      <c r="S21" s="10">
        <f ca="1">IF(ROW($N21)-4&lt;BB_Periods, "", _xlfn.STDEV.S(INDIRECT(ADDRESS(ROW($F21)-RSI_Periods +1, MATCH("Adj Close", Price_Header,0))): INDIRECT(ADDRESS(ROW($F21),MATCH("Adj Close", Price_Header,0)))))</f>
        <v>0.28735340266295439</v>
      </c>
    </row>
    <row r="22" spans="1:19" x14ac:dyDescent="0.25">
      <c r="A22" s="8">
        <v>44076</v>
      </c>
      <c r="B22" s="10">
        <v>5.05</v>
      </c>
      <c r="C22" s="10">
        <v>5.12</v>
      </c>
      <c r="D22" s="10">
        <v>4.88</v>
      </c>
      <c r="E22" s="10">
        <v>4.93</v>
      </c>
      <c r="F22" s="10">
        <v>4.93</v>
      </c>
      <c r="G22">
        <v>42878300</v>
      </c>
      <c r="H22" s="10">
        <f>IF(tbl_SPXS[[#This Row],[Date]]=$A$5, $F22, EMA_Beta*$H21 + (1-EMA_Beta)*$F22)</f>
        <v>5.551978759598299</v>
      </c>
      <c r="I22" s="46">
        <f ca="1">IF(tbl_SPXS[[#This Row],[RS]]= "", "", 100-(100/(1+tbl_SPXS[[#This Row],[RS]])))</f>
        <v>12.781954887217992</v>
      </c>
      <c r="J22" s="10">
        <f ca="1">IF(ROW($N22)-4&lt;BB_Periods, "", AVERAGE(INDIRECT(ADDRESS(ROW($F22)-RSI_Periods +1, MATCH("Adj Close", Price_Header,0))): INDIRECT(ADDRESS(ROW($F22),MATCH("Adj Close", Price_Header,0)))))</f>
        <v>5.5471428571428572</v>
      </c>
      <c r="K22" s="10">
        <f ca="1">IF(tbl_SPXS[[#This Row],[BB_Mean]]="", "", tbl_SPXS[[#This Row],[BB_Mean]]+(BB_Width*tbl_SPXS[[#This Row],[BB_Stdev]]))</f>
        <v>6.2000147881076968</v>
      </c>
      <c r="L22" s="10">
        <f ca="1">IF(tbl_SPXS[[#This Row],[BB_Mean]]="", "", tbl_SPXS[[#This Row],[BB_Mean]]-(BB_Width*tbl_SPXS[[#This Row],[BB_Stdev]]))</f>
        <v>4.8942709261780175</v>
      </c>
      <c r="M22" s="46">
        <f>IF(ROW(tbl_SPXS[[#This Row],[Adj Close]])=5, 0, $F22-$F21)</f>
        <v>-0.20999999999999996</v>
      </c>
      <c r="N22" s="46">
        <f>MAX(tbl_SPXS[[#This Row],[Move]],0)</f>
        <v>0</v>
      </c>
      <c r="O22" s="46">
        <f>MAX(-tbl_SPXS[[#This Row],[Move]],0)</f>
        <v>0.20999999999999996</v>
      </c>
      <c r="P22" s="46">
        <f ca="1">IF(ROW($N22)-5&lt;RSI_Periods, "", AVERAGE(INDIRECT(ADDRESS(ROW($N22)-RSI_Periods +1, MATCH("Upmove", Price_Header,0))): INDIRECT(ADDRESS(ROW($N22),MATCH("Upmove", Price_Header,0)))))</f>
        <v>1.2142857142857075E-2</v>
      </c>
      <c r="Q22" s="46">
        <f ca="1">IF(ROW($O22)-5&lt;RSI_Periods, "", AVERAGE(INDIRECT(ADDRESS(ROW($O22)-RSI_Periods +1, MATCH("Downmove", Price_Header,0))): INDIRECT(ADDRESS(ROW($O22),MATCH("Downmove", Price_Header,0)))))</f>
        <v>8.285714285714281E-2</v>
      </c>
      <c r="R22" s="46">
        <f ca="1">IF(tbl_SPXS[[#This Row],[Avg_Upmove]]="", "", tbl_SPXS[[#This Row],[Avg_Upmove]]/tbl_SPXS[[#This Row],[Avg_Downmove]])</f>
        <v>0.1465517241379303</v>
      </c>
      <c r="S22" s="10">
        <f ca="1">IF(ROW($N22)-4&lt;BB_Periods, "", _xlfn.STDEV.S(INDIRECT(ADDRESS(ROW($F22)-RSI_Periods +1, MATCH("Adj Close", Price_Header,0))): INDIRECT(ADDRESS(ROW($F22),MATCH("Adj Close", Price_Header,0)))))</f>
        <v>0.32643596548241977</v>
      </c>
    </row>
    <row r="23" spans="1:19" x14ac:dyDescent="0.25">
      <c r="A23" s="8">
        <v>44077</v>
      </c>
      <c r="B23" s="10">
        <v>5.01</v>
      </c>
      <c r="C23" s="10">
        <v>5.55</v>
      </c>
      <c r="D23" s="10">
        <v>4.9800000000000004</v>
      </c>
      <c r="E23" s="10">
        <v>5.42</v>
      </c>
      <c r="F23" s="10">
        <v>5.42</v>
      </c>
      <c r="G23">
        <v>88450100</v>
      </c>
      <c r="H23" s="10">
        <f>IF(tbl_SPXS[[#This Row],[Date]]=$A$5, $F23, EMA_Beta*$H22 + (1-EMA_Beta)*$F23)</f>
        <v>5.5387808836384691</v>
      </c>
      <c r="I23" s="46">
        <f ca="1">IF(tbl_SPXS[[#This Row],[RS]]= "", "", 100-(100/(1+tbl_SPXS[[#This Row],[RS]])))</f>
        <v>35.911602209944746</v>
      </c>
      <c r="J23" s="10">
        <f ca="1">IF(ROW($N23)-4&lt;BB_Periods, "", AVERAGE(INDIRECT(ADDRESS(ROW($F23)-RSI_Periods +1, MATCH("Adj Close", Price_Header,0))): INDIRECT(ADDRESS(ROW($F23),MATCH("Adj Close", Price_Header,0)))))</f>
        <v>5.5107142857142852</v>
      </c>
      <c r="K23" s="10">
        <f ca="1">IF(tbl_SPXS[[#This Row],[BB_Mean]]="", "", tbl_SPXS[[#This Row],[BB_Mean]]+(BB_Width*tbl_SPXS[[#This Row],[BB_Stdev]]))</f>
        <v>6.1274782618006016</v>
      </c>
      <c r="L23" s="10">
        <f ca="1">IF(tbl_SPXS[[#This Row],[BB_Mean]]="", "", tbl_SPXS[[#This Row],[BB_Mean]]-(BB_Width*tbl_SPXS[[#This Row],[BB_Stdev]]))</f>
        <v>4.8939503096279688</v>
      </c>
      <c r="M23" s="46">
        <f>IF(ROW(tbl_SPXS[[#This Row],[Adj Close]])=5, 0, $F23-$F22)</f>
        <v>0.49000000000000021</v>
      </c>
      <c r="N23" s="46">
        <f>MAX(tbl_SPXS[[#This Row],[Move]],0)</f>
        <v>0.49000000000000021</v>
      </c>
      <c r="O23" s="46">
        <f>MAX(-tbl_SPXS[[#This Row],[Move]],0)</f>
        <v>0</v>
      </c>
      <c r="P23" s="46">
        <f ca="1">IF(ROW($N23)-5&lt;RSI_Periods, "", AVERAGE(INDIRECT(ADDRESS(ROW($N23)-RSI_Periods +1, MATCH("Upmove", Price_Header,0))): INDIRECT(ADDRESS(ROW($N23),MATCH("Upmove", Price_Header,0)))))</f>
        <v>4.6428571428571389E-2</v>
      </c>
      <c r="Q23" s="46">
        <f ca="1">IF(ROW($O23)-5&lt;RSI_Periods, "", AVERAGE(INDIRECT(ADDRESS(ROW($O23)-RSI_Periods +1, MATCH("Downmove", Price_Header,0))): INDIRECT(ADDRESS(ROW($O23),MATCH("Downmove", Price_Header,0)))))</f>
        <v>8.285714285714281E-2</v>
      </c>
      <c r="R23" s="46">
        <f ca="1">IF(tbl_SPXS[[#This Row],[Avg_Upmove]]="", "", tbl_SPXS[[#This Row],[Avg_Upmove]]/tbl_SPXS[[#This Row],[Avg_Downmove]])</f>
        <v>0.56034482758620674</v>
      </c>
      <c r="S23" s="10">
        <f ca="1">IF(ROW($N23)-4&lt;BB_Periods, "", _xlfn.STDEV.S(INDIRECT(ADDRESS(ROW($F23)-RSI_Periods +1, MATCH("Adj Close", Price_Header,0))): INDIRECT(ADDRESS(ROW($F23),MATCH("Adj Close", Price_Header,0)))))</f>
        <v>0.30838198804315814</v>
      </c>
    </row>
    <row r="24" spans="1:19" x14ac:dyDescent="0.25">
      <c r="A24" s="8">
        <v>44078</v>
      </c>
      <c r="B24" s="10">
        <v>5.41</v>
      </c>
      <c r="C24" s="10">
        <v>5.93</v>
      </c>
      <c r="D24" s="10">
        <v>5.31</v>
      </c>
      <c r="E24" s="10">
        <v>5.56</v>
      </c>
      <c r="F24" s="10">
        <v>5.56</v>
      </c>
      <c r="G24">
        <v>92197800</v>
      </c>
      <c r="H24" s="10">
        <f>IF(tbl_SPXS[[#This Row],[Date]]=$A$5, $F24, EMA_Beta*$H23 + (1-EMA_Beta)*$F24)</f>
        <v>5.5409027952746222</v>
      </c>
      <c r="I24" s="46">
        <f ca="1">IF(tbl_SPXS[[#This Row],[RS]]= "", "", 100-(100/(1+tbl_SPXS[[#This Row],[RS]])))</f>
        <v>41.798941798941783</v>
      </c>
      <c r="J24" s="10">
        <f ca="1">IF(ROW($N24)-4&lt;BB_Periods, "", AVERAGE(INDIRECT(ADDRESS(ROW($F24)-RSI_Periods +1, MATCH("Adj Close", Price_Header,0))): INDIRECT(ADDRESS(ROW($F24),MATCH("Adj Close", Price_Header,0)))))</f>
        <v>5.4885714285714275</v>
      </c>
      <c r="K24" s="10">
        <f ca="1">IF(tbl_SPXS[[#This Row],[BB_Mean]]="", "", tbl_SPXS[[#This Row],[BB_Mean]]+(BB_Width*tbl_SPXS[[#This Row],[BB_Stdev]]))</f>
        <v>6.0710783261394186</v>
      </c>
      <c r="L24" s="10">
        <f ca="1">IF(tbl_SPXS[[#This Row],[BB_Mean]]="", "", tbl_SPXS[[#This Row],[BB_Mean]]-(BB_Width*tbl_SPXS[[#This Row],[BB_Stdev]]))</f>
        <v>4.9060645310034365</v>
      </c>
      <c r="M24" s="46">
        <f>IF(ROW(tbl_SPXS[[#This Row],[Adj Close]])=5, 0, $F24-$F23)</f>
        <v>0.13999999999999968</v>
      </c>
      <c r="N24" s="46">
        <f>MAX(tbl_SPXS[[#This Row],[Move]],0)</f>
        <v>0.13999999999999968</v>
      </c>
      <c r="O24" s="46">
        <f>MAX(-tbl_SPXS[[#This Row],[Move]],0)</f>
        <v>0</v>
      </c>
      <c r="P24" s="46">
        <f ca="1">IF(ROW($N24)-5&lt;RSI_Periods, "", AVERAGE(INDIRECT(ADDRESS(ROW($N24)-RSI_Periods +1, MATCH("Upmove", Price_Header,0))): INDIRECT(ADDRESS(ROW($N24),MATCH("Upmove", Price_Header,0)))))</f>
        <v>5.642857142857137E-2</v>
      </c>
      <c r="Q24" s="46">
        <f ca="1">IF(ROW($O24)-5&lt;RSI_Periods, "", AVERAGE(INDIRECT(ADDRESS(ROW($O24)-RSI_Periods +1, MATCH("Downmove", Price_Header,0))): INDIRECT(ADDRESS(ROW($O24),MATCH("Downmove", Price_Header,0)))))</f>
        <v>7.8571428571428542E-2</v>
      </c>
      <c r="R24" s="46">
        <f ca="1">IF(tbl_SPXS[[#This Row],[Avg_Upmove]]="", "", tbl_SPXS[[#This Row],[Avg_Upmove]]/tbl_SPXS[[#This Row],[Avg_Downmove]])</f>
        <v>0.7181818181818177</v>
      </c>
      <c r="S24" s="10">
        <f ca="1">IF(ROW($N24)-4&lt;BB_Periods, "", _xlfn.STDEV.S(INDIRECT(ADDRESS(ROW($F24)-RSI_Periods +1, MATCH("Adj Close", Price_Header,0))): INDIRECT(ADDRESS(ROW($F24),MATCH("Adj Close", Price_Header,0)))))</f>
        <v>0.29125344878399539</v>
      </c>
    </row>
    <row r="25" spans="1:19" x14ac:dyDescent="0.25">
      <c r="A25" s="8">
        <v>44082</v>
      </c>
      <c r="B25" s="10">
        <v>5.86</v>
      </c>
      <c r="C25" s="10">
        <v>6.04</v>
      </c>
      <c r="D25" s="10">
        <v>5.78</v>
      </c>
      <c r="E25" s="10">
        <v>6.02</v>
      </c>
      <c r="F25" s="10">
        <v>6.02</v>
      </c>
      <c r="G25">
        <v>51969100</v>
      </c>
      <c r="H25" s="10">
        <f>IF(tbl_SPXS[[#This Row],[Date]]=$A$5, $F25, EMA_Beta*$H24 + (1-EMA_Beta)*$F25)</f>
        <v>5.5888125157471595</v>
      </c>
      <c r="I25" s="46">
        <f ca="1">IF(tbl_SPXS[[#This Row],[RS]]= "", "", 100-(100/(1+tbl_SPXS[[#This Row],[RS]])))</f>
        <v>54.112554112554101</v>
      </c>
      <c r="J25" s="10">
        <f ca="1">IF(ROW($N25)-4&lt;BB_Periods, "", AVERAGE(INDIRECT(ADDRESS(ROW($F25)-RSI_Periods +1, MATCH("Adj Close", Price_Header,0))): INDIRECT(ADDRESS(ROW($F25),MATCH("Adj Close", Price_Header,0)))))</f>
        <v>5.5021428571428563</v>
      </c>
      <c r="K25" s="10">
        <f ca="1">IF(tbl_SPXS[[#This Row],[BB_Mean]]="", "", tbl_SPXS[[#This Row],[BB_Mean]]+(BB_Width*tbl_SPXS[[#This Row],[BB_Stdev]]))</f>
        <v>6.1262818244806203</v>
      </c>
      <c r="L25" s="10">
        <f ca="1">IF(tbl_SPXS[[#This Row],[BB_Mean]]="", "", tbl_SPXS[[#This Row],[BB_Mean]]-(BB_Width*tbl_SPXS[[#This Row],[BB_Stdev]]))</f>
        <v>4.8780038898050924</v>
      </c>
      <c r="M25" s="46">
        <f>IF(ROW(tbl_SPXS[[#This Row],[Adj Close]])=5, 0, $F25-$F24)</f>
        <v>0.45999999999999996</v>
      </c>
      <c r="N25" s="46">
        <f>MAX(tbl_SPXS[[#This Row],[Move]],0)</f>
        <v>0.45999999999999996</v>
      </c>
      <c r="O25" s="46">
        <f>MAX(-tbl_SPXS[[#This Row],[Move]],0)</f>
        <v>0</v>
      </c>
      <c r="P25" s="46">
        <f ca="1">IF(ROW($N25)-5&lt;RSI_Periods, "", AVERAGE(INDIRECT(ADDRESS(ROW($N25)-RSI_Periods +1, MATCH("Upmove", Price_Header,0))): INDIRECT(ADDRESS(ROW($N25),MATCH("Upmove", Price_Header,0)))))</f>
        <v>8.9285714285714218E-2</v>
      </c>
      <c r="Q25" s="46">
        <f ca="1">IF(ROW($O25)-5&lt;RSI_Periods, "", AVERAGE(INDIRECT(ADDRESS(ROW($O25)-RSI_Periods +1, MATCH("Downmove", Price_Header,0))): INDIRECT(ADDRESS(ROW($O25),MATCH("Downmove", Price_Header,0)))))</f>
        <v>7.5714285714285692E-2</v>
      </c>
      <c r="R25" s="46">
        <f ca="1">IF(tbl_SPXS[[#This Row],[Avg_Upmove]]="", "", tbl_SPXS[[#This Row],[Avg_Upmove]]/tbl_SPXS[[#This Row],[Avg_Downmove]])</f>
        <v>1.1792452830188673</v>
      </c>
      <c r="S25" s="10">
        <f ca="1">IF(ROW($N25)-4&lt;BB_Periods, "", _xlfn.STDEV.S(INDIRECT(ADDRESS(ROW($F25)-RSI_Periods +1, MATCH("Adj Close", Price_Header,0))): INDIRECT(ADDRESS(ROW($F25),MATCH("Adj Close", Price_Header,0)))))</f>
        <v>0.31206948366888199</v>
      </c>
    </row>
    <row r="26" spans="1:19" x14ac:dyDescent="0.25">
      <c r="A26" s="8">
        <v>44083</v>
      </c>
      <c r="B26" s="10">
        <v>5.79</v>
      </c>
      <c r="C26" s="10">
        <v>5.84</v>
      </c>
      <c r="D26" s="10">
        <v>5.52</v>
      </c>
      <c r="E26" s="10">
        <v>5.66</v>
      </c>
      <c r="F26" s="10">
        <v>5.66</v>
      </c>
      <c r="G26">
        <v>40386900</v>
      </c>
      <c r="H26" s="10">
        <f>IF(tbl_SPXS[[#This Row],[Date]]=$A$5, $F26, EMA_Beta*$H25 + (1-EMA_Beta)*$F26)</f>
        <v>5.5959312641724432</v>
      </c>
      <c r="I26" s="46">
        <f ca="1">IF(tbl_SPXS[[#This Row],[RS]]= "", "", 100-(100/(1+tbl_SPXS[[#This Row],[RS]])))</f>
        <v>44.961240310077528</v>
      </c>
      <c r="J26" s="10">
        <f ca="1">IF(ROW($N26)-4&lt;BB_Periods, "", AVERAGE(INDIRECT(ADDRESS(ROW($F26)-RSI_Periods +1, MATCH("Adj Close", Price_Header,0))): INDIRECT(ADDRESS(ROW($F26),MATCH("Adj Close", Price_Header,0)))))</f>
        <v>5.4835714285714277</v>
      </c>
      <c r="K26" s="10">
        <f ca="1">IF(tbl_SPXS[[#This Row],[BB_Mean]]="", "", tbl_SPXS[[#This Row],[BB_Mean]]+(BB_Width*tbl_SPXS[[#This Row],[BB_Stdev]]))</f>
        <v>6.0683847264764879</v>
      </c>
      <c r="L26" s="10">
        <f ca="1">IF(tbl_SPXS[[#This Row],[BB_Mean]]="", "", tbl_SPXS[[#This Row],[BB_Mean]]-(BB_Width*tbl_SPXS[[#This Row],[BB_Stdev]]))</f>
        <v>4.8987581306663674</v>
      </c>
      <c r="M26" s="46">
        <f>IF(ROW(tbl_SPXS[[#This Row],[Adj Close]])=5, 0, $F26-$F25)</f>
        <v>-0.35999999999999943</v>
      </c>
      <c r="N26" s="46">
        <f>MAX(tbl_SPXS[[#This Row],[Move]],0)</f>
        <v>0</v>
      </c>
      <c r="O26" s="46">
        <f>MAX(-tbl_SPXS[[#This Row],[Move]],0)</f>
        <v>0.35999999999999943</v>
      </c>
      <c r="P26" s="46">
        <f ca="1">IF(ROW($N26)-5&lt;RSI_Periods, "", AVERAGE(INDIRECT(ADDRESS(ROW($N26)-RSI_Periods +1, MATCH("Upmove", Price_Header,0))): INDIRECT(ADDRESS(ROW($N26),MATCH("Upmove", Price_Header,0)))))</f>
        <v>8.285714285714281E-2</v>
      </c>
      <c r="Q26" s="46">
        <f ca="1">IF(ROW($O26)-5&lt;RSI_Periods, "", AVERAGE(INDIRECT(ADDRESS(ROW($O26)-RSI_Periods +1, MATCH("Downmove", Price_Header,0))): INDIRECT(ADDRESS(ROW($O26),MATCH("Downmove", Price_Header,0)))))</f>
        <v>0.10142857142857135</v>
      </c>
      <c r="R26" s="46">
        <f ca="1">IF(tbl_SPXS[[#This Row],[Avg_Upmove]]="", "", tbl_SPXS[[#This Row],[Avg_Upmove]]/tbl_SPXS[[#This Row],[Avg_Downmove]])</f>
        <v>0.81690140845070436</v>
      </c>
      <c r="S26" s="10">
        <f ca="1">IF(ROW($N26)-4&lt;BB_Periods, "", _xlfn.STDEV.S(INDIRECT(ADDRESS(ROW($F26)-RSI_Periods +1, MATCH("Adj Close", Price_Header,0))): INDIRECT(ADDRESS(ROW($F26),MATCH("Adj Close", Price_Header,0)))))</f>
        <v>0.29240664895253032</v>
      </c>
    </row>
    <row r="27" spans="1:19" x14ac:dyDescent="0.25">
      <c r="A27" s="8">
        <v>44084</v>
      </c>
      <c r="B27" s="10">
        <v>5.57</v>
      </c>
      <c r="C27" s="10">
        <v>6.01</v>
      </c>
      <c r="D27" s="10">
        <v>5.53</v>
      </c>
      <c r="E27" s="10">
        <v>5.96</v>
      </c>
      <c r="F27" s="10">
        <v>5.96</v>
      </c>
      <c r="G27">
        <v>57274200</v>
      </c>
      <c r="H27" s="10">
        <f>IF(tbl_SPXS[[#This Row],[Date]]=$A$5, $F27, EMA_Beta*$H26 + (1-EMA_Beta)*$F27)</f>
        <v>5.6323381377551991</v>
      </c>
      <c r="I27" s="46">
        <f ca="1">IF(tbl_SPXS[[#This Row],[RS]]= "", "", 100-(100/(1+tbl_SPXS[[#This Row],[RS]])))</f>
        <v>51.957295373665481</v>
      </c>
      <c r="J27" s="10">
        <f ca="1">IF(ROW($N27)-4&lt;BB_Periods, "", AVERAGE(INDIRECT(ADDRESS(ROW($F27)-RSI_Periods +1, MATCH("Adj Close", Price_Header,0))): INDIRECT(ADDRESS(ROW($F27),MATCH("Adj Close", Price_Header,0)))))</f>
        <v>5.4914285714285711</v>
      </c>
      <c r="K27" s="10">
        <f ca="1">IF(tbl_SPXS[[#This Row],[BB_Mean]]="", "", tbl_SPXS[[#This Row],[BB_Mean]]+(BB_Width*tbl_SPXS[[#This Row],[BB_Stdev]]))</f>
        <v>6.0999251875803226</v>
      </c>
      <c r="L27" s="10">
        <f ca="1">IF(tbl_SPXS[[#This Row],[BB_Mean]]="", "", tbl_SPXS[[#This Row],[BB_Mean]]-(BB_Width*tbl_SPXS[[#This Row],[BB_Stdev]]))</f>
        <v>4.8829319552768196</v>
      </c>
      <c r="M27" s="46">
        <f>IF(ROW(tbl_SPXS[[#This Row],[Adj Close]])=5, 0, $F27-$F26)</f>
        <v>0.29999999999999982</v>
      </c>
      <c r="N27" s="46">
        <f>MAX(tbl_SPXS[[#This Row],[Move]],0)</f>
        <v>0.29999999999999982</v>
      </c>
      <c r="O27" s="46">
        <f>MAX(-tbl_SPXS[[#This Row],[Move]],0)</f>
        <v>0</v>
      </c>
      <c r="P27" s="46">
        <f ca="1">IF(ROW($N27)-5&lt;RSI_Periods, "", AVERAGE(INDIRECT(ADDRESS(ROW($N27)-RSI_Periods +1, MATCH("Upmove", Price_Header,0))): INDIRECT(ADDRESS(ROW($N27),MATCH("Upmove", Price_Header,0)))))</f>
        <v>0.10428571428571422</v>
      </c>
      <c r="Q27" s="46">
        <f ca="1">IF(ROW($O27)-5&lt;RSI_Periods, "", AVERAGE(INDIRECT(ADDRESS(ROW($O27)-RSI_Periods +1, MATCH("Downmove", Price_Header,0))): INDIRECT(ADDRESS(ROW($O27),MATCH("Downmove", Price_Header,0)))))</f>
        <v>9.6428571428571336E-2</v>
      </c>
      <c r="R27" s="46">
        <f ca="1">IF(tbl_SPXS[[#This Row],[Avg_Upmove]]="", "", tbl_SPXS[[#This Row],[Avg_Upmove]]/tbl_SPXS[[#This Row],[Avg_Downmove]])</f>
        <v>1.0814814814814817</v>
      </c>
      <c r="S27" s="10">
        <f ca="1">IF(ROW($N27)-4&lt;BB_Periods, "", _xlfn.STDEV.S(INDIRECT(ADDRESS(ROW($F27)-RSI_Periods +1, MATCH("Adj Close", Price_Header,0))): INDIRECT(ADDRESS(ROW($F27),MATCH("Adj Close", Price_Header,0)))))</f>
        <v>0.30424830807587566</v>
      </c>
    </row>
    <row r="28" spans="1:19" x14ac:dyDescent="0.25">
      <c r="A28" s="8">
        <v>44085</v>
      </c>
      <c r="B28" s="10">
        <v>5.86</v>
      </c>
      <c r="C28" s="10">
        <v>6.12</v>
      </c>
      <c r="D28" s="10">
        <v>5.79</v>
      </c>
      <c r="E28" s="10">
        <v>5.95</v>
      </c>
      <c r="F28" s="10">
        <v>5.95</v>
      </c>
      <c r="G28">
        <v>54898200</v>
      </c>
      <c r="H28" s="10">
        <f>IF(tbl_SPXS[[#This Row],[Date]]=$A$5, $F28, EMA_Beta*$H27 + (1-EMA_Beta)*$F28)</f>
        <v>5.6641043239796787</v>
      </c>
      <c r="I28" s="46">
        <f ca="1">IF(tbl_SPXS[[#This Row],[RS]]= "", "", 100-(100/(1+tbl_SPXS[[#This Row],[RS]])))</f>
        <v>53.284671532846737</v>
      </c>
      <c r="J28" s="10">
        <f ca="1">IF(ROW($N28)-4&lt;BB_Periods, "", AVERAGE(INDIRECT(ADDRESS(ROW($F28)-RSI_Periods +1, MATCH("Adj Close", Price_Header,0))): INDIRECT(ADDRESS(ROW($F28),MATCH("Adj Close", Price_Header,0)))))</f>
        <v>5.5042857142857136</v>
      </c>
      <c r="K28" s="10">
        <f ca="1">IF(tbl_SPXS[[#This Row],[BB_Mean]]="", "", tbl_SPXS[[#This Row],[BB_Mean]]+(BB_Width*tbl_SPXS[[#This Row],[BB_Stdev]]))</f>
        <v>6.1448966863915757</v>
      </c>
      <c r="L28" s="10">
        <f ca="1">IF(tbl_SPXS[[#This Row],[BB_Mean]]="", "", tbl_SPXS[[#This Row],[BB_Mean]]-(BB_Width*tbl_SPXS[[#This Row],[BB_Stdev]]))</f>
        <v>4.8636747421798514</v>
      </c>
      <c r="M28" s="46">
        <f>IF(ROW(tbl_SPXS[[#This Row],[Adj Close]])=5, 0, $F28-$F27)</f>
        <v>-9.9999999999997868E-3</v>
      </c>
      <c r="N28" s="46">
        <f>MAX(tbl_SPXS[[#This Row],[Move]],0)</f>
        <v>0</v>
      </c>
      <c r="O28" s="46">
        <f>MAX(-tbl_SPXS[[#This Row],[Move]],0)</f>
        <v>9.9999999999997868E-3</v>
      </c>
      <c r="P28" s="46">
        <f ca="1">IF(ROW($N28)-5&lt;RSI_Periods, "", AVERAGE(INDIRECT(ADDRESS(ROW($N28)-RSI_Periods +1, MATCH("Upmove", Price_Header,0))): INDIRECT(ADDRESS(ROW($N28),MATCH("Upmove", Price_Header,0)))))</f>
        <v>0.10428571428571422</v>
      </c>
      <c r="Q28" s="46">
        <f ca="1">IF(ROW($O28)-5&lt;RSI_Periods, "", AVERAGE(INDIRECT(ADDRESS(ROW($O28)-RSI_Periods +1, MATCH("Downmove", Price_Header,0))): INDIRECT(ADDRESS(ROW($O28),MATCH("Downmove", Price_Header,0)))))</f>
        <v>9.1428571428571317E-2</v>
      </c>
      <c r="R28" s="46">
        <f ca="1">IF(tbl_SPXS[[#This Row],[Avg_Upmove]]="", "", tbl_SPXS[[#This Row],[Avg_Upmove]]/tbl_SPXS[[#This Row],[Avg_Downmove]])</f>
        <v>1.1406250000000007</v>
      </c>
      <c r="S28" s="10">
        <f ca="1">IF(ROW($N28)-4&lt;BB_Periods, "", _xlfn.STDEV.S(INDIRECT(ADDRESS(ROW($F28)-RSI_Periods +1, MATCH("Adj Close", Price_Header,0))): INDIRECT(ADDRESS(ROW($F28),MATCH("Adj Close", Price_Header,0)))))</f>
        <v>0.32030548605293102</v>
      </c>
    </row>
    <row r="29" spans="1:19" x14ac:dyDescent="0.25">
      <c r="A29" s="8">
        <v>44088</v>
      </c>
      <c r="B29" s="10">
        <v>5.76</v>
      </c>
      <c r="C29" s="10">
        <v>5.8</v>
      </c>
      <c r="D29" s="10">
        <v>5.61</v>
      </c>
      <c r="E29" s="10">
        <v>5.72</v>
      </c>
      <c r="F29" s="10">
        <v>5.72</v>
      </c>
      <c r="G29">
        <v>30591600</v>
      </c>
      <c r="H29" s="10">
        <f>IF(tbl_SPXS[[#This Row],[Date]]=$A$5, $F29, EMA_Beta*$H28 + (1-EMA_Beta)*$F29)</f>
        <v>5.6696938915817112</v>
      </c>
      <c r="I29" s="46">
        <f ca="1">IF(tbl_SPXS[[#This Row],[RS]]= "", "", 100-(100/(1+tbl_SPXS[[#This Row],[RS]])))</f>
        <v>52.142857142857139</v>
      </c>
      <c r="J29" s="10">
        <f ca="1">IF(ROW($N29)-4&lt;BB_Periods, "", AVERAGE(INDIRECT(ADDRESS(ROW($F29)-RSI_Periods +1, MATCH("Adj Close", Price_Header,0))): INDIRECT(ADDRESS(ROW($F29),MATCH("Adj Close", Price_Header,0)))))</f>
        <v>5.5128571428571425</v>
      </c>
      <c r="K29" s="10">
        <f ca="1">IF(tbl_SPXS[[#This Row],[BB_Mean]]="", "", tbl_SPXS[[#This Row],[BB_Mean]]+(BB_Width*tbl_SPXS[[#This Row],[BB_Stdev]]))</f>
        <v>6.1621373867925602</v>
      </c>
      <c r="L29" s="10">
        <f ca="1">IF(tbl_SPXS[[#This Row],[BB_Mean]]="", "", tbl_SPXS[[#This Row],[BB_Mean]]-(BB_Width*tbl_SPXS[[#This Row],[BB_Stdev]]))</f>
        <v>4.8635768989217247</v>
      </c>
      <c r="M29" s="46">
        <f>IF(ROW(tbl_SPXS[[#This Row],[Adj Close]])=5, 0, $F29-$F28)</f>
        <v>-0.23000000000000043</v>
      </c>
      <c r="N29" s="46">
        <f>MAX(tbl_SPXS[[#This Row],[Move]],0)</f>
        <v>0</v>
      </c>
      <c r="O29" s="46">
        <f>MAX(-tbl_SPXS[[#This Row],[Move]],0)</f>
        <v>0.23000000000000043</v>
      </c>
      <c r="P29" s="46">
        <f ca="1">IF(ROW($N29)-5&lt;RSI_Periods, "", AVERAGE(INDIRECT(ADDRESS(ROW($N29)-RSI_Periods +1, MATCH("Upmove", Price_Header,0))): INDIRECT(ADDRESS(ROW($N29),MATCH("Upmove", Price_Header,0)))))</f>
        <v>0.10428571428571422</v>
      </c>
      <c r="Q29" s="46">
        <f ca="1">IF(ROW($O29)-5&lt;RSI_Periods, "", AVERAGE(INDIRECT(ADDRESS(ROW($O29)-RSI_Periods +1, MATCH("Downmove", Price_Header,0))): INDIRECT(ADDRESS(ROW($O29),MATCH("Downmove", Price_Header,0)))))</f>
        <v>9.5714285714285641E-2</v>
      </c>
      <c r="R29" s="46">
        <f ca="1">IF(tbl_SPXS[[#This Row],[Avg_Upmove]]="", "", tbl_SPXS[[#This Row],[Avg_Upmove]]/tbl_SPXS[[#This Row],[Avg_Downmove]])</f>
        <v>1.0895522388059702</v>
      </c>
      <c r="S29" s="10">
        <f ca="1">IF(ROW($N29)-4&lt;BB_Periods, "", _xlfn.STDEV.S(INDIRECT(ADDRESS(ROW($F29)-RSI_Periods +1, MATCH("Adj Close", Price_Header,0))): INDIRECT(ADDRESS(ROW($F29),MATCH("Adj Close", Price_Header,0)))))</f>
        <v>0.32464012196770869</v>
      </c>
    </row>
    <row r="30" spans="1:19" x14ac:dyDescent="0.25">
      <c r="A30" s="8">
        <v>44089</v>
      </c>
      <c r="B30" s="10">
        <v>5.57</v>
      </c>
      <c r="C30" s="10">
        <v>5.69</v>
      </c>
      <c r="D30" s="10">
        <v>5.53</v>
      </c>
      <c r="E30" s="10">
        <v>5.62</v>
      </c>
      <c r="F30" s="10">
        <v>5.62</v>
      </c>
      <c r="G30">
        <v>29933800</v>
      </c>
      <c r="H30" s="10">
        <f>IF(tbl_SPXS[[#This Row],[Date]]=$A$5, $F30, EMA_Beta*$H29 + (1-EMA_Beta)*$F30)</f>
        <v>5.6647245024235406</v>
      </c>
      <c r="I30" s="46">
        <f ca="1">IF(tbl_SPXS[[#This Row],[RS]]= "", "", 100-(100/(1+tbl_SPXS[[#This Row],[RS]])))</f>
        <v>51.228070175438603</v>
      </c>
      <c r="J30" s="10">
        <f ca="1">IF(ROW($N30)-4&lt;BB_Periods, "", AVERAGE(INDIRECT(ADDRESS(ROW($F30)-RSI_Periods +1, MATCH("Adj Close", Price_Header,0))): INDIRECT(ADDRESS(ROW($F30),MATCH("Adj Close", Price_Header,0)))))</f>
        <v>5.5178571428571432</v>
      </c>
      <c r="K30" s="10">
        <f ca="1">IF(tbl_SPXS[[#This Row],[BB_Mean]]="", "", tbl_SPXS[[#This Row],[BB_Mean]]+(BB_Width*tbl_SPXS[[#This Row],[BB_Stdev]]))</f>
        <v>6.1694435417060109</v>
      </c>
      <c r="L30" s="10">
        <f ca="1">IF(tbl_SPXS[[#This Row],[BB_Mean]]="", "", tbl_SPXS[[#This Row],[BB_Mean]]-(BB_Width*tbl_SPXS[[#This Row],[BB_Stdev]]))</f>
        <v>4.8662707440082755</v>
      </c>
      <c r="M30" s="46">
        <f>IF(ROW(tbl_SPXS[[#This Row],[Adj Close]])=5, 0, $F30-$F29)</f>
        <v>-9.9999999999999645E-2</v>
      </c>
      <c r="N30" s="46">
        <f>MAX(tbl_SPXS[[#This Row],[Move]],0)</f>
        <v>0</v>
      </c>
      <c r="O30" s="46">
        <f>MAX(-tbl_SPXS[[#This Row],[Move]],0)</f>
        <v>9.9999999999999645E-2</v>
      </c>
      <c r="P30" s="46">
        <f ca="1">IF(ROW($N30)-5&lt;RSI_Periods, "", AVERAGE(INDIRECT(ADDRESS(ROW($N30)-RSI_Periods +1, MATCH("Upmove", Price_Header,0))): INDIRECT(ADDRESS(ROW($N30),MATCH("Upmove", Price_Header,0)))))</f>
        <v>0.10428571428571422</v>
      </c>
      <c r="Q30" s="46">
        <f ca="1">IF(ROW($O30)-5&lt;RSI_Periods, "", AVERAGE(INDIRECT(ADDRESS(ROW($O30)-RSI_Periods +1, MATCH("Downmove", Price_Header,0))): INDIRECT(ADDRESS(ROW($O30),MATCH("Downmove", Price_Header,0)))))</f>
        <v>9.9285714285714199E-2</v>
      </c>
      <c r="R30" s="46">
        <f ca="1">IF(tbl_SPXS[[#This Row],[Avg_Upmove]]="", "", tbl_SPXS[[#This Row],[Avg_Upmove]]/tbl_SPXS[[#This Row],[Avg_Downmove]])</f>
        <v>1.050359712230216</v>
      </c>
      <c r="S30" s="10">
        <f ca="1">IF(ROW($N30)-4&lt;BB_Periods, "", _xlfn.STDEV.S(INDIRECT(ADDRESS(ROW($F30)-RSI_Periods +1, MATCH("Adj Close", Price_Header,0))): INDIRECT(ADDRESS(ROW($F30),MATCH("Adj Close", Price_Header,0)))))</f>
        <v>0.32579319942443363</v>
      </c>
    </row>
    <row r="31" spans="1:19" x14ac:dyDescent="0.25">
      <c r="A31" s="8">
        <v>44090</v>
      </c>
      <c r="B31" s="10">
        <v>5.55</v>
      </c>
      <c r="C31" s="10">
        <v>5.71</v>
      </c>
      <c r="D31" s="10">
        <v>5.48</v>
      </c>
      <c r="E31" s="10">
        <v>5.7</v>
      </c>
      <c r="F31" s="10">
        <v>5.7</v>
      </c>
      <c r="G31">
        <v>29453300</v>
      </c>
      <c r="H31" s="10">
        <f>IF(tbl_SPXS[[#This Row],[Date]]=$A$5, $F31, EMA_Beta*$H30 + (1-EMA_Beta)*$F31)</f>
        <v>5.6682520521811863</v>
      </c>
      <c r="I31" s="46">
        <f ca="1">IF(tbl_SPXS[[#This Row],[RS]]= "", "", 100-(100/(1+tbl_SPXS[[#This Row],[RS]])))</f>
        <v>55.797101449275367</v>
      </c>
      <c r="J31" s="10">
        <f ca="1">IF(ROW($N31)-4&lt;BB_Periods, "", AVERAGE(INDIRECT(ADDRESS(ROW($F31)-RSI_Periods +1, MATCH("Adj Close", Price_Header,0))): INDIRECT(ADDRESS(ROW($F31),MATCH("Adj Close", Price_Header,0)))))</f>
        <v>5.5407142857142873</v>
      </c>
      <c r="K31" s="10">
        <f ca="1">IF(tbl_SPXS[[#This Row],[BB_Mean]]="", "", tbl_SPXS[[#This Row],[BB_Mean]]+(BB_Width*tbl_SPXS[[#This Row],[BB_Stdev]]))</f>
        <v>6.1939177190141477</v>
      </c>
      <c r="L31" s="10">
        <f ca="1">IF(tbl_SPXS[[#This Row],[BB_Mean]]="", "", tbl_SPXS[[#This Row],[BB_Mean]]-(BB_Width*tbl_SPXS[[#This Row],[BB_Stdev]]))</f>
        <v>4.8875108524144268</v>
      </c>
      <c r="M31" s="46">
        <f>IF(ROW(tbl_SPXS[[#This Row],[Adj Close]])=5, 0, $F31-$F30)</f>
        <v>8.0000000000000071E-2</v>
      </c>
      <c r="N31" s="46">
        <f>MAX(tbl_SPXS[[#This Row],[Move]],0)</f>
        <v>8.0000000000000071E-2</v>
      </c>
      <c r="O31" s="46">
        <f>MAX(-tbl_SPXS[[#This Row],[Move]],0)</f>
        <v>0</v>
      </c>
      <c r="P31" s="46">
        <f ca="1">IF(ROW($N31)-5&lt;RSI_Periods, "", AVERAGE(INDIRECT(ADDRESS(ROW($N31)-RSI_Periods +1, MATCH("Upmove", Price_Header,0))): INDIRECT(ADDRESS(ROW($N31),MATCH("Upmove", Price_Header,0)))))</f>
        <v>0.10999999999999995</v>
      </c>
      <c r="Q31" s="46">
        <f ca="1">IF(ROW($O31)-5&lt;RSI_Periods, "", AVERAGE(INDIRECT(ADDRESS(ROW($O31)-RSI_Periods +1, MATCH("Downmove", Price_Header,0))): INDIRECT(ADDRESS(ROW($O31),MATCH("Downmove", Price_Header,0)))))</f>
        <v>8.7142857142857064E-2</v>
      </c>
      <c r="R31" s="46">
        <f ca="1">IF(tbl_SPXS[[#This Row],[Avg_Upmove]]="", "", tbl_SPXS[[#This Row],[Avg_Upmove]]/tbl_SPXS[[#This Row],[Avg_Downmove]])</f>
        <v>1.2622950819672136</v>
      </c>
      <c r="S31" s="10">
        <f ca="1">IF(ROW($N31)-4&lt;BB_Periods, "", _xlfn.STDEV.S(INDIRECT(ADDRESS(ROW($F31)-RSI_Periods +1, MATCH("Adj Close", Price_Header,0))): INDIRECT(ADDRESS(ROW($F31),MATCH("Adj Close", Price_Header,0)))))</f>
        <v>0.32660171664993026</v>
      </c>
    </row>
    <row r="32" spans="1:19" x14ac:dyDescent="0.25">
      <c r="A32" s="8">
        <v>44091</v>
      </c>
      <c r="B32" s="10">
        <v>5.95</v>
      </c>
      <c r="C32" s="10">
        <v>5.99</v>
      </c>
      <c r="D32" s="10">
        <v>5.75</v>
      </c>
      <c r="E32" s="10">
        <v>5.85</v>
      </c>
      <c r="F32" s="10">
        <v>5.85</v>
      </c>
      <c r="G32">
        <v>40284265</v>
      </c>
      <c r="H32" s="10">
        <f>IF(tbl_SPXS[[#This Row],[Date]]=$A$5, $F32, EMA_Beta*$H31 + (1-EMA_Beta)*$F32)</f>
        <v>5.6864268469630677</v>
      </c>
      <c r="I32" s="46">
        <f ca="1">IF(tbl_SPXS[[#This Row],[RS]]= "", "", 100-(100/(1+tbl_SPXS[[#This Row],[RS]])))</f>
        <v>58.477508650519027</v>
      </c>
      <c r="J32" s="10">
        <f ca="1">IF(ROW($N32)-4&lt;BB_Periods, "", AVERAGE(INDIRECT(ADDRESS(ROW($F32)-RSI_Periods +1, MATCH("Adj Close", Price_Header,0))): INDIRECT(ADDRESS(ROW($F32),MATCH("Adj Close", Price_Header,0)))))</f>
        <v>5.5757142857142856</v>
      </c>
      <c r="K32" s="10">
        <f ca="1">IF(tbl_SPXS[[#This Row],[BB_Mean]]="", "", tbl_SPXS[[#This Row],[BB_Mean]]+(BB_Width*tbl_SPXS[[#This Row],[BB_Stdev]]))</f>
        <v>6.2396287512762418</v>
      </c>
      <c r="L32" s="10">
        <f ca="1">IF(tbl_SPXS[[#This Row],[BB_Mean]]="", "", tbl_SPXS[[#This Row],[BB_Mean]]-(BB_Width*tbl_SPXS[[#This Row],[BB_Stdev]]))</f>
        <v>4.9117998201523294</v>
      </c>
      <c r="M32" s="46">
        <f>IF(ROW(tbl_SPXS[[#This Row],[Adj Close]])=5, 0, $F32-$F31)</f>
        <v>0.14999999999999947</v>
      </c>
      <c r="N32" s="46">
        <f>MAX(tbl_SPXS[[#This Row],[Move]],0)</f>
        <v>0.14999999999999947</v>
      </c>
      <c r="O32" s="46">
        <f>MAX(-tbl_SPXS[[#This Row],[Move]],0)</f>
        <v>0</v>
      </c>
      <c r="P32" s="46">
        <f ca="1">IF(ROW($N32)-5&lt;RSI_Periods, "", AVERAGE(INDIRECT(ADDRESS(ROW($N32)-RSI_Periods +1, MATCH("Upmove", Price_Header,0))): INDIRECT(ADDRESS(ROW($N32),MATCH("Upmove", Price_Header,0)))))</f>
        <v>0.12071428571428562</v>
      </c>
      <c r="Q32" s="46">
        <f ca="1">IF(ROW($O32)-5&lt;RSI_Periods, "", AVERAGE(INDIRECT(ADDRESS(ROW($O32)-RSI_Periods +1, MATCH("Downmove", Price_Header,0))): INDIRECT(ADDRESS(ROW($O32),MATCH("Downmove", Price_Header,0)))))</f>
        <v>8.571428571428566E-2</v>
      </c>
      <c r="R32" s="46">
        <f ca="1">IF(tbl_SPXS[[#This Row],[Avg_Upmove]]="", "", tbl_SPXS[[#This Row],[Avg_Upmove]]/tbl_SPXS[[#This Row],[Avg_Downmove]])</f>
        <v>1.4083333333333332</v>
      </c>
      <c r="S32" s="10">
        <f ca="1">IF(ROW($N32)-4&lt;BB_Periods, "", _xlfn.STDEV.S(INDIRECT(ADDRESS(ROW($F32)-RSI_Periods +1, MATCH("Adj Close", Price_Header,0))): INDIRECT(ADDRESS(ROW($F32),MATCH("Adj Close", Price_Header,0)))))</f>
        <v>0.331957232780978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W44"/>
  <sheetViews>
    <sheetView tabSelected="1" topLeftCell="A7" zoomScale="90" zoomScaleNormal="90" workbookViewId="0">
      <selection activeCell="P15" sqref="P15"/>
    </sheetView>
  </sheetViews>
  <sheetFormatPr defaultRowHeight="14.25" x14ac:dyDescent="0.2"/>
  <cols>
    <col min="1" max="1" width="10.42578125" style="67" customWidth="1"/>
    <col min="2" max="2" width="13.5703125" style="67" customWidth="1"/>
    <col min="3" max="3" width="13.7109375" style="67" customWidth="1"/>
    <col min="4" max="4" width="14.42578125" style="67" customWidth="1"/>
    <col min="5" max="5" width="13.7109375" style="67" customWidth="1"/>
    <col min="6" max="6" width="11.7109375" style="67" customWidth="1"/>
    <col min="7" max="7" width="15.5703125" style="67" customWidth="1"/>
    <col min="8" max="8" width="13.7109375" style="67" customWidth="1"/>
    <col min="9" max="16384" width="9.140625" style="67"/>
  </cols>
  <sheetData>
    <row r="1" spans="1:23" x14ac:dyDescent="0.2">
      <c r="A1" s="81"/>
      <c r="B1" s="82"/>
      <c r="C1" s="82"/>
      <c r="D1" s="82"/>
      <c r="E1" s="82"/>
      <c r="F1" s="82"/>
      <c r="G1" s="82"/>
      <c r="H1" s="82"/>
      <c r="I1" s="83"/>
      <c r="J1" s="81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3"/>
    </row>
    <row r="2" spans="1:23" x14ac:dyDescent="0.2">
      <c r="A2" s="84"/>
      <c r="B2" s="68"/>
      <c r="C2" s="68"/>
      <c r="D2" s="68"/>
      <c r="E2" s="68"/>
      <c r="F2" s="68"/>
      <c r="G2" s="68"/>
      <c r="H2" s="68"/>
      <c r="I2" s="85"/>
      <c r="J2" s="84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85"/>
    </row>
    <row r="3" spans="1:23" ht="22.5" x14ac:dyDescent="0.3">
      <c r="A3" s="84"/>
      <c r="B3" s="87" t="s">
        <v>288</v>
      </c>
      <c r="C3" s="69"/>
      <c r="D3" s="68"/>
      <c r="E3" s="68"/>
      <c r="F3" s="72" t="s">
        <v>195</v>
      </c>
      <c r="G3" s="89">
        <f>DATE(2020, 9, 17)</f>
        <v>44091</v>
      </c>
      <c r="H3" s="68"/>
      <c r="I3" s="85"/>
      <c r="J3" s="84"/>
      <c r="K3" s="88" t="s">
        <v>210</v>
      </c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85"/>
    </row>
    <row r="4" spans="1:23" x14ac:dyDescent="0.2">
      <c r="A4" s="84"/>
      <c r="B4" s="68"/>
      <c r="C4" s="68"/>
      <c r="D4" s="68"/>
      <c r="E4" s="68"/>
      <c r="F4" s="68"/>
      <c r="G4" s="68"/>
      <c r="H4" s="68"/>
      <c r="I4" s="85"/>
      <c r="J4" s="84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85"/>
    </row>
    <row r="5" spans="1:23" ht="18" x14ac:dyDescent="0.25">
      <c r="A5" s="84"/>
      <c r="B5" s="91" t="s">
        <v>179</v>
      </c>
      <c r="C5" s="73"/>
      <c r="D5" s="68"/>
      <c r="F5" s="90">
        <f ca="1">INDEX(tbl_position[], COUNT(tbl_position[Date]), MATCH("Total_Net_Asset", pos_header,0))</f>
        <v>99446.298949999997</v>
      </c>
      <c r="G5" s="70">
        <f ca="1">INDEX(tbl_position[], COUNT(tbl_position[Date]), MATCH("Total_Net_Asset", pos_header,0))-INDEX(tbl_position[], COUNT(tbl_position[Date])-1, MATCH("Total_Net_Asset", pos_header,0))</f>
        <v>-309.00089999999909</v>
      </c>
      <c r="H5" s="68"/>
      <c r="I5" s="85"/>
      <c r="J5" s="84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85"/>
    </row>
    <row r="6" spans="1:23" ht="18" x14ac:dyDescent="0.25">
      <c r="A6" s="84"/>
      <c r="B6" s="91" t="s">
        <v>180</v>
      </c>
      <c r="C6" s="73"/>
      <c r="D6" s="68"/>
      <c r="F6" s="90">
        <f>INDEX(tbl_position[], COUNT(tbl_position[Date]), MATCH("Cash_holding", pos_header,0))</f>
        <v>57949.2</v>
      </c>
      <c r="G6" s="70">
        <f>INDEX(tbl_position[], COUNT(tbl_position[Date]), MATCH("Cash_holding", pos_header,0))-INDEX(tbl_position[], COUNT(tbl_position[Date])-1, MATCH("Cash_holding", pos_header,0))</f>
        <v>-3626</v>
      </c>
      <c r="H6" s="68"/>
      <c r="I6" s="85"/>
      <c r="J6" s="84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85"/>
    </row>
    <row r="7" spans="1:23" ht="18" x14ac:dyDescent="0.25">
      <c r="A7" s="84"/>
      <c r="B7" s="72"/>
      <c r="C7" s="68"/>
      <c r="D7" s="68"/>
      <c r="E7" s="68"/>
      <c r="F7" s="68"/>
      <c r="G7" s="68"/>
      <c r="H7" s="68"/>
      <c r="I7" s="85"/>
      <c r="J7" s="84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85"/>
    </row>
    <row r="8" spans="1:23" ht="16.5" thickBot="1" x14ac:dyDescent="0.3">
      <c r="A8" s="84"/>
      <c r="B8" s="93" t="s">
        <v>185</v>
      </c>
      <c r="C8" s="74"/>
      <c r="D8" s="68"/>
      <c r="E8" s="68"/>
      <c r="F8" s="93" t="s">
        <v>194</v>
      </c>
      <c r="G8" s="68"/>
      <c r="H8" s="68"/>
      <c r="I8" s="85"/>
      <c r="J8" s="84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85"/>
    </row>
    <row r="9" spans="1:23" ht="30.75" thickBot="1" x14ac:dyDescent="0.25">
      <c r="A9" s="84"/>
      <c r="B9" s="97" t="s">
        <v>187</v>
      </c>
      <c r="C9" s="100" t="s">
        <v>183</v>
      </c>
      <c r="D9" s="96" t="s">
        <v>186</v>
      </c>
      <c r="E9" s="68"/>
      <c r="F9" s="103" t="s">
        <v>196</v>
      </c>
      <c r="G9" s="104" t="s">
        <v>47</v>
      </c>
      <c r="H9" s="68"/>
      <c r="I9" s="85"/>
      <c r="J9" s="84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85"/>
    </row>
    <row r="10" spans="1:23" ht="18.75" x14ac:dyDescent="0.25">
      <c r="A10" s="84"/>
      <c r="B10" s="105">
        <v>1</v>
      </c>
      <c r="C10" s="106" t="str">
        <f ca="1">INDEX(tbl_holdings[], MATCH(LARGE(tbl_holdings[Total], Dashboard!$B10), tbl_holdings[Total], 0), 2)</f>
        <v>HD</v>
      </c>
      <c r="D10" s="107">
        <f ca="1">LARGE(tbl_holdings[Total], 1)/tbl_holdings[[#Totals],[Total]]</f>
        <v>0.29789316583928122</v>
      </c>
      <c r="E10" s="75"/>
      <c r="F10" s="108" t="s">
        <v>190</v>
      </c>
      <c r="G10" s="109">
        <f>INDEX(tbl_transsummary[], _xlfn.FLOOR.MATH(($G$3-DATE(2020, 9, 9))/7)+1, 4)</f>
        <v>22756</v>
      </c>
      <c r="H10" s="71"/>
      <c r="I10" s="85"/>
      <c r="J10" s="84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85"/>
    </row>
    <row r="11" spans="1:23" ht="17.25" thickBot="1" x14ac:dyDescent="0.3">
      <c r="A11" s="84"/>
      <c r="B11" s="98">
        <v>2</v>
      </c>
      <c r="C11" s="101" t="str">
        <f ca="1">INDEX(tbl_holdings[], MATCH(LARGE(tbl_holdings[Total], Dashboard!$B11), tbl_holdings[Total], 0), 2)</f>
        <v>IBM</v>
      </c>
      <c r="D11" s="94">
        <f ca="1">LARGE(tbl_holdings[Total], 2)/tbl_holdings[[#Totals],[Total]]</f>
        <v>0.26584379823656074</v>
      </c>
      <c r="E11" s="75"/>
      <c r="F11" s="112" t="s">
        <v>191</v>
      </c>
      <c r="G11" s="113">
        <f>INDEX(tbl_transsummary[], _xlfn.FLOOR.MATH(($G$3-DATE(2020, 9, 9))/7)+1, 5)</f>
        <v>18005</v>
      </c>
      <c r="H11" s="68"/>
      <c r="I11" s="85"/>
      <c r="J11" s="84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85"/>
    </row>
    <row r="12" spans="1:23" ht="16.5" thickBot="1" x14ac:dyDescent="0.3">
      <c r="A12" s="84"/>
      <c r="B12" s="99">
        <v>3</v>
      </c>
      <c r="C12" s="102" t="str">
        <f ca="1">INDEX(tbl_holdings[], MATCH(LARGE(tbl_holdings[Total], Dashboard!$B12), tbl_holdings[Total], 0), 2)</f>
        <v>AAPL</v>
      </c>
      <c r="D12" s="95">
        <f ca="1">LARGE(tbl_holdings[Total], 3)/tbl_holdings[[#Totals],[Total]]</f>
        <v>0.23481591501503957</v>
      </c>
      <c r="E12" s="75"/>
      <c r="F12" s="110" t="s">
        <v>192</v>
      </c>
      <c r="G12" s="111">
        <f>INDEX(tbl_transsummary[], _xlfn.FLOOR.MATH(($G$3-DATE(2020, 9, 9))/7)+1, 6)</f>
        <v>22687.599999999999</v>
      </c>
      <c r="H12" s="68"/>
      <c r="I12" s="85"/>
      <c r="J12" s="84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85"/>
    </row>
    <row r="13" spans="1:23" ht="16.5" thickBot="1" x14ac:dyDescent="0.3">
      <c r="A13" s="84"/>
      <c r="B13" s="68"/>
      <c r="C13" s="78"/>
      <c r="D13" s="68"/>
      <c r="E13" s="68"/>
      <c r="F13" s="112" t="s">
        <v>193</v>
      </c>
      <c r="G13" s="113">
        <f>INDEX(tbl_transsummary[], _xlfn.FLOOR.MATH(($G$3-DATE(2020, 9, 9))/7)+1, 7)</f>
        <v>16744.7</v>
      </c>
      <c r="H13" s="68"/>
      <c r="I13" s="85"/>
      <c r="J13" s="84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85"/>
    </row>
    <row r="14" spans="1:23" x14ac:dyDescent="0.2">
      <c r="A14" s="84"/>
      <c r="B14" s="68"/>
      <c r="C14" s="78"/>
      <c r="D14" s="68"/>
      <c r="E14" s="68"/>
      <c r="F14" s="68"/>
      <c r="G14" s="68"/>
      <c r="H14" s="68"/>
      <c r="I14" s="85"/>
      <c r="J14" s="84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85"/>
    </row>
    <row r="15" spans="1:23" ht="15" thickBot="1" x14ac:dyDescent="0.25">
      <c r="A15" s="76"/>
      <c r="B15" s="86"/>
      <c r="C15" s="86"/>
      <c r="D15" s="86"/>
      <c r="E15" s="86"/>
      <c r="F15" s="86"/>
      <c r="G15" s="86"/>
      <c r="H15" s="86"/>
      <c r="I15" s="77"/>
      <c r="J15" s="7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77"/>
    </row>
    <row r="16" spans="1:23" x14ac:dyDescent="0.2">
      <c r="A16" s="81"/>
      <c r="B16" s="82"/>
      <c r="C16" s="82"/>
      <c r="D16" s="82"/>
      <c r="E16" s="82"/>
      <c r="F16" s="82"/>
      <c r="G16" s="82"/>
      <c r="H16" s="82"/>
      <c r="I16" s="83"/>
      <c r="J16" s="81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3"/>
    </row>
    <row r="17" spans="1:23" ht="18" x14ac:dyDescent="0.25">
      <c r="A17" s="84"/>
      <c r="B17" s="68"/>
      <c r="C17" s="68"/>
      <c r="D17" s="68"/>
      <c r="E17" s="68"/>
      <c r="F17" s="68"/>
      <c r="G17" s="68"/>
      <c r="H17" s="68"/>
      <c r="I17" s="85"/>
      <c r="J17" s="125" t="s">
        <v>202</v>
      </c>
      <c r="K17" s="68"/>
      <c r="L17" s="68"/>
      <c r="M17" s="68"/>
      <c r="N17" s="68"/>
      <c r="O17" s="68"/>
      <c r="P17" s="68"/>
      <c r="Q17" s="92" t="s">
        <v>203</v>
      </c>
      <c r="R17" s="68"/>
      <c r="S17" s="68"/>
      <c r="T17" s="68"/>
      <c r="U17" s="68"/>
      <c r="V17" s="68"/>
      <c r="W17" s="85"/>
    </row>
    <row r="18" spans="1:23" ht="20.25" x14ac:dyDescent="0.3">
      <c r="A18" s="84"/>
      <c r="B18" s="88" t="s">
        <v>275</v>
      </c>
      <c r="C18" s="68"/>
      <c r="D18" s="68"/>
      <c r="E18" s="68"/>
      <c r="F18" s="68"/>
      <c r="G18" s="124" t="s">
        <v>37</v>
      </c>
      <c r="H18" s="68"/>
      <c r="I18" s="123">
        <v>1</v>
      </c>
      <c r="J18" s="84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85"/>
    </row>
    <row r="19" spans="1:23" ht="15" thickBot="1" x14ac:dyDescent="0.25">
      <c r="A19" s="84"/>
      <c r="B19" s="68"/>
      <c r="C19" s="68"/>
      <c r="D19" s="68"/>
      <c r="E19" s="68"/>
      <c r="F19" s="68"/>
      <c r="G19" s="68"/>
      <c r="H19" s="68"/>
      <c r="I19" s="85"/>
      <c r="J19" s="84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85"/>
    </row>
    <row r="20" spans="1:23" ht="15.75" thickBot="1" x14ac:dyDescent="0.25">
      <c r="A20" s="114" t="s">
        <v>184</v>
      </c>
      <c r="B20" s="115" t="s">
        <v>58</v>
      </c>
      <c r="C20" s="118" t="s">
        <v>75</v>
      </c>
      <c r="D20" s="118" t="s">
        <v>76</v>
      </c>
      <c r="E20" s="118" t="s">
        <v>77</v>
      </c>
      <c r="F20" s="118" t="s">
        <v>78</v>
      </c>
      <c r="G20" s="118" t="s">
        <v>79</v>
      </c>
      <c r="H20" s="118" t="s">
        <v>197</v>
      </c>
      <c r="I20" s="85"/>
      <c r="J20" s="84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85"/>
    </row>
    <row r="21" spans="1:23" x14ac:dyDescent="0.2">
      <c r="A21" s="114">
        <v>0</v>
      </c>
      <c r="B21" s="116">
        <f t="shared" ref="B21:B30" ca="1" si="0">INDEX(INDIRECT("tbl_"&amp;$G$18), COUNT(Date_List)-20+$I$18+A21, 1)</f>
        <v>44063</v>
      </c>
      <c r="C21" s="119">
        <f t="shared" ref="C21:C30" ca="1" si="1">INDEX(INDIRECT("tbl_"&amp;$G$18), COUNT(Date_List)-20+$I$18+A21, MATCH("Open", Price_Header,0))</f>
        <v>123.199997</v>
      </c>
      <c r="D21" s="119">
        <f t="shared" ref="D21:D30" ca="1" si="2">INDEX(INDIRECT("tbl_"&amp;$G$18), COUNT(Date_List)-20+$I$18+A21, MATCH("High", Price_Header,0))</f>
        <v>124.040001</v>
      </c>
      <c r="E21" s="119">
        <f t="shared" ref="E21:E30" ca="1" si="3">INDEX(INDIRECT("tbl_"&amp;$G$18), COUNT(Date_List)-20+$I$18+A21, MATCH("low", Price_Header,0))</f>
        <v>122.80999799999999</v>
      </c>
      <c r="F21" s="119">
        <f t="shared" ref="F21:F30" ca="1" si="4">INDEX(INDIRECT("tbl_"&amp;$G$18), COUNT(Date_List)-20+$I$18+A21, MATCH("Close", Price_Header,0))</f>
        <v>123.150002</v>
      </c>
      <c r="G21" s="119">
        <f t="shared" ref="G21:G30" ca="1" si="5">INDEX(INDIRECT("tbl_"&amp;$G$18), COUNT(Date_List)-20+$I$18+A21, MATCH("adj close", Price_Header,0))</f>
        <v>123.150002</v>
      </c>
      <c r="H21" s="121">
        <f t="shared" ref="H21:H30" ca="1" si="6">INDEX(INDIRECT("tbl_"&amp;$G$18), COUNT(Date_List)-20+$I$18+A21, MATCH("volume", Price_Header,0))/1000</f>
        <v>2561.1999999999998</v>
      </c>
      <c r="I21" s="85"/>
      <c r="J21" s="84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85"/>
    </row>
    <row r="22" spans="1:23" x14ac:dyDescent="0.2">
      <c r="A22" s="114">
        <v>1</v>
      </c>
      <c r="B22" s="116">
        <f t="shared" ca="1" si="0"/>
        <v>44064</v>
      </c>
      <c r="C22" s="119">
        <f t="shared" ca="1" si="1"/>
        <v>123.010002</v>
      </c>
      <c r="D22" s="119">
        <f t="shared" ca="1" si="2"/>
        <v>123.480003</v>
      </c>
      <c r="E22" s="119">
        <f t="shared" ca="1" si="3"/>
        <v>122.30999799999999</v>
      </c>
      <c r="F22" s="119">
        <f t="shared" ca="1" si="4"/>
        <v>123.160004</v>
      </c>
      <c r="G22" s="119">
        <f t="shared" ca="1" si="5"/>
        <v>123.160004</v>
      </c>
      <c r="H22" s="121">
        <f t="shared" ca="1" si="6"/>
        <v>3385.1</v>
      </c>
      <c r="I22" s="85"/>
      <c r="J22" s="84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85"/>
    </row>
    <row r="23" spans="1:23" x14ac:dyDescent="0.2">
      <c r="A23" s="114">
        <v>2</v>
      </c>
      <c r="B23" s="116">
        <f t="shared" ca="1" si="0"/>
        <v>44067</v>
      </c>
      <c r="C23" s="119">
        <f t="shared" ca="1" si="1"/>
        <v>123.790001</v>
      </c>
      <c r="D23" s="119">
        <f t="shared" ca="1" si="2"/>
        <v>126.05999799999999</v>
      </c>
      <c r="E23" s="119">
        <f t="shared" ca="1" si="3"/>
        <v>123.360001</v>
      </c>
      <c r="F23" s="119">
        <f t="shared" ca="1" si="4"/>
        <v>125.68</v>
      </c>
      <c r="G23" s="119">
        <f t="shared" ca="1" si="5"/>
        <v>125.68</v>
      </c>
      <c r="H23" s="121">
        <f t="shared" ca="1" si="6"/>
        <v>4070.8</v>
      </c>
      <c r="I23" s="85"/>
      <c r="J23" s="84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85"/>
    </row>
    <row r="24" spans="1:23" x14ac:dyDescent="0.2">
      <c r="A24" s="114">
        <v>3</v>
      </c>
      <c r="B24" s="116">
        <f t="shared" ca="1" si="0"/>
        <v>44068</v>
      </c>
      <c r="C24" s="119">
        <f t="shared" ca="1" si="1"/>
        <v>126</v>
      </c>
      <c r="D24" s="119">
        <f t="shared" ca="1" si="2"/>
        <v>126.82</v>
      </c>
      <c r="E24" s="119">
        <f t="shared" ca="1" si="3"/>
        <v>124.489998</v>
      </c>
      <c r="F24" s="119">
        <f t="shared" ca="1" si="4"/>
        <v>124.639999</v>
      </c>
      <c r="G24" s="119">
        <f t="shared" ca="1" si="5"/>
        <v>124.639999</v>
      </c>
      <c r="H24" s="121">
        <f t="shared" ca="1" si="6"/>
        <v>2977.7</v>
      </c>
      <c r="I24" s="85"/>
      <c r="J24" s="84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85"/>
    </row>
    <row r="25" spans="1:23" x14ac:dyDescent="0.2">
      <c r="A25" s="114">
        <v>4</v>
      </c>
      <c r="B25" s="116">
        <f t="shared" ca="1" si="0"/>
        <v>44069</v>
      </c>
      <c r="C25" s="119">
        <f t="shared" ca="1" si="1"/>
        <v>124.949997</v>
      </c>
      <c r="D25" s="119">
        <f t="shared" ca="1" si="2"/>
        <v>125.120003</v>
      </c>
      <c r="E25" s="119">
        <f t="shared" ca="1" si="3"/>
        <v>123.949997</v>
      </c>
      <c r="F25" s="119">
        <f t="shared" ca="1" si="4"/>
        <v>124.16999800000001</v>
      </c>
      <c r="G25" s="119">
        <f t="shared" ca="1" si="5"/>
        <v>124.16999800000001</v>
      </c>
      <c r="H25" s="121">
        <f t="shared" ca="1" si="6"/>
        <v>3388.3</v>
      </c>
      <c r="I25" s="85"/>
      <c r="J25" s="84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85"/>
    </row>
    <row r="26" spans="1:23" x14ac:dyDescent="0.2">
      <c r="A26" s="114">
        <v>5</v>
      </c>
      <c r="B26" s="116">
        <f t="shared" ca="1" si="0"/>
        <v>44070</v>
      </c>
      <c r="C26" s="119">
        <f t="shared" ca="1" si="1"/>
        <v>124.599998</v>
      </c>
      <c r="D26" s="119">
        <f t="shared" ca="1" si="2"/>
        <v>125.099998</v>
      </c>
      <c r="E26" s="119">
        <f t="shared" ca="1" si="3"/>
        <v>123.980003</v>
      </c>
      <c r="F26" s="119">
        <f t="shared" ca="1" si="4"/>
        <v>124.650002</v>
      </c>
      <c r="G26" s="119">
        <f t="shared" ca="1" si="5"/>
        <v>124.650002</v>
      </c>
      <c r="H26" s="121">
        <f t="shared" ca="1" si="6"/>
        <v>3422.7</v>
      </c>
      <c r="I26" s="85"/>
      <c r="J26" s="84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85"/>
    </row>
    <row r="27" spans="1:23" x14ac:dyDescent="0.2">
      <c r="A27" s="114">
        <v>6</v>
      </c>
      <c r="B27" s="116">
        <f t="shared" ca="1" si="0"/>
        <v>44071</v>
      </c>
      <c r="C27" s="119">
        <f t="shared" ca="1" si="1"/>
        <v>124.959999</v>
      </c>
      <c r="D27" s="119">
        <f t="shared" ca="1" si="2"/>
        <v>125.300003</v>
      </c>
      <c r="E27" s="119">
        <f t="shared" ca="1" si="3"/>
        <v>124.220001</v>
      </c>
      <c r="F27" s="119">
        <f t="shared" ca="1" si="4"/>
        <v>125.07</v>
      </c>
      <c r="G27" s="119">
        <f t="shared" ca="1" si="5"/>
        <v>125.07</v>
      </c>
      <c r="H27" s="121">
        <f t="shared" ca="1" si="6"/>
        <v>3099.6</v>
      </c>
      <c r="I27" s="85"/>
      <c r="J27" s="84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85"/>
    </row>
    <row r="28" spans="1:23" x14ac:dyDescent="0.2">
      <c r="A28" s="114">
        <v>7</v>
      </c>
      <c r="B28" s="116">
        <f t="shared" ca="1" si="0"/>
        <v>44074</v>
      </c>
      <c r="C28" s="119">
        <f t="shared" ca="1" si="1"/>
        <v>125.25</v>
      </c>
      <c r="D28" s="119">
        <f t="shared" ca="1" si="2"/>
        <v>125.25</v>
      </c>
      <c r="E28" s="119">
        <f t="shared" ca="1" si="3"/>
        <v>123.029999</v>
      </c>
      <c r="F28" s="119">
        <f t="shared" ca="1" si="4"/>
        <v>123.30999799999999</v>
      </c>
      <c r="G28" s="119">
        <f t="shared" ca="1" si="5"/>
        <v>123.30999799999999</v>
      </c>
      <c r="H28" s="121">
        <f t="shared" ca="1" si="6"/>
        <v>4827.8999999999996</v>
      </c>
      <c r="I28" s="85"/>
      <c r="J28" s="84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85"/>
    </row>
    <row r="29" spans="1:23" x14ac:dyDescent="0.2">
      <c r="A29" s="114">
        <v>8</v>
      </c>
      <c r="B29" s="116">
        <f t="shared" ca="1" si="0"/>
        <v>44075</v>
      </c>
      <c r="C29" s="119">
        <f t="shared" ca="1" si="1"/>
        <v>122.849998</v>
      </c>
      <c r="D29" s="119">
        <f t="shared" ca="1" si="2"/>
        <v>123.949997</v>
      </c>
      <c r="E29" s="119">
        <f t="shared" ca="1" si="3"/>
        <v>122.150002</v>
      </c>
      <c r="F29" s="119">
        <f t="shared" ca="1" si="4"/>
        <v>123.400002</v>
      </c>
      <c r="G29" s="119">
        <f t="shared" ca="1" si="5"/>
        <v>123.400002</v>
      </c>
      <c r="H29" s="121">
        <f t="shared" ca="1" si="6"/>
        <v>3155.3</v>
      </c>
      <c r="I29" s="85"/>
      <c r="J29" s="84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85"/>
    </row>
    <row r="30" spans="1:23" ht="15" thickBot="1" x14ac:dyDescent="0.25">
      <c r="A30" s="114">
        <v>9</v>
      </c>
      <c r="B30" s="117">
        <f t="shared" ca="1" si="0"/>
        <v>44076</v>
      </c>
      <c r="C30" s="120">
        <f t="shared" ca="1" si="1"/>
        <v>123.720001</v>
      </c>
      <c r="D30" s="120">
        <f t="shared" ca="1" si="2"/>
        <v>128.699997</v>
      </c>
      <c r="E30" s="120">
        <f t="shared" ca="1" si="3"/>
        <v>123.58000199999999</v>
      </c>
      <c r="F30" s="120">
        <f t="shared" ca="1" si="4"/>
        <v>128.179993</v>
      </c>
      <c r="G30" s="120">
        <f t="shared" ca="1" si="5"/>
        <v>128.179993</v>
      </c>
      <c r="H30" s="122">
        <f t="shared" ca="1" si="6"/>
        <v>6592.4</v>
      </c>
      <c r="I30" s="85"/>
      <c r="J30" s="84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85"/>
    </row>
    <row r="31" spans="1:23" ht="18" x14ac:dyDescent="0.25">
      <c r="A31" s="84"/>
      <c r="B31" s="80"/>
      <c r="C31" s="79"/>
      <c r="D31" s="79"/>
      <c r="E31" s="79"/>
      <c r="F31" s="79"/>
      <c r="G31" s="79"/>
      <c r="H31" s="68"/>
      <c r="I31" s="85"/>
      <c r="J31" s="125" t="s">
        <v>204</v>
      </c>
      <c r="K31" s="68"/>
      <c r="L31" s="68"/>
      <c r="M31" s="68"/>
      <c r="N31" s="68"/>
      <c r="O31" s="68"/>
      <c r="P31" s="68"/>
      <c r="Q31" s="92" t="s">
        <v>205</v>
      </c>
      <c r="R31" s="68"/>
      <c r="S31" s="68"/>
      <c r="T31" s="68"/>
      <c r="U31" s="68"/>
      <c r="V31" s="68"/>
      <c r="W31" s="85"/>
    </row>
    <row r="32" spans="1:23" x14ac:dyDescent="0.2">
      <c r="A32" s="84"/>
      <c r="B32" s="80"/>
      <c r="C32" s="68"/>
      <c r="D32" s="68"/>
      <c r="E32" s="68"/>
      <c r="F32" s="68"/>
      <c r="G32" s="68"/>
      <c r="H32" s="68"/>
      <c r="I32" s="85"/>
      <c r="J32" s="84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85"/>
    </row>
    <row r="33" spans="1:23" x14ac:dyDescent="0.2">
      <c r="A33" s="84"/>
      <c r="B33" s="80"/>
      <c r="C33" s="68"/>
      <c r="D33" s="68"/>
      <c r="E33" s="68"/>
      <c r="F33" s="68"/>
      <c r="G33" s="68"/>
      <c r="H33" s="68"/>
      <c r="I33" s="85"/>
      <c r="J33" s="84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85"/>
    </row>
    <row r="34" spans="1:23" x14ac:dyDescent="0.2">
      <c r="A34" s="84"/>
      <c r="B34" s="80"/>
      <c r="C34" s="68"/>
      <c r="D34" s="68"/>
      <c r="E34" s="68"/>
      <c r="F34" s="68"/>
      <c r="G34" s="68"/>
      <c r="H34" s="68"/>
      <c r="I34" s="85"/>
      <c r="J34" s="84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85"/>
    </row>
    <row r="35" spans="1:23" x14ac:dyDescent="0.2">
      <c r="A35" s="84"/>
      <c r="B35" s="80"/>
      <c r="C35" s="68"/>
      <c r="D35" s="68"/>
      <c r="E35" s="68"/>
      <c r="F35" s="68"/>
      <c r="G35" s="68"/>
      <c r="H35" s="68"/>
      <c r="I35" s="85"/>
      <c r="J35" s="84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85"/>
    </row>
    <row r="36" spans="1:23" x14ac:dyDescent="0.2">
      <c r="A36" s="84"/>
      <c r="B36" s="68"/>
      <c r="C36" s="68"/>
      <c r="D36" s="68"/>
      <c r="E36" s="68"/>
      <c r="F36" s="68"/>
      <c r="G36" s="68"/>
      <c r="H36" s="68"/>
      <c r="I36" s="85"/>
      <c r="J36" s="84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85"/>
    </row>
    <row r="37" spans="1:23" x14ac:dyDescent="0.2">
      <c r="A37" s="84"/>
      <c r="B37" s="68"/>
      <c r="C37" s="68"/>
      <c r="D37" s="68"/>
      <c r="E37" s="68"/>
      <c r="F37" s="68"/>
      <c r="G37" s="68"/>
      <c r="H37" s="68"/>
      <c r="I37" s="85"/>
      <c r="J37" s="84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85"/>
    </row>
    <row r="38" spans="1:23" x14ac:dyDescent="0.2">
      <c r="A38" s="84"/>
      <c r="B38" s="68"/>
      <c r="C38" s="68"/>
      <c r="D38" s="68"/>
      <c r="E38" s="68"/>
      <c r="F38" s="68"/>
      <c r="G38" s="68"/>
      <c r="H38" s="68"/>
      <c r="I38" s="85"/>
      <c r="J38" s="84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85"/>
    </row>
    <row r="39" spans="1:23" x14ac:dyDescent="0.2">
      <c r="A39" s="84"/>
      <c r="B39" s="68"/>
      <c r="C39" s="68"/>
      <c r="D39" s="68"/>
      <c r="E39" s="68"/>
      <c r="F39" s="68"/>
      <c r="G39" s="68"/>
      <c r="H39" s="68"/>
      <c r="I39" s="85"/>
      <c r="J39" s="84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85"/>
    </row>
    <row r="40" spans="1:23" x14ac:dyDescent="0.2">
      <c r="A40" s="84"/>
      <c r="B40" s="68"/>
      <c r="C40" s="68"/>
      <c r="D40" s="68"/>
      <c r="E40" s="68"/>
      <c r="F40" s="68"/>
      <c r="G40" s="68"/>
      <c r="H40" s="68"/>
      <c r="I40" s="85"/>
      <c r="J40" s="84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85"/>
    </row>
    <row r="41" spans="1:23" x14ac:dyDescent="0.2">
      <c r="A41" s="84"/>
      <c r="B41" s="68"/>
      <c r="C41" s="68"/>
      <c r="D41" s="68"/>
      <c r="E41" s="68"/>
      <c r="F41" s="68"/>
      <c r="G41" s="68"/>
      <c r="H41" s="68"/>
      <c r="I41" s="85"/>
      <c r="J41" s="84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85"/>
    </row>
    <row r="42" spans="1:23" x14ac:dyDescent="0.2">
      <c r="A42" s="84"/>
      <c r="B42" s="68"/>
      <c r="C42" s="68"/>
      <c r="D42" s="68"/>
      <c r="E42" s="68"/>
      <c r="F42" s="68"/>
      <c r="G42" s="68"/>
      <c r="H42" s="68"/>
      <c r="I42" s="85"/>
      <c r="J42" s="84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85"/>
    </row>
    <row r="43" spans="1:23" x14ac:dyDescent="0.2">
      <c r="A43" s="84"/>
      <c r="B43" s="68"/>
      <c r="C43" s="68"/>
      <c r="D43" s="68"/>
      <c r="E43" s="68"/>
      <c r="F43" s="68"/>
      <c r="G43" s="68"/>
      <c r="H43" s="68"/>
      <c r="I43" s="85"/>
      <c r="J43" s="84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85"/>
    </row>
    <row r="44" spans="1:23" ht="15" thickBot="1" x14ac:dyDescent="0.25">
      <c r="A44" s="76"/>
      <c r="B44" s="86"/>
      <c r="C44" s="86"/>
      <c r="D44" s="86"/>
      <c r="E44" s="86"/>
      <c r="F44" s="86"/>
      <c r="G44" s="86"/>
      <c r="H44" s="86"/>
      <c r="I44" s="77"/>
      <c r="J44" s="7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77"/>
    </row>
  </sheetData>
  <dataValidations count="1">
    <dataValidation type="list" allowBlank="1" showInputMessage="1" showErrorMessage="1" sqref="G18">
      <formula1>Symbol</formula1>
    </dataValidation>
  </dataValidations>
  <pageMargins left="0.7" right="0.7" top="0.75" bottom="0.75" header="0.3" footer="0.3"/>
  <pageSetup paperSize="9" scale="55" fitToWidth="0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9" r:id="rId4" name="Scroll Bar 3">
              <controlPr defaultSize="0" autoPict="0">
                <anchor moveWithCells="1">
                  <from>
                    <xdr:col>8</xdr:col>
                    <xdr:colOff>9525</xdr:colOff>
                    <xdr:row>18</xdr:row>
                    <xdr:rowOff>161925</xdr:rowOff>
                  </from>
                  <to>
                    <xdr:col>8</xdr:col>
                    <xdr:colOff>114300</xdr:colOff>
                    <xdr:row>29</xdr:row>
                    <xdr:rowOff>180975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24C6D3AC-C37C-4686-AFCB-351EF2B7A588}">
            <x14:iconSet showValue="0" custom="1">
              <x14:cfvo type="percent">
                <xm:f>0</xm:f>
              </x14:cfvo>
              <x14:cfvo type="num">
                <xm:f>-0.05</xm:f>
              </x14:cfvo>
              <x14:cfvo type="num">
                <xm:f>0.05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G6</xm:sqref>
        </x14:conditionalFormatting>
        <x14:conditionalFormatting xmlns:xm="http://schemas.microsoft.com/office/excel/2006/main">
          <x14:cfRule type="iconSet" priority="3" id="{9D090D01-B9E4-485C-9F10-B580B59A17B0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G5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20"/>
  <sheetViews>
    <sheetView topLeftCell="P1" workbookViewId="0">
      <selection activeCell="AE22" sqref="AE22"/>
    </sheetView>
  </sheetViews>
  <sheetFormatPr defaultRowHeight="15" x14ac:dyDescent="0.25"/>
  <cols>
    <col min="4" max="4" width="14.7109375" customWidth="1"/>
    <col min="5" max="5" width="12.28515625" customWidth="1"/>
    <col min="11" max="11" width="11.140625" customWidth="1"/>
    <col min="12" max="12" width="11.5703125" customWidth="1"/>
    <col min="20" max="20" width="9.7109375" bestFit="1" customWidth="1"/>
    <col min="22" max="22" width="12.85546875" customWidth="1"/>
    <col min="30" max="30" width="10.7109375" customWidth="1"/>
    <col min="33" max="33" width="9.7109375" bestFit="1" customWidth="1"/>
    <col min="34" max="34" width="12" customWidth="1"/>
    <col min="35" max="35" width="14.5703125" customWidth="1"/>
    <col min="36" max="36" width="12.5703125" bestFit="1" customWidth="1"/>
  </cols>
  <sheetData>
    <row r="1" spans="2:37" x14ac:dyDescent="0.25">
      <c r="R1" s="21"/>
    </row>
    <row r="2" spans="2:37" x14ac:dyDescent="0.25">
      <c r="B2" s="51" t="s">
        <v>212</v>
      </c>
      <c r="J2" s="51" t="s">
        <v>213</v>
      </c>
      <c r="T2" t="s">
        <v>183</v>
      </c>
      <c r="U2" s="51" t="str">
        <f>Dashboard!G18</f>
        <v>IBM</v>
      </c>
      <c r="V2" t="s">
        <v>58</v>
      </c>
      <c r="W2" s="51">
        <v>14</v>
      </c>
      <c r="Y2" s="51" t="s">
        <v>255</v>
      </c>
      <c r="AG2" s="51" t="s">
        <v>214</v>
      </c>
    </row>
    <row r="3" spans="2:37" ht="15.75" thickBot="1" x14ac:dyDescent="0.3">
      <c r="R3" s="21"/>
    </row>
    <row r="4" spans="2:37" ht="15.75" thickBot="1" x14ac:dyDescent="0.3">
      <c r="B4" t="s">
        <v>184</v>
      </c>
      <c r="C4" t="s">
        <v>183</v>
      </c>
      <c r="D4" t="s">
        <v>182</v>
      </c>
      <c r="E4" t="s">
        <v>181</v>
      </c>
      <c r="F4" t="s">
        <v>162</v>
      </c>
      <c r="J4" t="s">
        <v>184</v>
      </c>
      <c r="K4" t="s">
        <v>188</v>
      </c>
      <c r="L4" t="s">
        <v>189</v>
      </c>
      <c r="M4" t="s">
        <v>190</v>
      </c>
      <c r="N4" t="s">
        <v>191</v>
      </c>
      <c r="O4" t="s">
        <v>192</v>
      </c>
      <c r="P4" t="s">
        <v>193</v>
      </c>
      <c r="S4" s="58" t="s">
        <v>184</v>
      </c>
      <c r="T4" s="59" t="s">
        <v>58</v>
      </c>
      <c r="U4" s="59" t="s">
        <v>79</v>
      </c>
      <c r="V4" s="59" t="s">
        <v>197</v>
      </c>
      <c r="W4" s="59" t="s">
        <v>84</v>
      </c>
      <c r="X4" s="59" t="s">
        <v>85</v>
      </c>
      <c r="Y4" s="59" t="s">
        <v>198</v>
      </c>
      <c r="Z4" s="59" t="s">
        <v>199</v>
      </c>
      <c r="AA4" s="59" t="s">
        <v>200</v>
      </c>
      <c r="AB4" s="59" t="s">
        <v>201</v>
      </c>
      <c r="AC4" s="59" t="s">
        <v>206</v>
      </c>
      <c r="AD4" s="60" t="s">
        <v>207</v>
      </c>
      <c r="AG4" s="58" t="s">
        <v>184</v>
      </c>
      <c r="AH4" s="59" t="s">
        <v>58</v>
      </c>
      <c r="AI4" s="59" t="s">
        <v>208</v>
      </c>
      <c r="AJ4" s="59" t="s">
        <v>209</v>
      </c>
      <c r="AK4" s="60" t="s">
        <v>211</v>
      </c>
    </row>
    <row r="5" spans="2:37" x14ac:dyDescent="0.25">
      <c r="B5">
        <v>1</v>
      </c>
      <c r="C5" t="str">
        <f t="shared" ref="C5:C10" si="0">INDEX(Symbol,B5)</f>
        <v>AAPL</v>
      </c>
      <c r="D5">
        <f ca="1">INDEX(INDIRECT("tbl_"&amp;C5),COUNT(INDIRECT("tbl_"&amp;C5&amp;"[Date]")), MATCH("Adj close", Price_Header,0))</f>
        <v>110.339996</v>
      </c>
      <c r="E5">
        <f>INDEX(tbl_position[], COUNT(tbl_position[Date]), MATCH("Shares_"&amp;C5, pos_header,0))</f>
        <v>100</v>
      </c>
      <c r="F5">
        <f ca="1">tbl_holdings[[#This Row],[Current Price]]*tbl_holdings[[#This Row],['# Holdings]]</f>
        <v>11033.999599999999</v>
      </c>
      <c r="J5">
        <v>1</v>
      </c>
      <c r="K5" s="8">
        <v>44083</v>
      </c>
      <c r="L5" s="8">
        <f>K5+6</f>
        <v>44089</v>
      </c>
      <c r="M5">
        <f>ABS(SUMIFS(tbl_transaction[Net_Cash_Change], tbl_transaction[Transactions], M$4, tbl_transaction[Transaction_Date], "&gt;="&amp;tbl_transsummary[[#This Row],[Start]], tbl_transaction[Transaction_Date], "&lt;=" &amp;tbl_transsummary[[#This Row],[End]]))</f>
        <v>57077.3</v>
      </c>
      <c r="N5">
        <f>ABS(SUMIFS(tbl_transaction[Net_Cash_Change], tbl_transaction[Transactions], N$4, tbl_transaction[Transaction_Date], "&gt;="&amp;tbl_transsummary[[#This Row],[Start]], tbl_transaction[Transaction_Date], "&lt;=" &amp;tbl_transsummary[[#This Row],[End]]))</f>
        <v>19777.5</v>
      </c>
      <c r="O5">
        <f>ABS(SUMIFS(tbl_transaction[Net_Stock_Change], tbl_transaction[Transactions], O$4, tbl_transaction[Transaction_Date], "&gt;="&amp;tbl_transsummary[[#This Row],[Start]], tbl_transaction[Transaction_Date], "&lt;=" &amp;tbl_transsummary[[#This Row],[End]]))</f>
        <v>24697.5</v>
      </c>
      <c r="P5">
        <f>ABS(SUMIFS(tbl_transaction[Net_Stock_Change], tbl_transaction[Transactions], P$4, tbl_transaction[Transaction_Date], "&gt;="&amp;tbl_transsummary[[#This Row],[Start]], tbl_transaction[Transaction_Date], "&lt;=" &amp;tbl_transsummary[[#This Row],[End]]))</f>
        <v>25147.5</v>
      </c>
      <c r="S5" s="18">
        <v>1</v>
      </c>
      <c r="T5" s="62">
        <f ca="1">INDEX(INDIRECT("tbl_"&amp;$U$2), COUNT(Date_List)-$W$2+$S5, 1)</f>
        <v>44071</v>
      </c>
      <c r="U5" s="63">
        <f ca="1">INDEX(INDIRECT("tbl_"&amp;$U$2), COUNT(Date_List)-$W$2+$S5, MATCH("Adj Close", Price_Header,0))</f>
        <v>125.07</v>
      </c>
      <c r="V5" s="19">
        <f t="shared" ref="V5:V18" ca="1" si="1">INDEX(INDIRECT("tbl_"&amp;$U$2), COUNT(Date_List)-$W$2+$S5, MATCH("volume", Price_Header,0))/1000</f>
        <v>3099.6</v>
      </c>
      <c r="W5" s="63">
        <f t="shared" ref="W5:W18" ca="1" si="2">INDEX(INDIRECT("tbl_"&amp;$U$2), COUNT(Date_List)-$W$2+$S5, MATCH("EMA", Price_Header,0))</f>
        <v>125.22460416891472</v>
      </c>
      <c r="X5" s="64">
        <f t="shared" ref="X5:X18" ca="1" si="3">INDEX(INDIRECT("tbl_"&amp;$U$2), COUNT(Date_List)-$W$2+$S5, MATCH("RSI", Price_Header,0))</f>
        <v>40.135381188509939</v>
      </c>
      <c r="Y5" s="63">
        <f t="shared" ref="Y5:Y18" ca="1" si="4">INDEX(INDIRECT("tbl_"&amp;$U$2), COUNT(Date_List)-$W$2+$S5, MATCH("BB_Mean", Price_Header,0))</f>
        <v>124.8192852857143</v>
      </c>
      <c r="Z5" s="63">
        <f t="shared" ref="Z5:Z18" ca="1" si="5">INDEX(INDIRECT("tbl_"&amp;$U$2), COUNT(Date_List)-$W$2+$S5, MATCH("BB_upper", Price_Header,0))</f>
        <v>126.99969221235337</v>
      </c>
      <c r="AA5" s="63">
        <f t="shared" ref="AA5:AA18" ca="1" si="6">INDEX(INDIRECT("tbl_"&amp;$U$2), COUNT(Date_List)-$W$2+$S5, MATCH("BB_lower", Price_Header,0))</f>
        <v>122.63887835907524</v>
      </c>
      <c r="AB5" s="19" t="str">
        <f ca="1">TEXT(T5, "mm/dd")</f>
        <v>08/28</v>
      </c>
      <c r="AC5" s="19">
        <v>70</v>
      </c>
      <c r="AD5" s="20">
        <v>30</v>
      </c>
      <c r="AG5">
        <v>0</v>
      </c>
      <c r="AH5" s="8">
        <v>44083</v>
      </c>
      <c r="AI5" s="126">
        <v>100000</v>
      </c>
      <c r="AJ5" s="126">
        <v>100000</v>
      </c>
      <c r="AK5" t="str">
        <f>TEXT(AH5, "mm/dd")</f>
        <v>09/09</v>
      </c>
    </row>
    <row r="6" spans="2:37" x14ac:dyDescent="0.25">
      <c r="B6">
        <v>2</v>
      </c>
      <c r="C6" t="str">
        <f t="shared" si="0"/>
        <v>AKRO</v>
      </c>
      <c r="D6">
        <f t="shared" ref="D6:D10" ca="1" si="7">INDEX(INDIRECT("tbl_"&amp;C6),COUNT(INDIRECT("tbl_"&amp;C6&amp;"[Date]")), MATCH("Adj close", Price_Header,0))</f>
        <v>36.159999999999997</v>
      </c>
      <c r="E6">
        <f>INDEX(tbl_position[], COUNT(tbl_position[Date]), MATCH("Shares_"&amp;C6, pos_header,0))</f>
        <v>100</v>
      </c>
      <c r="F6">
        <f ca="1">tbl_holdings[[#This Row],[Current Price]]*tbl_holdings[[#This Row],['# Holdings]]</f>
        <v>3615.9999999999995</v>
      </c>
      <c r="J6">
        <v>2</v>
      </c>
      <c r="K6" s="8">
        <f>K5+7</f>
        <v>44090</v>
      </c>
      <c r="L6" s="8">
        <f>L5+7</f>
        <v>44096</v>
      </c>
      <c r="M6">
        <f>ABS(SUMIFS(tbl_transaction[Net_Cash_Change], tbl_transaction[Transactions], M$4, tbl_transaction[Transaction_Date], "&gt;="&amp;tbl_transsummary[[#This Row],[Start]], tbl_transaction[Transaction_Date], "&lt;=" &amp;tbl_transsummary[[#This Row],[End]]))</f>
        <v>22756</v>
      </c>
      <c r="N6">
        <f>ABS(SUMIFS(tbl_transaction[Net_Cash_Change], tbl_transaction[Transactions], N$4, tbl_transaction[Transaction_Date], "&gt;="&amp;tbl_transsummary[[#This Row],[Start]], tbl_transaction[Transaction_Date], "&lt;=" &amp;tbl_transsummary[[#This Row],[End]]))</f>
        <v>18005</v>
      </c>
      <c r="O6">
        <f>ABS(SUMIFS(tbl_transaction[Net_Stock_Change], tbl_transaction[Transactions], O$4, tbl_transaction[Transaction_Date], "&gt;="&amp;tbl_transsummary[[#This Row],[Start]], tbl_transaction[Transaction_Date], "&lt;=" &amp;tbl_transsummary[[#This Row],[End]]))</f>
        <v>22687.599999999999</v>
      </c>
      <c r="P6">
        <f>ABS(SUMIFS(tbl_transaction[Net_Stock_Change], tbl_transaction[Transactions], P$4, tbl_transaction[Transaction_Date], "&gt;="&amp;tbl_transsummary[[#This Row],[Start]], tbl_transaction[Transaction_Date], "&lt;=" &amp;tbl_transsummary[[#This Row],[End]]))</f>
        <v>16744.7</v>
      </c>
      <c r="S6" s="14">
        <v>2</v>
      </c>
      <c r="T6" s="52">
        <f t="shared" ref="T6:T18" ca="1" si="8">INDEX(INDIRECT("tbl_"&amp;$U$2), COUNT(Date_List)-$W$2+$S6, 1)</f>
        <v>44074</v>
      </c>
      <c r="U6" s="53">
        <f t="shared" ref="U6:U18" ca="1" si="9">INDEX(INDIRECT("tbl_"&amp;$U$2), COUNT(Date_List)-$W$2+$S6, MATCH("Adj Close", Price_Header,0))</f>
        <v>123.30999799999999</v>
      </c>
      <c r="V6" s="21">
        <f t="shared" ca="1" si="1"/>
        <v>4827.8999999999996</v>
      </c>
      <c r="W6" s="53">
        <f t="shared" ca="1" si="2"/>
        <v>125.03314355202325</v>
      </c>
      <c r="X6" s="54">
        <f t="shared" ca="1" si="3"/>
        <v>35.349212392855492</v>
      </c>
      <c r="Y6" s="53">
        <f t="shared" ca="1" si="4"/>
        <v>124.57357085714285</v>
      </c>
      <c r="Z6" s="53">
        <f t="shared" ca="1" si="5"/>
        <v>126.58554251666078</v>
      </c>
      <c r="AA6" s="53">
        <f t="shared" ca="1" si="6"/>
        <v>122.56159919762493</v>
      </c>
      <c r="AB6" s="21" t="str">
        <f t="shared" ref="AB6:AB18" ca="1" si="10">TEXT(T6, "mm/dd")</f>
        <v>08/31</v>
      </c>
      <c r="AC6" s="21">
        <v>70</v>
      </c>
      <c r="AD6" s="15">
        <v>30</v>
      </c>
      <c r="AG6" s="47">
        <v>1</v>
      </c>
      <c r="AH6" s="8">
        <f>INDEX(tbl_position[Date], AG6)</f>
        <v>44084</v>
      </c>
      <c r="AI6" s="127">
        <f ca="1">INDEX(tbl_position[Total_Net_Asset], AG6)</f>
        <v>98595.0003</v>
      </c>
      <c r="AJ6" s="126">
        <f>INDEX(tbl_position[Cash_Holding], AG6)</f>
        <v>63721.5</v>
      </c>
      <c r="AK6" t="str">
        <f>TEXT(AH6, "mm/dd")</f>
        <v>09/10</v>
      </c>
    </row>
    <row r="7" spans="2:37" x14ac:dyDescent="0.25">
      <c r="B7">
        <v>3</v>
      </c>
      <c r="C7" t="str">
        <f t="shared" si="0"/>
        <v>FDX</v>
      </c>
      <c r="D7">
        <f t="shared" ca="1" si="7"/>
        <v>244.08000200000001</v>
      </c>
      <c r="E7">
        <f>INDEX(tbl_position[], COUNT(tbl_position[Date]), MATCH("Shares_"&amp;C7, pos_header,0))</f>
        <v>0</v>
      </c>
      <c r="F7">
        <f ca="1">tbl_holdings[[#This Row],[Current Price]]*tbl_holdings[[#This Row],['# Holdings]]</f>
        <v>0</v>
      </c>
      <c r="J7">
        <v>3</v>
      </c>
      <c r="K7" s="8">
        <f t="shared" ref="K7:K10" si="11">K6+7</f>
        <v>44097</v>
      </c>
      <c r="L7" s="8">
        <f t="shared" ref="L7:L10" si="12">L6+7</f>
        <v>44103</v>
      </c>
      <c r="M7">
        <f>ABS(SUMIFS(tbl_transaction[Net_Cash_Change], tbl_transaction[Transactions], M$4, tbl_transaction[Transaction_Date], "&gt;="&amp;tbl_transsummary[[#This Row],[Start]], tbl_transaction[Transaction_Date], "&lt;=" &amp;tbl_transsummary[[#This Row],[End]]))</f>
        <v>0</v>
      </c>
      <c r="N7">
        <f>ABS(SUMIFS(tbl_transaction[Net_Cash_Change], tbl_transaction[Transactions], N$4, tbl_transaction[Transaction_Date], "&gt;="&amp;tbl_transsummary[[#This Row],[Start]], tbl_transaction[Transaction_Date], "&lt;=" &amp;tbl_transsummary[[#This Row],[End]]))</f>
        <v>0</v>
      </c>
      <c r="O7">
        <f>ABS(SUMIFS(tbl_transaction[Net_Stock_Change], tbl_transaction[Transactions], O$4, tbl_transaction[Transaction_Date], "&gt;="&amp;tbl_transsummary[[#This Row],[Start]], tbl_transaction[Transaction_Date], "&lt;=" &amp;tbl_transsummary[[#This Row],[End]]))</f>
        <v>0</v>
      </c>
      <c r="P7">
        <f>ABS(SUMIFS(tbl_transaction[Net_Stock_Change], tbl_transaction[Transactions], P$4, tbl_transaction[Transaction_Date], "&gt;="&amp;tbl_transsummary[[#This Row],[Start]], tbl_transaction[Transaction_Date], "&lt;=" &amp;tbl_transsummary[[#This Row],[End]]))</f>
        <v>0</v>
      </c>
      <c r="S7" s="14">
        <v>3</v>
      </c>
      <c r="T7" s="52">
        <f t="shared" ca="1" si="8"/>
        <v>44075</v>
      </c>
      <c r="U7" s="53">
        <f t="shared" ca="1" si="9"/>
        <v>123.400002</v>
      </c>
      <c r="V7" s="21">
        <f t="shared" ca="1" si="1"/>
        <v>3155.3</v>
      </c>
      <c r="W7" s="53">
        <f t="shared" ca="1" si="2"/>
        <v>124.86982939682092</v>
      </c>
      <c r="X7" s="54">
        <f t="shared" ca="1" si="3"/>
        <v>35.993219349658261</v>
      </c>
      <c r="Y7" s="53">
        <f t="shared" ca="1" si="4"/>
        <v>124.33785692857144</v>
      </c>
      <c r="Z7" s="53">
        <f t="shared" ca="1" si="5"/>
        <v>126.02343542333212</v>
      </c>
      <c r="AA7" s="53">
        <f t="shared" ca="1" si="6"/>
        <v>122.65227843381076</v>
      </c>
      <c r="AB7" s="21" t="str">
        <f t="shared" ca="1" si="10"/>
        <v>09/01</v>
      </c>
      <c r="AC7" s="21">
        <v>70</v>
      </c>
      <c r="AD7" s="15">
        <v>30</v>
      </c>
      <c r="AG7" s="47">
        <v>2</v>
      </c>
      <c r="AH7" s="8">
        <f>INDEX(tbl_position[Date], AG7)</f>
        <v>44085</v>
      </c>
      <c r="AI7" s="127">
        <f ca="1">INDEX(tbl_position[Total_Net_Asset], AG7)</f>
        <v>98794.499349999998</v>
      </c>
      <c r="AJ7" s="126">
        <f>INDEX(tbl_position[Cash_Holding], AG7)</f>
        <v>65134</v>
      </c>
      <c r="AK7" t="str">
        <f>TEXT(AH7, "mm/dd")</f>
        <v>09/11</v>
      </c>
    </row>
    <row r="8" spans="2:37" x14ac:dyDescent="0.25">
      <c r="B8">
        <v>4</v>
      </c>
      <c r="C8" t="str">
        <f t="shared" si="0"/>
        <v>HD</v>
      </c>
      <c r="D8">
        <f t="shared" ca="1" si="7"/>
        <v>279.959991</v>
      </c>
      <c r="E8">
        <f>INDEX(tbl_position[], COUNT(tbl_position[Date]), MATCH("Shares_"&amp;C8, pos_header,0))</f>
        <v>50</v>
      </c>
      <c r="F8">
        <f ca="1">tbl_holdings[[#This Row],[Current Price]]*tbl_holdings[[#This Row],['# Holdings]]</f>
        <v>13997.99955</v>
      </c>
      <c r="J8">
        <v>4</v>
      </c>
      <c r="K8" s="8">
        <f t="shared" si="11"/>
        <v>44104</v>
      </c>
      <c r="L8" s="8">
        <f t="shared" si="12"/>
        <v>44110</v>
      </c>
      <c r="M8">
        <f>ABS(SUMIFS(tbl_transaction[Net_Cash_Change], tbl_transaction[Transactions], M$4, tbl_transaction[Transaction_Date], "&gt;="&amp;tbl_transsummary[[#This Row],[Start]], tbl_transaction[Transaction_Date], "&lt;=" &amp;tbl_transsummary[[#This Row],[End]]))</f>
        <v>0</v>
      </c>
      <c r="N8">
        <f>ABS(SUMIFS(tbl_transaction[Net_Cash_Change], tbl_transaction[Transactions], N$4, tbl_transaction[Transaction_Date], "&gt;="&amp;tbl_transsummary[[#This Row],[Start]], tbl_transaction[Transaction_Date], "&lt;=" &amp;tbl_transsummary[[#This Row],[End]]))</f>
        <v>0</v>
      </c>
      <c r="O8">
        <f>ABS(SUMIFS(tbl_transaction[Net_Stock_Change], tbl_transaction[Transactions], O$4, tbl_transaction[Transaction_Date], "&gt;="&amp;tbl_transsummary[[#This Row],[Start]], tbl_transaction[Transaction_Date], "&lt;=" &amp;tbl_transsummary[[#This Row],[End]]))</f>
        <v>0</v>
      </c>
      <c r="P8">
        <f>ABS(SUMIFS(tbl_transaction[Net_Stock_Change], tbl_transaction[Transactions], P$4, tbl_transaction[Transaction_Date], "&gt;="&amp;tbl_transsummary[[#This Row],[Start]], tbl_transaction[Transaction_Date], "&lt;=" &amp;tbl_transsummary[[#This Row],[End]]))</f>
        <v>0</v>
      </c>
      <c r="S8" s="14">
        <v>4</v>
      </c>
      <c r="T8" s="52">
        <f t="shared" ca="1" si="8"/>
        <v>44076</v>
      </c>
      <c r="U8" s="53">
        <f t="shared" ca="1" si="9"/>
        <v>128.179993</v>
      </c>
      <c r="V8" s="21">
        <f t="shared" ca="1" si="1"/>
        <v>6592.4</v>
      </c>
      <c r="W8" s="53">
        <f t="shared" ca="1" si="2"/>
        <v>125.20084575713882</v>
      </c>
      <c r="X8" s="54">
        <f t="shared" ca="1" si="3"/>
        <v>60.577560056478212</v>
      </c>
      <c r="Y8" s="53">
        <f t="shared" ca="1" si="4"/>
        <v>124.5628565</v>
      </c>
      <c r="Z8" s="53">
        <f t="shared" ca="1" si="5"/>
        <v>127.21197942863579</v>
      </c>
      <c r="AA8" s="53">
        <f t="shared" ca="1" si="6"/>
        <v>121.9137335713642</v>
      </c>
      <c r="AB8" s="21" t="str">
        <f t="shared" ca="1" si="10"/>
        <v>09/02</v>
      </c>
      <c r="AC8" s="21">
        <v>70</v>
      </c>
      <c r="AD8" s="15">
        <v>30</v>
      </c>
      <c r="AG8" s="47">
        <v>3</v>
      </c>
      <c r="AH8" s="8">
        <v>44088</v>
      </c>
      <c r="AI8" s="127">
        <f ca="1">INDEX(tbl_position[Total_Net_Asset], AG8)</f>
        <v>100686.20004999998</v>
      </c>
      <c r="AJ8" s="126">
        <f>INDEX(tbl_position[Cash_Holding], AG8)</f>
        <v>62700.2</v>
      </c>
      <c r="AK8" t="str">
        <f t="shared" ref="AK8:AK11" si="13">TEXT(AH8, "mm/dd")</f>
        <v>09/14</v>
      </c>
    </row>
    <row r="9" spans="2:37" x14ac:dyDescent="0.25">
      <c r="B9">
        <v>5</v>
      </c>
      <c r="C9" t="str">
        <f t="shared" si="0"/>
        <v>IBM</v>
      </c>
      <c r="D9">
        <f t="shared" ca="1" si="7"/>
        <v>124.91999800000001</v>
      </c>
      <c r="E9">
        <f>INDEX(tbl_position[], COUNT(tbl_position[Date]), MATCH("Shares_"&amp;C9, pos_header,0))</f>
        <v>100</v>
      </c>
      <c r="F9">
        <f ca="1">tbl_holdings[[#This Row],[Current Price]]*tbl_holdings[[#This Row],['# Holdings]]</f>
        <v>12491.999800000001</v>
      </c>
      <c r="J9">
        <v>5</v>
      </c>
      <c r="K9" s="8">
        <f t="shared" si="11"/>
        <v>44111</v>
      </c>
      <c r="L9" s="8">
        <f t="shared" si="12"/>
        <v>44117</v>
      </c>
      <c r="M9">
        <f>ABS(SUMIFS(tbl_transaction[Net_Cash_Change], tbl_transaction[Transactions], M$4, tbl_transaction[Transaction_Date], "&gt;="&amp;tbl_transsummary[[#This Row],[Start]], tbl_transaction[Transaction_Date], "&lt;=" &amp;tbl_transsummary[[#This Row],[End]]))</f>
        <v>0</v>
      </c>
      <c r="N9">
        <f>ABS(SUMIFS(tbl_transaction[Net_Cash_Change], tbl_transaction[Transactions], N$4, tbl_transaction[Transaction_Date], "&gt;="&amp;tbl_transsummary[[#This Row],[Start]], tbl_transaction[Transaction_Date], "&lt;=" &amp;tbl_transsummary[[#This Row],[End]]))</f>
        <v>0</v>
      </c>
      <c r="O9">
        <f>ABS(SUMIFS(tbl_transaction[Net_Stock_Change], tbl_transaction[Transactions], O$4, tbl_transaction[Transaction_Date], "&gt;="&amp;tbl_transsummary[[#This Row],[Start]], tbl_transaction[Transaction_Date], "&lt;=" &amp;tbl_transsummary[[#This Row],[End]]))</f>
        <v>0</v>
      </c>
      <c r="P9">
        <f>ABS(SUMIFS(tbl_transaction[Net_Stock_Change], tbl_transaction[Transactions], P$4, tbl_transaction[Transaction_Date], "&gt;="&amp;tbl_transsummary[[#This Row],[Start]], tbl_transaction[Transaction_Date], "&lt;=" &amp;tbl_transsummary[[#This Row],[End]]))</f>
        <v>0</v>
      </c>
      <c r="S9" s="14">
        <v>5</v>
      </c>
      <c r="T9" s="52">
        <f t="shared" ca="1" si="8"/>
        <v>44077</v>
      </c>
      <c r="U9" s="53">
        <f t="shared" ca="1" si="9"/>
        <v>124.449997</v>
      </c>
      <c r="V9" s="21">
        <f t="shared" ca="1" si="1"/>
        <v>5716.8</v>
      </c>
      <c r="W9" s="53">
        <f t="shared" ca="1" si="2"/>
        <v>125.12576088142494</v>
      </c>
      <c r="X9" s="54">
        <f t="shared" ca="1" si="3"/>
        <v>47.769312287683391</v>
      </c>
      <c r="Y9" s="53">
        <f t="shared" ca="1" si="4"/>
        <v>124.50428507142855</v>
      </c>
      <c r="Z9" s="53">
        <f t="shared" ca="1" si="5"/>
        <v>127.12213392141084</v>
      </c>
      <c r="AA9" s="53">
        <f t="shared" ca="1" si="6"/>
        <v>121.88643622144627</v>
      </c>
      <c r="AB9" s="21" t="str">
        <f t="shared" ca="1" si="10"/>
        <v>09/03</v>
      </c>
      <c r="AC9" s="21">
        <v>70</v>
      </c>
      <c r="AD9" s="15">
        <v>30</v>
      </c>
      <c r="AG9" s="47">
        <v>4</v>
      </c>
      <c r="AH9" s="8">
        <v>44089</v>
      </c>
      <c r="AI9" s="127">
        <f ca="1">INDEX(tbl_position[Total_Net_Asset], AG9)</f>
        <v>100190.69995000001</v>
      </c>
      <c r="AJ9" s="126">
        <f>INDEX(tbl_position[Cash_Holding], AG9)</f>
        <v>62700.2</v>
      </c>
      <c r="AK9" t="str">
        <f t="shared" si="13"/>
        <v>09/15</v>
      </c>
    </row>
    <row r="10" spans="2:37" x14ac:dyDescent="0.25">
      <c r="B10">
        <v>6</v>
      </c>
      <c r="C10" t="str">
        <f t="shared" si="0"/>
        <v>NKLA</v>
      </c>
      <c r="D10">
        <f t="shared" ca="1" si="7"/>
        <v>33.830002</v>
      </c>
      <c r="E10">
        <f>INDEX(tbl_position[], COUNT(tbl_position[Date]), MATCH("Shares_"&amp;C10, pos_header,0))</f>
        <v>0</v>
      </c>
      <c r="F10">
        <f ca="1">tbl_holdings[[#This Row],[Current Price]]*tbl_holdings[[#This Row],['# Holdings]]</f>
        <v>0</v>
      </c>
      <c r="J10">
        <v>6</v>
      </c>
      <c r="K10" s="8">
        <f t="shared" si="11"/>
        <v>44118</v>
      </c>
      <c r="L10" s="8">
        <f t="shared" si="12"/>
        <v>44124</v>
      </c>
      <c r="M10">
        <f>ABS(SUMIFS(tbl_transaction[Net_Cash_Change], tbl_transaction[Transactions], M$4, tbl_transaction[Transaction_Date], "&gt;="&amp;tbl_transsummary[[#This Row],[Start]], tbl_transaction[Transaction_Date], "&lt;=" &amp;tbl_transsummary[[#This Row],[End]]))</f>
        <v>0</v>
      </c>
      <c r="N10">
        <f>ABS(SUMIFS(tbl_transaction[Net_Cash_Change], tbl_transaction[Transactions], N$4, tbl_transaction[Transaction_Date], "&gt;="&amp;tbl_transsummary[[#This Row],[Start]], tbl_transaction[Transaction_Date], "&lt;=" &amp;tbl_transsummary[[#This Row],[End]]))</f>
        <v>0</v>
      </c>
      <c r="O10">
        <f>ABS(SUMIFS(tbl_transaction[Net_Stock_Change], tbl_transaction[Transactions], O$4, tbl_transaction[Transaction_Date], "&gt;="&amp;tbl_transsummary[[#This Row],[Start]], tbl_transaction[Transaction_Date], "&lt;=" &amp;tbl_transsummary[[#This Row],[End]]))</f>
        <v>0</v>
      </c>
      <c r="P10">
        <f>ABS(SUMIFS(tbl_transaction[Net_Stock_Change], tbl_transaction[Transactions], P$4, tbl_transaction[Transaction_Date], "&gt;="&amp;tbl_transsummary[[#This Row],[Start]], tbl_transaction[Transaction_Date], "&lt;=" &amp;tbl_transsummary[[#This Row],[End]]))</f>
        <v>0</v>
      </c>
      <c r="S10" s="14">
        <v>6</v>
      </c>
      <c r="T10" s="52">
        <f t="shared" ca="1" si="8"/>
        <v>44078</v>
      </c>
      <c r="U10" s="53">
        <f t="shared" ca="1" si="9"/>
        <v>122.300003</v>
      </c>
      <c r="V10" s="21">
        <f t="shared" ca="1" si="1"/>
        <v>6018.2</v>
      </c>
      <c r="W10" s="53">
        <f t="shared" ca="1" si="2"/>
        <v>124.84318509328244</v>
      </c>
      <c r="X10" s="54">
        <f t="shared" ca="1" si="3"/>
        <v>44.568525218374567</v>
      </c>
      <c r="Y10" s="53">
        <f t="shared" ca="1" si="4"/>
        <v>124.35142799999998</v>
      </c>
      <c r="Z10" s="53">
        <f t="shared" ca="1" si="5"/>
        <v>127.22305547270858</v>
      </c>
      <c r="AA10" s="53">
        <f t="shared" ca="1" si="6"/>
        <v>121.47980052729139</v>
      </c>
      <c r="AB10" s="21" t="str">
        <f t="shared" ca="1" si="10"/>
        <v>09/04</v>
      </c>
      <c r="AC10" s="21">
        <v>70</v>
      </c>
      <c r="AD10" s="15">
        <v>30</v>
      </c>
      <c r="AG10" s="47">
        <v>5</v>
      </c>
      <c r="AH10" s="8">
        <v>44090</v>
      </c>
      <c r="AI10" s="127">
        <f ca="1">INDEX(tbl_position[Total_Net_Asset], AG10)</f>
        <v>99755.299849999996</v>
      </c>
      <c r="AJ10" s="126">
        <f>INDEX(tbl_position[Cash_Holding], AG10)</f>
        <v>61575.199999999997</v>
      </c>
      <c r="AK10" t="str">
        <f t="shared" si="13"/>
        <v>09/16</v>
      </c>
    </row>
    <row r="11" spans="2:37" x14ac:dyDescent="0.25">
      <c r="B11">
        <v>7</v>
      </c>
      <c r="C11" t="str">
        <f>INDEX(Symbol,B11)</f>
        <v>ORCL</v>
      </c>
      <c r="D11">
        <f ca="1">INDEX(INDIRECT("tbl_"&amp;C11),COUNT(INDIRECT("tbl_"&amp;C11&amp;"[Date]")), MATCH("Adj close", Price_Header,0))</f>
        <v>60.18</v>
      </c>
      <c r="E11">
        <f>INDEX(tbl_position[], COUNT(tbl_position[Date]), MATCH("Shares_"&amp;C11, pos_header,0))</f>
        <v>0</v>
      </c>
      <c r="F11">
        <f ca="1">tbl_holdings[[#This Row],[Current Price]]*tbl_holdings[[#This Row],['# Holdings]]</f>
        <v>0</v>
      </c>
      <c r="K11" s="8"/>
      <c r="L11" s="8"/>
      <c r="S11" s="14">
        <v>7</v>
      </c>
      <c r="T11" s="52">
        <f t="shared" ca="1" si="8"/>
        <v>44082</v>
      </c>
      <c r="U11" s="53">
        <f t="shared" ca="1" si="9"/>
        <v>121.209999</v>
      </c>
      <c r="V11" s="21">
        <f t="shared" ca="1" si="1"/>
        <v>5210.3</v>
      </c>
      <c r="W11" s="53">
        <f t="shared" ca="1" si="2"/>
        <v>124.4798664839542</v>
      </c>
      <c r="X11" s="54">
        <f t="shared" ca="1" si="3"/>
        <v>40.86656570813502</v>
      </c>
      <c r="Y11" s="53">
        <f t="shared" ca="1" si="4"/>
        <v>124.08642807142857</v>
      </c>
      <c r="Z11" s="53">
        <f t="shared" ca="1" si="5"/>
        <v>127.38502679296934</v>
      </c>
      <c r="AA11" s="53">
        <f t="shared" ca="1" si="6"/>
        <v>120.7878293498878</v>
      </c>
      <c r="AB11" s="21" t="str">
        <f t="shared" ca="1" si="10"/>
        <v>09/08</v>
      </c>
      <c r="AC11" s="21">
        <v>70</v>
      </c>
      <c r="AD11" s="15">
        <v>30</v>
      </c>
      <c r="AG11" s="47">
        <v>6</v>
      </c>
      <c r="AH11" s="8">
        <v>44091</v>
      </c>
      <c r="AI11" s="127">
        <f ca="1">INDEX(tbl_position[Total_Net_Asset], AG11)</f>
        <v>99446.298949999997</v>
      </c>
      <c r="AJ11" s="126">
        <f>INDEX(tbl_position[Cash_Holding], AG11)</f>
        <v>57949.2</v>
      </c>
      <c r="AK11" t="str">
        <f t="shared" si="13"/>
        <v>09/17</v>
      </c>
    </row>
    <row r="12" spans="2:37" x14ac:dyDescent="0.25">
      <c r="B12">
        <v>8</v>
      </c>
      <c r="C12" t="str">
        <f>INDEX(Symbol,B12)</f>
        <v>RIOT</v>
      </c>
      <c r="D12">
        <f ca="1">INDEX(INDIRECT("tbl_"&amp;C12),COUNT(INDIRECT("tbl_"&amp;C12&amp;"[Date]")), MATCH("Adj close", Price_Header,0))</f>
        <v>3</v>
      </c>
      <c r="E12">
        <f>INDEX(tbl_position[], COUNT(tbl_position[Date]), MATCH("Shares_"&amp;C12, pos_header,0))</f>
        <v>0</v>
      </c>
      <c r="F12">
        <f ca="1">tbl_holdings[[#This Row],[Current Price]]*tbl_holdings[[#This Row],['# Holdings]]</f>
        <v>0</v>
      </c>
      <c r="K12" s="8"/>
      <c r="L12" s="8"/>
      <c r="S12" s="14">
        <v>8</v>
      </c>
      <c r="T12" s="52">
        <f t="shared" ca="1" si="8"/>
        <v>44083</v>
      </c>
      <c r="U12" s="53">
        <f t="shared" ca="1" si="9"/>
        <v>122.260002</v>
      </c>
      <c r="V12" s="21">
        <f t="shared" ca="1" si="1"/>
        <v>3770.7</v>
      </c>
      <c r="W12" s="53">
        <f t="shared" ca="1" si="2"/>
        <v>124.25788003555878</v>
      </c>
      <c r="X12" s="54">
        <f t="shared" ca="1" si="3"/>
        <v>46.104549361217636</v>
      </c>
      <c r="Y12" s="53">
        <f t="shared" ca="1" si="4"/>
        <v>123.97357135714284</v>
      </c>
      <c r="Z12" s="53">
        <f t="shared" ca="1" si="5"/>
        <v>127.41357312171409</v>
      </c>
      <c r="AA12" s="53">
        <f t="shared" ca="1" si="6"/>
        <v>120.5335695925716</v>
      </c>
      <c r="AB12" s="21" t="str">
        <f t="shared" ca="1" si="10"/>
        <v>09/09</v>
      </c>
      <c r="AC12" s="21">
        <v>70</v>
      </c>
      <c r="AD12" s="15">
        <v>30</v>
      </c>
      <c r="AG12" s="47"/>
    </row>
    <row r="13" spans="2:37" x14ac:dyDescent="0.25">
      <c r="B13">
        <v>9</v>
      </c>
      <c r="C13" t="str">
        <f>INDEX(Symbol,B13)</f>
        <v>SPXS</v>
      </c>
      <c r="D13">
        <f ca="1">INDEX(INDIRECT("tbl_"&amp;C13),COUNT(INDIRECT("tbl_"&amp;C13&amp;"[Date]")), MATCH("Adj close", Price_Header,0))</f>
        <v>5.85</v>
      </c>
      <c r="E13">
        <f>INDEX(tbl_position[], COUNT(tbl_position[Date]), MATCH("Shares_"&amp;C13, pos_header,0))</f>
        <v>1000</v>
      </c>
      <c r="F13">
        <f ca="1">tbl_holdings[[#This Row],[Current Price]]*tbl_holdings[[#This Row],['# Holdings]]</f>
        <v>5850</v>
      </c>
      <c r="K13" s="8"/>
      <c r="L13" s="8"/>
      <c r="S13" s="14">
        <v>9</v>
      </c>
      <c r="T13" s="52">
        <f t="shared" ca="1" si="8"/>
        <v>44084</v>
      </c>
      <c r="U13" s="53">
        <f t="shared" ca="1" si="9"/>
        <v>120.55999799999999</v>
      </c>
      <c r="V13" s="21">
        <f t="shared" ca="1" si="1"/>
        <v>3978.4</v>
      </c>
      <c r="W13" s="53">
        <f t="shared" ca="1" si="2"/>
        <v>123.8880918320029</v>
      </c>
      <c r="X13" s="54">
        <f t="shared" ca="1" si="3"/>
        <v>43.917322686707358</v>
      </c>
      <c r="Y13" s="53">
        <f t="shared" ca="1" si="4"/>
        <v>123.78857107142856</v>
      </c>
      <c r="Z13" s="53">
        <f t="shared" ca="1" si="5"/>
        <v>127.66966150322904</v>
      </c>
      <c r="AA13" s="53">
        <f t="shared" ca="1" si="6"/>
        <v>119.90748063962809</v>
      </c>
      <c r="AB13" s="21" t="str">
        <f t="shared" ca="1" si="10"/>
        <v>09/10</v>
      </c>
      <c r="AC13" s="21">
        <v>70</v>
      </c>
      <c r="AD13" s="15">
        <v>30</v>
      </c>
      <c r="AG13" s="47"/>
    </row>
    <row r="14" spans="2:37" x14ac:dyDescent="0.25">
      <c r="B14">
        <v>10</v>
      </c>
      <c r="C14" t="str">
        <f>INDEX(Symbol,B14)</f>
        <v>WMT</v>
      </c>
      <c r="D14">
        <f ca="1">INDEX(INDIRECT("tbl_"&amp;C14),COUNT(INDIRECT("tbl_"&amp;C14&amp;"[Date]")), MATCH("Adj close", Price_Header,0))</f>
        <v>136.69000199999999</v>
      </c>
      <c r="E14">
        <f>INDEX(tbl_position[], COUNT(tbl_position[Date]), MATCH("Shares_"&amp;C14, pos_header,0))</f>
        <v>0</v>
      </c>
      <c r="F14">
        <f ca="1">tbl_holdings[[#This Row],[Current Price]]*tbl_holdings[[#This Row],['# Holdings]]</f>
        <v>0</v>
      </c>
      <c r="K14" s="8"/>
      <c r="L14" s="8"/>
      <c r="S14" s="14">
        <v>10</v>
      </c>
      <c r="T14" s="52">
        <f t="shared" ca="1" si="8"/>
        <v>44085</v>
      </c>
      <c r="U14" s="53">
        <f t="shared" ca="1" si="9"/>
        <v>121.459999</v>
      </c>
      <c r="V14" s="21">
        <f t="shared" ca="1" si="1"/>
        <v>3547.4</v>
      </c>
      <c r="W14" s="53">
        <f t="shared" ca="1" si="2"/>
        <v>123.6452825488026</v>
      </c>
      <c r="X14" s="54">
        <f t="shared" ca="1" si="3"/>
        <v>46.167707221267221</v>
      </c>
      <c r="Y14" s="53">
        <f t="shared" ca="1" si="4"/>
        <v>123.66714214285712</v>
      </c>
      <c r="Z14" s="53">
        <f t="shared" ca="1" si="5"/>
        <v>127.73483951066494</v>
      </c>
      <c r="AA14" s="53">
        <f t="shared" ca="1" si="6"/>
        <v>119.59944477504929</v>
      </c>
      <c r="AB14" s="21" t="str">
        <f t="shared" ca="1" si="10"/>
        <v>09/11</v>
      </c>
      <c r="AC14" s="21">
        <v>70</v>
      </c>
      <c r="AD14" s="15">
        <v>30</v>
      </c>
      <c r="AG14" s="47"/>
    </row>
    <row r="15" spans="2:37" x14ac:dyDescent="0.25">
      <c r="B15" t="s">
        <v>162</v>
      </c>
      <c r="F15">
        <f ca="1">SUBTOTAL(109,tbl_holdings[Total])</f>
        <v>46989.998950000001</v>
      </c>
      <c r="S15" s="14">
        <v>11</v>
      </c>
      <c r="T15" s="52">
        <f t="shared" ca="1" si="8"/>
        <v>44088</v>
      </c>
      <c r="U15" s="53">
        <f t="shared" ca="1" si="9"/>
        <v>122.089996</v>
      </c>
      <c r="V15" s="21">
        <f t="shared" ca="1" si="1"/>
        <v>3641.5</v>
      </c>
      <c r="W15" s="53">
        <f t="shared" ca="1" si="2"/>
        <v>123.48975389392234</v>
      </c>
      <c r="X15" s="54">
        <f t="shared" ca="1" si="3"/>
        <v>41.153267619516988</v>
      </c>
      <c r="Y15" s="53">
        <f t="shared" ca="1" si="4"/>
        <v>123.41071328571427</v>
      </c>
      <c r="Z15" s="53">
        <f t="shared" ca="1" si="5"/>
        <v>127.38332098100572</v>
      </c>
      <c r="AA15" s="53">
        <f t="shared" ca="1" si="6"/>
        <v>119.43810559042281</v>
      </c>
      <c r="AB15" s="21" t="str">
        <f t="shared" ca="1" si="10"/>
        <v>09/14</v>
      </c>
      <c r="AC15" s="21">
        <v>70</v>
      </c>
      <c r="AD15" s="15">
        <v>30</v>
      </c>
      <c r="AG15" s="47"/>
    </row>
    <row r="16" spans="2:37" x14ac:dyDescent="0.25">
      <c r="S16" s="14">
        <v>12</v>
      </c>
      <c r="T16" s="52">
        <f t="shared" ca="1" si="8"/>
        <v>44089</v>
      </c>
      <c r="U16" s="53">
        <f t="shared" ca="1" si="9"/>
        <v>122.44000200000001</v>
      </c>
      <c r="V16" s="21">
        <f t="shared" ca="1" si="1"/>
        <v>2915.2</v>
      </c>
      <c r="W16" s="53">
        <f t="shared" ca="1" si="2"/>
        <v>123.38477870453011</v>
      </c>
      <c r="X16" s="54">
        <f t="shared" ca="1" si="3"/>
        <v>44.387764186794868</v>
      </c>
      <c r="Y16" s="53">
        <f t="shared" ca="1" si="4"/>
        <v>123.25357064285713</v>
      </c>
      <c r="Z16" s="53">
        <f t="shared" ca="1" si="5"/>
        <v>127.1906004630778</v>
      </c>
      <c r="AA16" s="53">
        <f t="shared" ca="1" si="6"/>
        <v>119.31654082263645</v>
      </c>
      <c r="AB16" s="21" t="str">
        <f t="shared" ca="1" si="10"/>
        <v>09/15</v>
      </c>
      <c r="AC16" s="21">
        <v>70</v>
      </c>
      <c r="AD16" s="15">
        <v>30</v>
      </c>
      <c r="AG16" s="47"/>
    </row>
    <row r="17" spans="18:33" x14ac:dyDescent="0.25">
      <c r="S17" s="14">
        <v>13</v>
      </c>
      <c r="T17" s="52">
        <f t="shared" ca="1" si="8"/>
        <v>44090</v>
      </c>
      <c r="U17" s="53">
        <f t="shared" ca="1" si="9"/>
        <v>124.220001</v>
      </c>
      <c r="V17" s="21">
        <f t="shared" ca="1" si="1"/>
        <v>3788.4</v>
      </c>
      <c r="W17" s="53">
        <f t="shared" ca="1" si="2"/>
        <v>123.46830093407709</v>
      </c>
      <c r="X17" s="54">
        <f t="shared" ca="1" si="3"/>
        <v>50.119567175576186</v>
      </c>
      <c r="Y17" s="53">
        <f t="shared" ca="1" si="4"/>
        <v>123.25714228571428</v>
      </c>
      <c r="Z17" s="53">
        <f t="shared" ca="1" si="5"/>
        <v>127.19784243079498</v>
      </c>
      <c r="AA17" s="53">
        <f t="shared" ca="1" si="6"/>
        <v>119.31644214063358</v>
      </c>
      <c r="AB17" s="21" t="str">
        <f t="shared" ca="1" si="10"/>
        <v>09/16</v>
      </c>
      <c r="AC17" s="21">
        <v>70</v>
      </c>
      <c r="AD17" s="15">
        <v>30</v>
      </c>
      <c r="AG17" s="47"/>
    </row>
    <row r="18" spans="18:33" ht="15.75" thickBot="1" x14ac:dyDescent="0.3">
      <c r="S18" s="16">
        <v>14</v>
      </c>
      <c r="T18" s="55">
        <f t="shared" ca="1" si="8"/>
        <v>44091</v>
      </c>
      <c r="U18" s="56">
        <f t="shared" ca="1" si="9"/>
        <v>124.91999800000001</v>
      </c>
      <c r="V18" s="22">
        <f t="shared" ca="1" si="1"/>
        <v>2962.9059999999999</v>
      </c>
      <c r="W18" s="56">
        <f t="shared" ca="1" si="2"/>
        <v>123.61347064066939</v>
      </c>
      <c r="X18" s="57">
        <f t="shared" ca="1" si="3"/>
        <v>50.638892690751121</v>
      </c>
      <c r="Y18" s="56">
        <f t="shared" ca="1" si="4"/>
        <v>123.2764277142857</v>
      </c>
      <c r="Z18" s="56">
        <f t="shared" ca="1" si="5"/>
        <v>127.24900510910545</v>
      </c>
      <c r="AA18" s="56">
        <f t="shared" ca="1" si="6"/>
        <v>119.30385031946595</v>
      </c>
      <c r="AB18" s="22" t="str">
        <f t="shared" ca="1" si="10"/>
        <v>09/17</v>
      </c>
      <c r="AC18" s="22">
        <v>70</v>
      </c>
      <c r="AD18" s="17">
        <v>30</v>
      </c>
      <c r="AG18" s="47"/>
    </row>
    <row r="19" spans="18:33" x14ac:dyDescent="0.25">
      <c r="R19" s="21"/>
      <c r="S19" s="65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</row>
    <row r="20" spans="18:33" x14ac:dyDescent="0.25"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CC"/>
  </sheetPr>
  <dimension ref="A2:J43"/>
  <sheetViews>
    <sheetView workbookViewId="0">
      <selection activeCell="W45" sqref="W45"/>
    </sheetView>
  </sheetViews>
  <sheetFormatPr defaultRowHeight="15" x14ac:dyDescent="0.25"/>
  <sheetData>
    <row r="2" spans="1:10" ht="21" x14ac:dyDescent="0.35">
      <c r="A2" s="41" t="s">
        <v>256</v>
      </c>
      <c r="B2" s="13"/>
      <c r="C2" s="13"/>
      <c r="D2" s="13"/>
      <c r="E2" s="13"/>
      <c r="F2" s="13"/>
      <c r="G2" s="13"/>
      <c r="H2" s="13"/>
      <c r="I2" s="13"/>
      <c r="J2" s="13"/>
    </row>
    <row r="3" spans="1:10" x14ac:dyDescent="0.25">
      <c r="A3" t="s">
        <v>257</v>
      </c>
    </row>
    <row r="4" spans="1:10" x14ac:dyDescent="0.25">
      <c r="A4" t="s">
        <v>258</v>
      </c>
    </row>
    <row r="6" spans="1:10" ht="15.75" x14ac:dyDescent="0.25">
      <c r="A6" s="7" t="s">
        <v>259</v>
      </c>
    </row>
    <row r="7" spans="1:10" x14ac:dyDescent="0.25">
      <c r="A7" t="s">
        <v>260</v>
      </c>
    </row>
    <row r="9" spans="1:10" x14ac:dyDescent="0.25">
      <c r="A9" s="66" t="s">
        <v>261</v>
      </c>
    </row>
    <row r="10" spans="1:10" x14ac:dyDescent="0.25">
      <c r="A10" t="s">
        <v>262</v>
      </c>
    </row>
    <row r="11" spans="1:10" x14ac:dyDescent="0.25">
      <c r="B11" t="s">
        <v>263</v>
      </c>
    </row>
    <row r="12" spans="1:10" x14ac:dyDescent="0.25">
      <c r="A12" t="s">
        <v>264</v>
      </c>
    </row>
    <row r="13" spans="1:10" x14ac:dyDescent="0.25">
      <c r="B13" t="s">
        <v>267</v>
      </c>
    </row>
    <row r="14" spans="1:10" x14ac:dyDescent="0.25">
      <c r="A14" t="s">
        <v>265</v>
      </c>
    </row>
    <row r="15" spans="1:10" x14ac:dyDescent="0.25">
      <c r="B15" t="s">
        <v>266</v>
      </c>
    </row>
    <row r="17" spans="1:2" ht="15.75" x14ac:dyDescent="0.25">
      <c r="A17" s="7" t="s">
        <v>268</v>
      </c>
    </row>
    <row r="18" spans="1:2" x14ac:dyDescent="0.25">
      <c r="A18" t="s">
        <v>284</v>
      </c>
    </row>
    <row r="20" spans="1:2" x14ac:dyDescent="0.25">
      <c r="A20" s="66" t="s">
        <v>261</v>
      </c>
    </row>
    <row r="21" spans="1:2" x14ac:dyDescent="0.25">
      <c r="A21" t="s">
        <v>269</v>
      </c>
    </row>
    <row r="22" spans="1:2" x14ac:dyDescent="0.25">
      <c r="B22" t="s">
        <v>270</v>
      </c>
    </row>
    <row r="23" spans="1:2" x14ac:dyDescent="0.25">
      <c r="A23" t="s">
        <v>272</v>
      </c>
    </row>
    <row r="26" spans="1:2" ht="15.75" x14ac:dyDescent="0.25">
      <c r="A26" s="7" t="s">
        <v>271</v>
      </c>
    </row>
    <row r="27" spans="1:2" x14ac:dyDescent="0.25">
      <c r="A27" t="s">
        <v>285</v>
      </c>
    </row>
    <row r="28" spans="1:2" x14ac:dyDescent="0.25">
      <c r="A28" s="66" t="s">
        <v>261</v>
      </c>
    </row>
    <row r="29" spans="1:2" x14ac:dyDescent="0.25">
      <c r="A29" t="s">
        <v>273</v>
      </c>
    </row>
    <row r="30" spans="1:2" x14ac:dyDescent="0.25">
      <c r="A30" t="s">
        <v>274</v>
      </c>
    </row>
    <row r="31" spans="1:2" x14ac:dyDescent="0.25">
      <c r="A31" t="s">
        <v>276</v>
      </c>
    </row>
    <row r="33" spans="1:1" ht="15.75" x14ac:dyDescent="0.25">
      <c r="A33" s="7" t="s">
        <v>277</v>
      </c>
    </row>
    <row r="34" spans="1:1" x14ac:dyDescent="0.25">
      <c r="A34" t="s">
        <v>286</v>
      </c>
    </row>
    <row r="35" spans="1:1" x14ac:dyDescent="0.25">
      <c r="A35" s="66" t="s">
        <v>261</v>
      </c>
    </row>
    <row r="36" spans="1:1" x14ac:dyDescent="0.25">
      <c r="A36" t="s">
        <v>278</v>
      </c>
    </row>
    <row r="37" spans="1:1" x14ac:dyDescent="0.25">
      <c r="A37" t="s">
        <v>279</v>
      </c>
    </row>
    <row r="38" spans="1:1" x14ac:dyDescent="0.25">
      <c r="A38" t="s">
        <v>280</v>
      </c>
    </row>
    <row r="39" spans="1:1" x14ac:dyDescent="0.25">
      <c r="A39" t="s">
        <v>281</v>
      </c>
    </row>
    <row r="40" spans="1:1" x14ac:dyDescent="0.25">
      <c r="A40" t="s">
        <v>282</v>
      </c>
    </row>
    <row r="41" spans="1:1" x14ac:dyDescent="0.25">
      <c r="A41" t="s">
        <v>283</v>
      </c>
    </row>
    <row r="43" spans="1:1" x14ac:dyDescent="0.25">
      <c r="A43" t="s">
        <v>287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workbookViewId="0">
      <selection activeCell="L16" sqref="L16"/>
    </sheetView>
  </sheetViews>
  <sheetFormatPr defaultRowHeight="15" x14ac:dyDescent="0.25"/>
  <cols>
    <col min="1" max="1" width="9.7109375" customWidth="1"/>
    <col min="2" max="2" width="15.5703125" customWidth="1"/>
    <col min="3" max="3" width="17.85546875" customWidth="1"/>
    <col min="4" max="4" width="14.140625" customWidth="1"/>
    <col min="5" max="5" width="15.85546875" customWidth="1"/>
    <col min="6" max="6" width="10.28515625" customWidth="1"/>
    <col min="7" max="7" width="17.28515625" customWidth="1"/>
    <col min="8" max="8" width="15" hidden="1" customWidth="1"/>
    <col min="9" max="9" width="13.140625" hidden="1" customWidth="1"/>
    <col min="10" max="10" width="13" hidden="1" customWidth="1"/>
    <col min="11" max="11" width="17.42578125" customWidth="1"/>
    <col min="12" max="12" width="15.5703125" customWidth="1"/>
    <col min="13" max="13" width="15.42578125" customWidth="1"/>
    <col min="14" max="14" width="13.42578125" customWidth="1"/>
    <col min="15" max="15" width="18.42578125" customWidth="1"/>
    <col min="16" max="16" width="19.140625" customWidth="1"/>
    <col min="17" max="17" width="20.42578125" customWidth="1"/>
    <col min="18" max="18" width="18.7109375" customWidth="1"/>
    <col min="19" max="19" width="21" customWidth="1"/>
  </cols>
  <sheetData>
    <row r="1" spans="1:19" ht="21" x14ac:dyDescent="0.35">
      <c r="A1" s="41" t="s">
        <v>15</v>
      </c>
      <c r="B1" s="41"/>
      <c r="C1" s="41"/>
      <c r="D1" s="41"/>
      <c r="E1" s="41"/>
    </row>
    <row r="2" spans="1:19" ht="15.75" x14ac:dyDescent="0.25">
      <c r="A2" t="s">
        <v>112</v>
      </c>
    </row>
    <row r="4" spans="1:19" x14ac:dyDescent="0.25">
      <c r="A4" t="s">
        <v>42</v>
      </c>
      <c r="B4" t="s">
        <v>43</v>
      </c>
      <c r="C4" t="s">
        <v>44</v>
      </c>
      <c r="D4" t="s">
        <v>45</v>
      </c>
      <c r="E4" t="s">
        <v>46</v>
      </c>
      <c r="F4" t="s">
        <v>47</v>
      </c>
      <c r="G4" t="s">
        <v>48</v>
      </c>
      <c r="H4" t="s">
        <v>49</v>
      </c>
      <c r="I4" t="s">
        <v>50</v>
      </c>
      <c r="J4" t="s">
        <v>51</v>
      </c>
      <c r="K4" t="s">
        <v>52</v>
      </c>
      <c r="L4" t="s">
        <v>53</v>
      </c>
      <c r="M4" t="s">
        <v>54</v>
      </c>
      <c r="N4" s="9" t="s">
        <v>55</v>
      </c>
      <c r="O4" t="s">
        <v>56</v>
      </c>
      <c r="P4" t="s">
        <v>57</v>
      </c>
      <c r="Q4" t="s">
        <v>160</v>
      </c>
      <c r="R4" t="s">
        <v>161</v>
      </c>
      <c r="S4" t="s">
        <v>163</v>
      </c>
    </row>
    <row r="5" spans="1:19" x14ac:dyDescent="0.25">
      <c r="A5" t="s">
        <v>16</v>
      </c>
      <c r="B5" t="s">
        <v>17</v>
      </c>
      <c r="C5" t="s">
        <v>18</v>
      </c>
      <c r="D5" t="s">
        <v>19</v>
      </c>
      <c r="F5" s="47">
        <v>100</v>
      </c>
      <c r="G5" s="48">
        <v>120.37</v>
      </c>
      <c r="H5">
        <f>VALUE(LEFT(tbl_transaction[[#This Row],[Order Date]],FIND("/",tbl_transaction[[#This Row],[Order Date]])-1))</f>
        <v>9</v>
      </c>
      <c r="I5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10</v>
      </c>
      <c r="J5" t="str">
        <f>MID(tbl_transaction[[#This Row],[Order Date]], FIND("/",tbl_transaction[[#This Row],[Order Date]], FIND("/", tbl_transaction[[#This Row],[Order Date]])+1)+1, 2)</f>
        <v>20</v>
      </c>
      <c r="K5">
        <f>VALUE(LEFT(tbl_transaction[[#This Row],[Transaction Date]],FIND("/",tbl_transaction[[#This Row],[Transaction Date]])-1))</f>
        <v>9</v>
      </c>
      <c r="L5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10</v>
      </c>
      <c r="M5" t="str">
        <f>MID(tbl_transaction[[#This Row],[Transaction Date]], FIND("/",tbl_transaction[[#This Row],[Transaction Date]], FIND("/", tbl_transaction[[#This Row],[Transaction Date]])+1)+1, 2)</f>
        <v>20</v>
      </c>
      <c r="N5" s="9">
        <f>DATE(tbl_transaction[[#This Row],[Year_order]]+2000, tbl_transaction[[#This Row],[Month_order]], tbl_transaction[[#This Row],[Date_order]])</f>
        <v>44084</v>
      </c>
      <c r="O5" s="9">
        <f>DATE(tbl_transaction[[#This Row],[Year_Transact]]+2000,tbl_transaction[[#This Row],[Month_Transact]],tbl_transaction[[#This Row],[Date_Transact]])</f>
        <v>44084</v>
      </c>
      <c r="P5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-12037</v>
      </c>
      <c r="Q5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12037</v>
      </c>
      <c r="R5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5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6" spans="1:19" x14ac:dyDescent="0.25">
      <c r="A6" t="s">
        <v>20</v>
      </c>
      <c r="B6" t="s">
        <v>21</v>
      </c>
      <c r="C6" t="s">
        <v>18</v>
      </c>
      <c r="D6" t="s">
        <v>19</v>
      </c>
      <c r="F6" s="47">
        <v>1000</v>
      </c>
      <c r="G6" s="48">
        <v>3.02</v>
      </c>
      <c r="H6">
        <f>VALUE(LEFT(tbl_transaction[[#This Row],[Order Date]],FIND("/",tbl_transaction[[#This Row],[Order Date]])-1))</f>
        <v>9</v>
      </c>
      <c r="I6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10</v>
      </c>
      <c r="J6" t="str">
        <f>MID(tbl_transaction[[#This Row],[Order Date]], FIND("/",tbl_transaction[[#This Row],[Order Date]], FIND("/", tbl_transaction[[#This Row],[Order Date]])+1)+1, 2)</f>
        <v>20</v>
      </c>
      <c r="K6">
        <f>VALUE(LEFT(tbl_transaction[[#This Row],[Transaction Date]],FIND("/",tbl_transaction[[#This Row],[Transaction Date]])-1))</f>
        <v>9</v>
      </c>
      <c r="L6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10</v>
      </c>
      <c r="M6" t="str">
        <f>MID(tbl_transaction[[#This Row],[Transaction Date]], FIND("/",tbl_transaction[[#This Row],[Transaction Date]], FIND("/", tbl_transaction[[#This Row],[Transaction Date]])+1)+1, 2)</f>
        <v>20</v>
      </c>
      <c r="N6" s="9">
        <f>DATE(tbl_transaction[[#This Row],[Year_order]]+2000, tbl_transaction[[#This Row],[Month_order]], tbl_transaction[[#This Row],[Date_order]])</f>
        <v>44084</v>
      </c>
      <c r="O6" s="9">
        <f>DATE(tbl_transaction[[#This Row],[Year_Transact]]+2000,tbl_transaction[[#This Row],[Month_Transact]],tbl_transaction[[#This Row],[Date_Transact]])</f>
        <v>44084</v>
      </c>
      <c r="P6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-3020</v>
      </c>
      <c r="Q6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3020</v>
      </c>
      <c r="R6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6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1000</v>
      </c>
    </row>
    <row r="7" spans="1:19" x14ac:dyDescent="0.25">
      <c r="A7" t="s">
        <v>22</v>
      </c>
      <c r="B7" t="s">
        <v>23</v>
      </c>
      <c r="C7" t="s">
        <v>23</v>
      </c>
      <c r="D7" t="s">
        <v>19</v>
      </c>
      <c r="F7" s="47">
        <v>50</v>
      </c>
      <c r="G7" s="48">
        <v>277.3</v>
      </c>
      <c r="H7">
        <f>VALUE(LEFT(tbl_transaction[[#This Row],[Order Date]],FIND("/",tbl_transaction[[#This Row],[Order Date]])-1))</f>
        <v>9</v>
      </c>
      <c r="I7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10</v>
      </c>
      <c r="J7" t="str">
        <f>MID(tbl_transaction[[#This Row],[Order Date]], FIND("/",tbl_transaction[[#This Row],[Order Date]], FIND("/", tbl_transaction[[#This Row],[Order Date]])+1)+1, 2)</f>
        <v>20</v>
      </c>
      <c r="K7">
        <f>VALUE(LEFT(tbl_transaction[[#This Row],[Transaction Date]],FIND("/",tbl_transaction[[#This Row],[Transaction Date]])-1))</f>
        <v>9</v>
      </c>
      <c r="L7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10</v>
      </c>
      <c r="M7" t="str">
        <f>MID(tbl_transaction[[#This Row],[Transaction Date]], FIND("/",tbl_transaction[[#This Row],[Transaction Date]], FIND("/", tbl_transaction[[#This Row],[Transaction Date]])+1)+1, 2)</f>
        <v>20</v>
      </c>
      <c r="N7" s="9">
        <f>DATE(tbl_transaction[[#This Row],[Year_order]]+2000, tbl_transaction[[#This Row],[Month_order]], tbl_transaction[[#This Row],[Date_order]])</f>
        <v>44084</v>
      </c>
      <c r="O7" s="9">
        <f>DATE(tbl_transaction[[#This Row],[Year_Transact]]+2000,tbl_transaction[[#This Row],[Month_Transact]],tbl_transaction[[#This Row],[Date_Transact]])</f>
        <v>44084</v>
      </c>
      <c r="P7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-13865</v>
      </c>
      <c r="Q7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13865</v>
      </c>
      <c r="R7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7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8" spans="1:19" x14ac:dyDescent="0.25">
      <c r="A8" t="s">
        <v>16</v>
      </c>
      <c r="B8" t="s">
        <v>24</v>
      </c>
      <c r="C8" t="s">
        <v>24</v>
      </c>
      <c r="D8" t="s">
        <v>19</v>
      </c>
      <c r="F8" s="47">
        <v>50</v>
      </c>
      <c r="G8" s="48">
        <v>117.93</v>
      </c>
      <c r="H8">
        <f>VALUE(LEFT(tbl_transaction[[#This Row],[Order Date]],FIND("/",tbl_transaction[[#This Row],[Order Date]])-1))</f>
        <v>9</v>
      </c>
      <c r="I8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10</v>
      </c>
      <c r="J8" t="str">
        <f>MID(tbl_transaction[[#This Row],[Order Date]], FIND("/",tbl_transaction[[#This Row],[Order Date]], FIND("/", tbl_transaction[[#This Row],[Order Date]])+1)+1, 2)</f>
        <v>20</v>
      </c>
      <c r="K8">
        <f>VALUE(LEFT(tbl_transaction[[#This Row],[Transaction Date]],FIND("/",tbl_transaction[[#This Row],[Transaction Date]])-1))</f>
        <v>9</v>
      </c>
      <c r="L8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10</v>
      </c>
      <c r="M8" t="str">
        <f>MID(tbl_transaction[[#This Row],[Transaction Date]], FIND("/",tbl_transaction[[#This Row],[Transaction Date]], FIND("/", tbl_transaction[[#This Row],[Transaction Date]])+1)+1, 2)</f>
        <v>20</v>
      </c>
      <c r="N8" s="9">
        <f>DATE(tbl_transaction[[#This Row],[Year_order]]+2000, tbl_transaction[[#This Row],[Month_order]], tbl_transaction[[#This Row],[Date_order]])</f>
        <v>44084</v>
      </c>
      <c r="O8" s="9">
        <f>DATE(tbl_transaction[[#This Row],[Year_Transact]]+2000,tbl_transaction[[#This Row],[Month_Transact]],tbl_transaction[[#This Row],[Date_Transact]])</f>
        <v>44084</v>
      </c>
      <c r="P8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-5896.5</v>
      </c>
      <c r="Q8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5896.5</v>
      </c>
      <c r="R8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8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9" spans="1:19" x14ac:dyDescent="0.25">
      <c r="A9" t="s">
        <v>20</v>
      </c>
      <c r="B9" t="s">
        <v>25</v>
      </c>
      <c r="C9" t="s">
        <v>25</v>
      </c>
      <c r="D9" t="s">
        <v>26</v>
      </c>
      <c r="F9" s="47">
        <v>1000</v>
      </c>
      <c r="G9" s="48">
        <v>3.04</v>
      </c>
      <c r="H9">
        <f>VALUE(LEFT(tbl_transaction[[#This Row],[Order Date]],FIND("/",tbl_transaction[[#This Row],[Order Date]])-1))</f>
        <v>9</v>
      </c>
      <c r="I9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10</v>
      </c>
      <c r="J9" t="str">
        <f>MID(tbl_transaction[[#This Row],[Order Date]], FIND("/",tbl_transaction[[#This Row],[Order Date]], FIND("/", tbl_transaction[[#This Row],[Order Date]])+1)+1, 2)</f>
        <v>20</v>
      </c>
      <c r="K9">
        <f>VALUE(LEFT(tbl_transaction[[#This Row],[Transaction Date]],FIND("/",tbl_transaction[[#This Row],[Transaction Date]])-1))</f>
        <v>9</v>
      </c>
      <c r="L9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10</v>
      </c>
      <c r="M9" t="str">
        <f>MID(tbl_transaction[[#This Row],[Transaction Date]], FIND("/",tbl_transaction[[#This Row],[Transaction Date]], FIND("/", tbl_transaction[[#This Row],[Transaction Date]])+1)+1, 2)</f>
        <v>20</v>
      </c>
      <c r="N9" s="9">
        <f>DATE(tbl_transaction[[#This Row],[Year_order]]+2000, tbl_transaction[[#This Row],[Month_order]], tbl_transaction[[#This Row],[Date_order]])</f>
        <v>44084</v>
      </c>
      <c r="O9" s="9">
        <f>DATE(tbl_transaction[[#This Row],[Year_Transact]]+2000,tbl_transaction[[#This Row],[Month_Transact]],tbl_transaction[[#This Row],[Date_Transact]])</f>
        <v>44084</v>
      </c>
      <c r="P9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3040</v>
      </c>
      <c r="Q9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-3040</v>
      </c>
      <c r="R9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9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-1000</v>
      </c>
    </row>
    <row r="10" spans="1:19" x14ac:dyDescent="0.25">
      <c r="A10" t="s">
        <v>20</v>
      </c>
      <c r="B10" t="s">
        <v>27</v>
      </c>
      <c r="C10" t="s">
        <v>27</v>
      </c>
      <c r="D10" t="s">
        <v>19</v>
      </c>
      <c r="F10" s="47">
        <v>1500</v>
      </c>
      <c r="G10" s="48">
        <v>3</v>
      </c>
      <c r="H10">
        <f>VALUE(LEFT(tbl_transaction[[#This Row],[Order Date]],FIND("/",tbl_transaction[[#This Row],[Order Date]])-1))</f>
        <v>9</v>
      </c>
      <c r="I10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10</v>
      </c>
      <c r="J10" t="str">
        <f>MID(tbl_transaction[[#This Row],[Order Date]], FIND("/",tbl_transaction[[#This Row],[Order Date]], FIND("/", tbl_transaction[[#This Row],[Order Date]])+1)+1, 2)</f>
        <v>20</v>
      </c>
      <c r="K10">
        <f>VALUE(LEFT(tbl_transaction[[#This Row],[Transaction Date]],FIND("/",tbl_transaction[[#This Row],[Transaction Date]])-1))</f>
        <v>9</v>
      </c>
      <c r="L10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10</v>
      </c>
      <c r="M10" t="str">
        <f>MID(tbl_transaction[[#This Row],[Transaction Date]], FIND("/",tbl_transaction[[#This Row],[Transaction Date]], FIND("/", tbl_transaction[[#This Row],[Transaction Date]])+1)+1, 2)</f>
        <v>20</v>
      </c>
      <c r="N10" s="9">
        <f>DATE(tbl_transaction[[#This Row],[Year_order]]+2000, tbl_transaction[[#This Row],[Month_order]], tbl_transaction[[#This Row],[Date_order]])</f>
        <v>44084</v>
      </c>
      <c r="O10" s="9">
        <f>DATE(tbl_transaction[[#This Row],[Year_Transact]]+2000,tbl_transaction[[#This Row],[Month_Transact]],tbl_transaction[[#This Row],[Date_Transact]])</f>
        <v>44084</v>
      </c>
      <c r="P10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-4500</v>
      </c>
      <c r="Q10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4500</v>
      </c>
      <c r="R10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10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1500</v>
      </c>
    </row>
    <row r="11" spans="1:19" x14ac:dyDescent="0.25">
      <c r="A11" t="s">
        <v>16</v>
      </c>
      <c r="B11" t="s">
        <v>28</v>
      </c>
      <c r="C11" t="s">
        <v>28</v>
      </c>
      <c r="D11" t="s">
        <v>26</v>
      </c>
      <c r="F11" s="47">
        <v>50</v>
      </c>
      <c r="G11" s="48">
        <v>113.77</v>
      </c>
      <c r="H11">
        <f>VALUE(LEFT(tbl_transaction[[#This Row],[Order Date]],FIND("/",tbl_transaction[[#This Row],[Order Date]])-1))</f>
        <v>9</v>
      </c>
      <c r="I1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1" t="str">
        <f>MID(tbl_transaction[[#This Row],[Order Date]], FIND("/",tbl_transaction[[#This Row],[Order Date]], FIND("/", tbl_transaction[[#This Row],[Order Date]])+1)+1, 2)</f>
        <v>20</v>
      </c>
      <c r="K11">
        <f>VALUE(LEFT(tbl_transaction[[#This Row],[Transaction Date]],FIND("/",tbl_transaction[[#This Row],[Transaction Date]])-1))</f>
        <v>9</v>
      </c>
      <c r="L1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1" t="str">
        <f>MID(tbl_transaction[[#This Row],[Transaction Date]], FIND("/",tbl_transaction[[#This Row],[Transaction Date]], FIND("/", tbl_transaction[[#This Row],[Transaction Date]])+1)+1, 2)</f>
        <v>20</v>
      </c>
      <c r="N11" s="9">
        <f>DATE(tbl_transaction[[#This Row],[Year_order]]+2000, tbl_transaction[[#This Row],[Month_order]], tbl_transaction[[#This Row],[Date_order]])</f>
        <v>44085</v>
      </c>
      <c r="O11" s="9">
        <f>DATE(tbl_transaction[[#This Row],[Year_Transact]]+2000,tbl_transaction[[#This Row],[Month_Transact]],tbl_transaction[[#This Row],[Date_Transact]])</f>
        <v>44085</v>
      </c>
      <c r="P11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5688.5</v>
      </c>
      <c r="Q11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-5688.5</v>
      </c>
      <c r="R11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11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12" spans="1:19" x14ac:dyDescent="0.25">
      <c r="A12" t="s">
        <v>29</v>
      </c>
      <c r="B12" t="s">
        <v>30</v>
      </c>
      <c r="C12" t="s">
        <v>30</v>
      </c>
      <c r="D12" t="s">
        <v>31</v>
      </c>
      <c r="F12" s="47">
        <v>50</v>
      </c>
      <c r="G12" s="48">
        <v>136.61000000000001</v>
      </c>
      <c r="H12">
        <f>VALUE(LEFT(tbl_transaction[[#This Row],[Order Date]],FIND("/",tbl_transaction[[#This Row],[Order Date]])-1))</f>
        <v>9</v>
      </c>
      <c r="I12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2" t="str">
        <f>MID(tbl_transaction[[#This Row],[Order Date]], FIND("/",tbl_transaction[[#This Row],[Order Date]], FIND("/", tbl_transaction[[#This Row],[Order Date]])+1)+1, 2)</f>
        <v>20</v>
      </c>
      <c r="K12">
        <f>VALUE(LEFT(tbl_transaction[[#This Row],[Transaction Date]],FIND("/",tbl_transaction[[#This Row],[Transaction Date]])-1))</f>
        <v>9</v>
      </c>
      <c r="L12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2" t="str">
        <f>MID(tbl_transaction[[#This Row],[Transaction Date]], FIND("/",tbl_transaction[[#This Row],[Transaction Date]], FIND("/", tbl_transaction[[#This Row],[Transaction Date]])+1)+1, 2)</f>
        <v>20</v>
      </c>
      <c r="N12" s="9">
        <f>DATE(tbl_transaction[[#This Row],[Year_order]]+2000, tbl_transaction[[#This Row],[Month_order]], tbl_transaction[[#This Row],[Date_order]])</f>
        <v>44085</v>
      </c>
      <c r="O12" s="9">
        <f>DATE(tbl_transaction[[#This Row],[Year_Transact]]+2000,tbl_transaction[[#This Row],[Month_Transact]],tbl_transaction[[#This Row],[Date_Transact]])</f>
        <v>44085</v>
      </c>
      <c r="P12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12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6830.5000000000009</v>
      </c>
      <c r="R12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6830.5000000000009</v>
      </c>
      <c r="S12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13" spans="1:19" x14ac:dyDescent="0.25">
      <c r="A13" t="s">
        <v>20</v>
      </c>
      <c r="B13" t="s">
        <v>32</v>
      </c>
      <c r="C13" t="s">
        <v>32</v>
      </c>
      <c r="D13" t="s">
        <v>26</v>
      </c>
      <c r="F13" s="47">
        <v>500</v>
      </c>
      <c r="G13" s="48">
        <v>2.85</v>
      </c>
      <c r="H13">
        <f>VALUE(LEFT(tbl_transaction[[#This Row],[Order Date]],FIND("/",tbl_transaction[[#This Row],[Order Date]])-1))</f>
        <v>9</v>
      </c>
      <c r="I13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3" t="str">
        <f>MID(tbl_transaction[[#This Row],[Order Date]], FIND("/",tbl_transaction[[#This Row],[Order Date]], FIND("/", tbl_transaction[[#This Row],[Order Date]])+1)+1, 2)</f>
        <v>20</v>
      </c>
      <c r="K13">
        <f>VALUE(LEFT(tbl_transaction[[#This Row],[Transaction Date]],FIND("/",tbl_transaction[[#This Row],[Transaction Date]])-1))</f>
        <v>9</v>
      </c>
      <c r="L13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3" t="str">
        <f>MID(tbl_transaction[[#This Row],[Transaction Date]], FIND("/",tbl_transaction[[#This Row],[Transaction Date]], FIND("/", tbl_transaction[[#This Row],[Transaction Date]])+1)+1, 2)</f>
        <v>20</v>
      </c>
      <c r="N13" s="9">
        <f>DATE(tbl_transaction[[#This Row],[Year_order]]+2000, tbl_transaction[[#This Row],[Month_order]], tbl_transaction[[#This Row],[Date_order]])</f>
        <v>44085</v>
      </c>
      <c r="O13" s="9">
        <f>DATE(tbl_transaction[[#This Row],[Year_Transact]]+2000,tbl_transaction[[#This Row],[Month_Transact]],tbl_transaction[[#This Row],[Date_Transact]])</f>
        <v>44085</v>
      </c>
      <c r="P13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1425</v>
      </c>
      <c r="Q13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-1425</v>
      </c>
      <c r="R13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13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-500</v>
      </c>
    </row>
    <row r="14" spans="1:19" x14ac:dyDescent="0.25">
      <c r="A14" t="s">
        <v>29</v>
      </c>
      <c r="B14" t="s">
        <v>33</v>
      </c>
      <c r="C14" t="s">
        <v>33</v>
      </c>
      <c r="D14" t="s">
        <v>34</v>
      </c>
      <c r="F14" s="47">
        <v>50</v>
      </c>
      <c r="G14" s="48">
        <v>138.31</v>
      </c>
      <c r="H14">
        <f>VALUE(LEFT(tbl_transaction[[#This Row],[Order Date]],FIND("/",tbl_transaction[[#This Row],[Order Date]])-1))</f>
        <v>9</v>
      </c>
      <c r="I14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4" t="str">
        <f>MID(tbl_transaction[[#This Row],[Order Date]], FIND("/",tbl_transaction[[#This Row],[Order Date]], FIND("/", tbl_transaction[[#This Row],[Order Date]])+1)+1, 2)</f>
        <v>20</v>
      </c>
      <c r="K14">
        <f>VALUE(LEFT(tbl_transaction[[#This Row],[Transaction Date]],FIND("/",tbl_transaction[[#This Row],[Transaction Date]])-1))</f>
        <v>9</v>
      </c>
      <c r="L14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4" t="str">
        <f>MID(tbl_transaction[[#This Row],[Transaction Date]], FIND("/",tbl_transaction[[#This Row],[Transaction Date]], FIND("/", tbl_transaction[[#This Row],[Transaction Date]])+1)+1, 2)</f>
        <v>20</v>
      </c>
      <c r="N14" s="9">
        <f>DATE(tbl_transaction[[#This Row],[Year_order]]+2000, tbl_transaction[[#This Row],[Month_order]], tbl_transaction[[#This Row],[Date_order]])</f>
        <v>44085</v>
      </c>
      <c r="O14" s="9">
        <f>DATE(tbl_transaction[[#This Row],[Year_Transact]]+2000,tbl_transaction[[#This Row],[Month_Transact]],tbl_transaction[[#This Row],[Date_Transact]])</f>
        <v>44085</v>
      </c>
      <c r="P14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14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-6915.5</v>
      </c>
      <c r="R14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-6915.5</v>
      </c>
      <c r="S14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15" spans="1:19" x14ac:dyDescent="0.25">
      <c r="A15" t="s">
        <v>35</v>
      </c>
      <c r="B15" t="s">
        <v>36</v>
      </c>
      <c r="C15" t="s">
        <v>36</v>
      </c>
      <c r="D15" t="s">
        <v>31</v>
      </c>
      <c r="F15" s="47">
        <v>50</v>
      </c>
      <c r="G15" s="48">
        <v>58.47</v>
      </c>
      <c r="H15">
        <f>VALUE(LEFT(tbl_transaction[[#This Row],[Order Date]],FIND("/",tbl_transaction[[#This Row],[Order Date]])-1))</f>
        <v>9</v>
      </c>
      <c r="I15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5" t="str">
        <f>MID(tbl_transaction[[#This Row],[Order Date]], FIND("/",tbl_transaction[[#This Row],[Order Date]], FIND("/", tbl_transaction[[#This Row],[Order Date]])+1)+1, 2)</f>
        <v>20</v>
      </c>
      <c r="K15">
        <f>VALUE(LEFT(tbl_transaction[[#This Row],[Transaction Date]],FIND("/",tbl_transaction[[#This Row],[Transaction Date]])-1))</f>
        <v>9</v>
      </c>
      <c r="L15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5" t="str">
        <f>MID(tbl_transaction[[#This Row],[Transaction Date]], FIND("/",tbl_transaction[[#This Row],[Transaction Date]], FIND("/", tbl_transaction[[#This Row],[Transaction Date]])+1)+1, 2)</f>
        <v>20</v>
      </c>
      <c r="N15" s="9">
        <f>DATE(tbl_transaction[[#This Row],[Year_order]]+2000, tbl_transaction[[#This Row],[Month_order]], tbl_transaction[[#This Row],[Date_order]])</f>
        <v>44085</v>
      </c>
      <c r="O15" s="9">
        <f>DATE(tbl_transaction[[#This Row],[Year_Transact]]+2000,tbl_transaction[[#This Row],[Month_Transact]],tbl_transaction[[#This Row],[Date_Transact]])</f>
        <v>44085</v>
      </c>
      <c r="P15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15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2923.5</v>
      </c>
      <c r="R15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2923.5</v>
      </c>
      <c r="S15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16" spans="1:19" x14ac:dyDescent="0.25">
      <c r="A16" t="s">
        <v>37</v>
      </c>
      <c r="B16" t="s">
        <v>38</v>
      </c>
      <c r="C16" t="s">
        <v>38</v>
      </c>
      <c r="D16" t="s">
        <v>31</v>
      </c>
      <c r="F16" s="47">
        <v>50</v>
      </c>
      <c r="G16" s="48">
        <v>120.99</v>
      </c>
      <c r="H16">
        <f>VALUE(LEFT(tbl_transaction[[#This Row],[Order Date]],FIND("/",tbl_transaction[[#This Row],[Order Date]])-1))</f>
        <v>9</v>
      </c>
      <c r="I16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6" t="str">
        <f>MID(tbl_transaction[[#This Row],[Order Date]], FIND("/",tbl_transaction[[#This Row],[Order Date]], FIND("/", tbl_transaction[[#This Row],[Order Date]])+1)+1, 2)</f>
        <v>20</v>
      </c>
      <c r="K16">
        <f>VALUE(LEFT(tbl_transaction[[#This Row],[Transaction Date]],FIND("/",tbl_transaction[[#This Row],[Transaction Date]])-1))</f>
        <v>9</v>
      </c>
      <c r="L16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6" t="str">
        <f>MID(tbl_transaction[[#This Row],[Transaction Date]], FIND("/",tbl_transaction[[#This Row],[Transaction Date]], FIND("/", tbl_transaction[[#This Row],[Transaction Date]])+1)+1, 2)</f>
        <v>20</v>
      </c>
      <c r="N16" s="9">
        <f>DATE(tbl_transaction[[#This Row],[Year_order]]+2000, tbl_transaction[[#This Row],[Month_order]], tbl_transaction[[#This Row],[Date_order]])</f>
        <v>44085</v>
      </c>
      <c r="O16" s="9">
        <f>DATE(tbl_transaction[[#This Row],[Year_Transact]]+2000,tbl_transaction[[#This Row],[Month_Transact]],tbl_transaction[[#This Row],[Date_Transact]])</f>
        <v>44085</v>
      </c>
      <c r="P16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16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6049.5</v>
      </c>
      <c r="R16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6049.5</v>
      </c>
      <c r="S16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17" spans="1:19" x14ac:dyDescent="0.25">
      <c r="A17" t="s">
        <v>35</v>
      </c>
      <c r="B17" t="s">
        <v>39</v>
      </c>
      <c r="C17" t="s">
        <v>39</v>
      </c>
      <c r="D17" t="s">
        <v>34</v>
      </c>
      <c r="F17" s="47">
        <v>50</v>
      </c>
      <c r="G17" s="48">
        <v>57.36</v>
      </c>
      <c r="H17">
        <f>VALUE(LEFT(tbl_transaction[[#This Row],[Order Date]],FIND("/",tbl_transaction[[#This Row],[Order Date]])-1))</f>
        <v>9</v>
      </c>
      <c r="I17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7" t="str">
        <f>MID(tbl_transaction[[#This Row],[Order Date]], FIND("/",tbl_transaction[[#This Row],[Order Date]], FIND("/", tbl_transaction[[#This Row],[Order Date]])+1)+1, 2)</f>
        <v>20</v>
      </c>
      <c r="K17">
        <f>VALUE(LEFT(tbl_transaction[[#This Row],[Transaction Date]],FIND("/",tbl_transaction[[#This Row],[Transaction Date]])-1))</f>
        <v>9</v>
      </c>
      <c r="L17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7" t="str">
        <f>MID(tbl_transaction[[#This Row],[Transaction Date]], FIND("/",tbl_transaction[[#This Row],[Transaction Date]], FIND("/", tbl_transaction[[#This Row],[Transaction Date]])+1)+1, 2)</f>
        <v>20</v>
      </c>
      <c r="N17" s="9">
        <f>DATE(tbl_transaction[[#This Row],[Year_order]]+2000, tbl_transaction[[#This Row],[Month_order]], tbl_transaction[[#This Row],[Date_order]])</f>
        <v>44085</v>
      </c>
      <c r="O17" s="9">
        <f>DATE(tbl_transaction[[#This Row],[Year_Transact]]+2000,tbl_transaction[[#This Row],[Month_Transact]],tbl_transaction[[#This Row],[Date_Transact]])</f>
        <v>44085</v>
      </c>
      <c r="P17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17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-2868</v>
      </c>
      <c r="R17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-2868</v>
      </c>
      <c r="S17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18" spans="1:19" x14ac:dyDescent="0.25">
      <c r="A18" t="s">
        <v>37</v>
      </c>
      <c r="B18" t="s">
        <v>40</v>
      </c>
      <c r="C18" t="s">
        <v>40</v>
      </c>
      <c r="D18" t="s">
        <v>34</v>
      </c>
      <c r="F18" s="47">
        <v>50</v>
      </c>
      <c r="G18" s="48">
        <v>121.08</v>
      </c>
      <c r="H18">
        <f>VALUE(LEFT(tbl_transaction[[#This Row],[Order Date]],FIND("/",tbl_transaction[[#This Row],[Order Date]])-1))</f>
        <v>9</v>
      </c>
      <c r="I18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8" t="str">
        <f>MID(tbl_transaction[[#This Row],[Order Date]], FIND("/",tbl_transaction[[#This Row],[Order Date]], FIND("/", tbl_transaction[[#This Row],[Order Date]])+1)+1, 2)</f>
        <v>20</v>
      </c>
      <c r="K18">
        <f>VALUE(LEFT(tbl_transaction[[#This Row],[Transaction Date]],FIND("/",tbl_transaction[[#This Row],[Transaction Date]])-1))</f>
        <v>9</v>
      </c>
      <c r="L18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8" t="str">
        <f>MID(tbl_transaction[[#This Row],[Transaction Date]], FIND("/",tbl_transaction[[#This Row],[Transaction Date]], FIND("/", tbl_transaction[[#This Row],[Transaction Date]])+1)+1, 2)</f>
        <v>20</v>
      </c>
      <c r="N18" s="9">
        <f>DATE(tbl_transaction[[#This Row],[Year_order]]+2000, tbl_transaction[[#This Row],[Month_order]], tbl_transaction[[#This Row],[Date_order]])</f>
        <v>44085</v>
      </c>
      <c r="O18" s="9">
        <f>DATE(tbl_transaction[[#This Row],[Year_Transact]]+2000,tbl_transaction[[#This Row],[Month_Transact]],tbl_transaction[[#This Row],[Date_Transact]])</f>
        <v>44085</v>
      </c>
      <c r="P18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18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-6054</v>
      </c>
      <c r="R18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-6054</v>
      </c>
      <c r="S18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19" spans="1:19" x14ac:dyDescent="0.25">
      <c r="A19" t="s">
        <v>35</v>
      </c>
      <c r="B19" t="s">
        <v>41</v>
      </c>
      <c r="C19" t="s">
        <v>41</v>
      </c>
      <c r="D19" t="s">
        <v>19</v>
      </c>
      <c r="F19" s="47">
        <v>100</v>
      </c>
      <c r="G19" s="48">
        <v>57.01</v>
      </c>
      <c r="H19">
        <f>VALUE(LEFT(tbl_transaction[[#This Row],[Order Date]],FIND("/",tbl_transaction[[#This Row],[Order Date]])-1))</f>
        <v>9</v>
      </c>
      <c r="I19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9" t="str">
        <f>MID(tbl_transaction[[#This Row],[Order Date]], FIND("/",tbl_transaction[[#This Row],[Order Date]], FIND("/", tbl_transaction[[#This Row],[Order Date]])+1)+1, 2)</f>
        <v>20</v>
      </c>
      <c r="K19">
        <f>VALUE(LEFT(tbl_transaction[[#This Row],[Transaction Date]],FIND("/",tbl_transaction[[#This Row],[Transaction Date]])-1))</f>
        <v>9</v>
      </c>
      <c r="L19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9" t="str">
        <f>MID(tbl_transaction[[#This Row],[Transaction Date]], FIND("/",tbl_transaction[[#This Row],[Transaction Date]], FIND("/", tbl_transaction[[#This Row],[Transaction Date]])+1)+1, 2)</f>
        <v>20</v>
      </c>
      <c r="N19" s="9">
        <f>DATE(tbl_transaction[[#This Row],[Year_order]]+2000, tbl_transaction[[#This Row],[Month_order]], tbl_transaction[[#This Row],[Date_order]])</f>
        <v>44085</v>
      </c>
      <c r="O19" s="9">
        <f>DATE(tbl_transaction[[#This Row],[Year_Transact]]+2000,tbl_transaction[[#This Row],[Month_Transact]],tbl_transaction[[#This Row],[Date_Transact]])</f>
        <v>44085</v>
      </c>
      <c r="P19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-5701</v>
      </c>
      <c r="Q19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5701</v>
      </c>
      <c r="R19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19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20" spans="1:19" x14ac:dyDescent="0.25">
      <c r="A20" t="s">
        <v>35</v>
      </c>
      <c r="B20" t="s">
        <v>215</v>
      </c>
      <c r="C20" t="s">
        <v>216</v>
      </c>
      <c r="D20" t="s">
        <v>26</v>
      </c>
      <c r="F20" s="47">
        <v>100</v>
      </c>
      <c r="G20" s="48">
        <v>59.64</v>
      </c>
      <c r="H20">
        <f>VALUE(LEFT(tbl_transaction[[#This Row],[Order Date]],FIND("/",tbl_transaction[[#This Row],[Order Date]])-1))</f>
        <v>9</v>
      </c>
      <c r="I20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0" t="str">
        <f>MID(tbl_transaction[[#This Row],[Order Date]], FIND("/",tbl_transaction[[#This Row],[Order Date]], FIND("/", tbl_transaction[[#This Row],[Order Date]])+1)+1, 2)</f>
        <v>20</v>
      </c>
      <c r="K20">
        <f>VALUE(LEFT(tbl_transaction[[#This Row],[Transaction Date]],FIND("/",tbl_transaction[[#This Row],[Transaction Date]])-1))</f>
        <v>9</v>
      </c>
      <c r="L20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0" t="str">
        <f>MID(tbl_transaction[[#This Row],[Transaction Date]], FIND("/",tbl_transaction[[#This Row],[Transaction Date]], FIND("/", tbl_transaction[[#This Row],[Transaction Date]])+1)+1, 2)</f>
        <v>20</v>
      </c>
      <c r="N20" s="9">
        <f>DATE(tbl_transaction[[#This Row],[Year_order]]+2000, tbl_transaction[[#This Row],[Month_order]], tbl_transaction[[#This Row],[Date_order]])</f>
        <v>44088</v>
      </c>
      <c r="O20" s="9">
        <f>DATE(tbl_transaction[[#This Row],[Year_Transact]]+2000,tbl_transaction[[#This Row],[Month_Transact]],tbl_transaction[[#This Row],[Date_Transact]])</f>
        <v>44088</v>
      </c>
      <c r="P20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5964</v>
      </c>
      <c r="Q20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-5964</v>
      </c>
      <c r="R20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20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</v>
      </c>
    </row>
    <row r="21" spans="1:19" x14ac:dyDescent="0.25">
      <c r="A21" t="s">
        <v>35</v>
      </c>
      <c r="B21" t="s">
        <v>216</v>
      </c>
      <c r="C21" t="s">
        <v>216</v>
      </c>
      <c r="D21" t="s">
        <v>31</v>
      </c>
      <c r="F21" s="47">
        <v>100</v>
      </c>
      <c r="G21" s="48">
        <v>59.45</v>
      </c>
      <c r="H21">
        <f>VALUE(LEFT(tbl_transaction[[#This Row],[Order Date]],FIND("/",tbl_transaction[[#This Row],[Order Date]])-1))</f>
        <v>9</v>
      </c>
      <c r="I2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1" t="str">
        <f>MID(tbl_transaction[[#This Row],[Order Date]], FIND("/",tbl_transaction[[#This Row],[Order Date]], FIND("/", tbl_transaction[[#This Row],[Order Date]])+1)+1, 2)</f>
        <v>20</v>
      </c>
      <c r="K21">
        <f>VALUE(LEFT(tbl_transaction[[#This Row],[Transaction Date]],FIND("/",tbl_transaction[[#This Row],[Transaction Date]])-1))</f>
        <v>9</v>
      </c>
      <c r="L2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1" t="str">
        <f>MID(tbl_transaction[[#This Row],[Transaction Date]], FIND("/",tbl_transaction[[#This Row],[Transaction Date]], FIND("/", tbl_transaction[[#This Row],[Transaction Date]])+1)+1, 2)</f>
        <v>20</v>
      </c>
      <c r="N21" s="9">
        <f>DATE(tbl_transaction[[#This Row],[Year_order]]+2000, tbl_transaction[[#This Row],[Month_order]], tbl_transaction[[#This Row],[Date_order]])</f>
        <v>44088</v>
      </c>
      <c r="O21" s="9">
        <f>DATE(tbl_transaction[[#This Row],[Year_Transact]]+2000,tbl_transaction[[#This Row],[Month_Transact]],tbl_transaction[[#This Row],[Date_Transact]])</f>
        <v>44088</v>
      </c>
      <c r="P21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21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5945</v>
      </c>
      <c r="R21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5945</v>
      </c>
      <c r="S21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22" spans="1:19" x14ac:dyDescent="0.25">
      <c r="A22" t="s">
        <v>217</v>
      </c>
      <c r="B22" t="s">
        <v>218</v>
      </c>
      <c r="C22" t="s">
        <v>218</v>
      </c>
      <c r="D22" t="s">
        <v>31</v>
      </c>
      <c r="F22" s="47">
        <v>100</v>
      </c>
      <c r="G22" s="48">
        <v>29.49</v>
      </c>
      <c r="H22">
        <f>VALUE(LEFT(tbl_transaction[[#This Row],[Order Date]],FIND("/",tbl_transaction[[#This Row],[Order Date]])-1))</f>
        <v>9</v>
      </c>
      <c r="I22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2" t="str">
        <f>MID(tbl_transaction[[#This Row],[Order Date]], FIND("/",tbl_transaction[[#This Row],[Order Date]], FIND("/", tbl_transaction[[#This Row],[Order Date]])+1)+1, 2)</f>
        <v>20</v>
      </c>
      <c r="K22">
        <f>VALUE(LEFT(tbl_transaction[[#This Row],[Transaction Date]],FIND("/",tbl_transaction[[#This Row],[Transaction Date]])-1))</f>
        <v>9</v>
      </c>
      <c r="L22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2" t="str">
        <f>MID(tbl_transaction[[#This Row],[Transaction Date]], FIND("/",tbl_transaction[[#This Row],[Transaction Date]], FIND("/", tbl_transaction[[#This Row],[Transaction Date]])+1)+1, 2)</f>
        <v>20</v>
      </c>
      <c r="N22" s="9">
        <f>DATE(tbl_transaction[[#This Row],[Year_order]]+2000, tbl_transaction[[#This Row],[Month_order]], tbl_transaction[[#This Row],[Date_order]])</f>
        <v>44088</v>
      </c>
      <c r="O22" s="9">
        <f>DATE(tbl_transaction[[#This Row],[Year_Transact]]+2000,tbl_transaction[[#This Row],[Month_Transact]],tbl_transaction[[#This Row],[Date_Transact]])</f>
        <v>44088</v>
      </c>
      <c r="P22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22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2949</v>
      </c>
      <c r="R22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2949</v>
      </c>
      <c r="S22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23" spans="1:19" x14ac:dyDescent="0.25">
      <c r="A23" t="s">
        <v>217</v>
      </c>
      <c r="B23" t="s">
        <v>219</v>
      </c>
      <c r="C23" t="s">
        <v>219</v>
      </c>
      <c r="D23" t="s">
        <v>34</v>
      </c>
      <c r="F23" s="47">
        <v>50</v>
      </c>
      <c r="G23" s="48">
        <v>31.89</v>
      </c>
      <c r="H23">
        <f>VALUE(LEFT(tbl_transaction[[#This Row],[Order Date]],FIND("/",tbl_transaction[[#This Row],[Order Date]])-1))</f>
        <v>9</v>
      </c>
      <c r="I23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3" t="str">
        <f>MID(tbl_transaction[[#This Row],[Order Date]], FIND("/",tbl_transaction[[#This Row],[Order Date]], FIND("/", tbl_transaction[[#This Row],[Order Date]])+1)+1, 2)</f>
        <v>20</v>
      </c>
      <c r="K23">
        <f>VALUE(LEFT(tbl_transaction[[#This Row],[Transaction Date]],FIND("/",tbl_transaction[[#This Row],[Transaction Date]])-1))</f>
        <v>9</v>
      </c>
      <c r="L23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3" t="str">
        <f>MID(tbl_transaction[[#This Row],[Transaction Date]], FIND("/",tbl_transaction[[#This Row],[Transaction Date]], FIND("/", tbl_transaction[[#This Row],[Transaction Date]])+1)+1, 2)</f>
        <v>20</v>
      </c>
      <c r="N23" s="9">
        <f>DATE(tbl_transaction[[#This Row],[Year_order]]+2000, tbl_transaction[[#This Row],[Month_order]], tbl_transaction[[#This Row],[Date_order]])</f>
        <v>44088</v>
      </c>
      <c r="O23" s="9">
        <f>DATE(tbl_transaction[[#This Row],[Year_Transact]]+2000,tbl_transaction[[#This Row],[Month_Transact]],tbl_transaction[[#This Row],[Date_Transact]])</f>
        <v>44088</v>
      </c>
      <c r="P23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23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-1594.5</v>
      </c>
      <c r="R23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-1594.5</v>
      </c>
      <c r="S23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24" spans="1:19" x14ac:dyDescent="0.25">
      <c r="A24" t="s">
        <v>217</v>
      </c>
      <c r="B24" t="s">
        <v>220</v>
      </c>
      <c r="C24" t="s">
        <v>220</v>
      </c>
      <c r="D24" t="s">
        <v>19</v>
      </c>
      <c r="F24" s="47">
        <v>100</v>
      </c>
      <c r="G24" s="48">
        <v>32.619999999999997</v>
      </c>
      <c r="H24">
        <f>VALUE(LEFT(tbl_transaction[[#This Row],[Order Date]],FIND("/",tbl_transaction[[#This Row],[Order Date]])-1))</f>
        <v>9</v>
      </c>
      <c r="I24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4" t="str">
        <f>MID(tbl_transaction[[#This Row],[Order Date]], FIND("/",tbl_transaction[[#This Row],[Order Date]], FIND("/", tbl_transaction[[#This Row],[Order Date]])+1)+1, 2)</f>
        <v>20</v>
      </c>
      <c r="K24">
        <f>VALUE(LEFT(tbl_transaction[[#This Row],[Transaction Date]],FIND("/",tbl_transaction[[#This Row],[Transaction Date]])-1))</f>
        <v>9</v>
      </c>
      <c r="L24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4" t="str">
        <f>MID(tbl_transaction[[#This Row],[Transaction Date]], FIND("/",tbl_transaction[[#This Row],[Transaction Date]], FIND("/", tbl_transaction[[#This Row],[Transaction Date]])+1)+1, 2)</f>
        <v>20</v>
      </c>
      <c r="N24" s="9">
        <f>DATE(tbl_transaction[[#This Row],[Year_order]]+2000, tbl_transaction[[#This Row],[Month_order]], tbl_transaction[[#This Row],[Date_order]])</f>
        <v>44088</v>
      </c>
      <c r="O24" s="9">
        <f>DATE(tbl_transaction[[#This Row],[Year_Transact]]+2000,tbl_transaction[[#This Row],[Month_Transact]],tbl_transaction[[#This Row],[Date_Transact]])</f>
        <v>44088</v>
      </c>
      <c r="P24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-3261.9999999999995</v>
      </c>
      <c r="Q24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3261.9999999999995</v>
      </c>
      <c r="R24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24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25" spans="1:19" x14ac:dyDescent="0.25">
      <c r="A25" t="s">
        <v>217</v>
      </c>
      <c r="B25" t="s">
        <v>220</v>
      </c>
      <c r="C25" t="s">
        <v>220</v>
      </c>
      <c r="D25" t="s">
        <v>34</v>
      </c>
      <c r="F25" s="47">
        <v>50</v>
      </c>
      <c r="G25" s="48">
        <v>32.369999999999997</v>
      </c>
      <c r="H25">
        <f>VALUE(LEFT(tbl_transaction[[#This Row],[Order Date]],FIND("/",tbl_transaction[[#This Row],[Order Date]])-1))</f>
        <v>9</v>
      </c>
      <c r="I25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5" t="str">
        <f>MID(tbl_transaction[[#This Row],[Order Date]], FIND("/",tbl_transaction[[#This Row],[Order Date]], FIND("/", tbl_transaction[[#This Row],[Order Date]])+1)+1, 2)</f>
        <v>20</v>
      </c>
      <c r="K25">
        <f>VALUE(LEFT(tbl_transaction[[#This Row],[Transaction Date]],FIND("/",tbl_transaction[[#This Row],[Transaction Date]])-1))</f>
        <v>9</v>
      </c>
      <c r="L25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5" t="str">
        <f>MID(tbl_transaction[[#This Row],[Transaction Date]], FIND("/",tbl_transaction[[#This Row],[Transaction Date]], FIND("/", tbl_transaction[[#This Row],[Transaction Date]])+1)+1, 2)</f>
        <v>20</v>
      </c>
      <c r="N25" s="9">
        <f>DATE(tbl_transaction[[#This Row],[Year_order]]+2000, tbl_transaction[[#This Row],[Month_order]], tbl_transaction[[#This Row],[Date_order]])</f>
        <v>44088</v>
      </c>
      <c r="O25" s="9">
        <f>DATE(tbl_transaction[[#This Row],[Year_Transact]]+2000,tbl_transaction[[#This Row],[Month_Transact]],tbl_transaction[[#This Row],[Date_Transact]])</f>
        <v>44088</v>
      </c>
      <c r="P25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25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-1618.4999999999998</v>
      </c>
      <c r="R25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-1618.4999999999998</v>
      </c>
      <c r="S25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26" spans="1:19" x14ac:dyDescent="0.25">
      <c r="A26" t="s">
        <v>35</v>
      </c>
      <c r="B26" t="s">
        <v>221</v>
      </c>
      <c r="C26" t="s">
        <v>221</v>
      </c>
      <c r="D26" t="s">
        <v>34</v>
      </c>
      <c r="F26" s="47">
        <v>100</v>
      </c>
      <c r="G26" s="48">
        <v>60.97</v>
      </c>
      <c r="H26">
        <f>VALUE(LEFT(tbl_transaction[[#This Row],[Order Date]],FIND("/",tbl_transaction[[#This Row],[Order Date]])-1))</f>
        <v>9</v>
      </c>
      <c r="I26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6" t="str">
        <f>MID(tbl_transaction[[#This Row],[Order Date]], FIND("/",tbl_transaction[[#This Row],[Order Date]], FIND("/", tbl_transaction[[#This Row],[Order Date]])+1)+1, 2)</f>
        <v>20</v>
      </c>
      <c r="K26">
        <f>VALUE(LEFT(tbl_transaction[[#This Row],[Transaction Date]],FIND("/",tbl_transaction[[#This Row],[Transaction Date]])-1))</f>
        <v>9</v>
      </c>
      <c r="L26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6" t="str">
        <f>MID(tbl_transaction[[#This Row],[Transaction Date]], FIND("/",tbl_transaction[[#This Row],[Transaction Date]], FIND("/", tbl_transaction[[#This Row],[Transaction Date]])+1)+1, 2)</f>
        <v>20</v>
      </c>
      <c r="N26" s="9">
        <f>DATE(tbl_transaction[[#This Row],[Year_order]]+2000, tbl_transaction[[#This Row],[Month_order]], tbl_transaction[[#This Row],[Date_order]])</f>
        <v>44088</v>
      </c>
      <c r="O26" s="9">
        <f>DATE(tbl_transaction[[#This Row],[Year_Transact]]+2000,tbl_transaction[[#This Row],[Month_Transact]],tbl_transaction[[#This Row],[Date_Transact]])</f>
        <v>44088</v>
      </c>
      <c r="P26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26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-6097</v>
      </c>
      <c r="R26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-6097</v>
      </c>
      <c r="S26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</v>
      </c>
    </row>
    <row r="27" spans="1:19" x14ac:dyDescent="0.25">
      <c r="A27" t="s">
        <v>217</v>
      </c>
      <c r="B27" t="s">
        <v>222</v>
      </c>
      <c r="C27" t="s">
        <v>222</v>
      </c>
      <c r="D27" t="s">
        <v>19</v>
      </c>
      <c r="F27" s="47">
        <v>149</v>
      </c>
      <c r="G27" s="48">
        <v>35.07</v>
      </c>
      <c r="H27">
        <f>VALUE(LEFT(tbl_transaction[[#This Row],[Order Date]],FIND("/",tbl_transaction[[#This Row],[Order Date]])-1))</f>
        <v>9</v>
      </c>
      <c r="I27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7" t="str">
        <f>MID(tbl_transaction[[#This Row],[Order Date]], FIND("/",tbl_transaction[[#This Row],[Order Date]], FIND("/", tbl_transaction[[#This Row],[Order Date]])+1)+1, 2)</f>
        <v>20</v>
      </c>
      <c r="K27">
        <f>VALUE(LEFT(tbl_transaction[[#This Row],[Transaction Date]],FIND("/",tbl_transaction[[#This Row],[Transaction Date]])-1))</f>
        <v>9</v>
      </c>
      <c r="L27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7" t="str">
        <f>MID(tbl_transaction[[#This Row],[Transaction Date]], FIND("/",tbl_transaction[[#This Row],[Transaction Date]], FIND("/", tbl_transaction[[#This Row],[Transaction Date]])+1)+1, 2)</f>
        <v>20</v>
      </c>
      <c r="N27" s="9">
        <f>DATE(tbl_transaction[[#This Row],[Year_order]]+2000, tbl_transaction[[#This Row],[Month_order]], tbl_transaction[[#This Row],[Date_order]])</f>
        <v>44088</v>
      </c>
      <c r="O27" s="9">
        <f>DATE(tbl_transaction[[#This Row],[Year_Transact]]+2000,tbl_transaction[[#This Row],[Month_Transact]],tbl_transaction[[#This Row],[Date_Transact]])</f>
        <v>44088</v>
      </c>
      <c r="P27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-5225.43</v>
      </c>
      <c r="Q27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5225.43</v>
      </c>
      <c r="R27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27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149</v>
      </c>
    </row>
    <row r="28" spans="1:19" x14ac:dyDescent="0.25">
      <c r="A28" t="s">
        <v>217</v>
      </c>
      <c r="B28" t="s">
        <v>223</v>
      </c>
      <c r="C28" t="s">
        <v>223</v>
      </c>
      <c r="D28" t="s">
        <v>26</v>
      </c>
      <c r="F28" s="47">
        <v>100</v>
      </c>
      <c r="G28" s="48">
        <v>36.6</v>
      </c>
      <c r="H28">
        <f>VALUE(LEFT(tbl_transaction[[#This Row],[Order Date]],FIND("/",tbl_transaction[[#This Row],[Order Date]])-1))</f>
        <v>9</v>
      </c>
      <c r="I28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8" t="str">
        <f>MID(tbl_transaction[[#This Row],[Order Date]], FIND("/",tbl_transaction[[#This Row],[Order Date]], FIND("/", tbl_transaction[[#This Row],[Order Date]])+1)+1, 2)</f>
        <v>20</v>
      </c>
      <c r="K28">
        <f>VALUE(LEFT(tbl_transaction[[#This Row],[Transaction Date]],FIND("/",tbl_transaction[[#This Row],[Transaction Date]])-1))</f>
        <v>9</v>
      </c>
      <c r="L28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8" t="str">
        <f>MID(tbl_transaction[[#This Row],[Transaction Date]], FIND("/",tbl_transaction[[#This Row],[Transaction Date]], FIND("/", tbl_transaction[[#This Row],[Transaction Date]])+1)+1, 2)</f>
        <v>20</v>
      </c>
      <c r="N28" s="9">
        <f>DATE(tbl_transaction[[#This Row],[Year_order]]+2000, tbl_transaction[[#This Row],[Month_order]], tbl_transaction[[#This Row],[Date_order]])</f>
        <v>44088</v>
      </c>
      <c r="O28" s="9">
        <f>DATE(tbl_transaction[[#This Row],[Year_Transact]]+2000,tbl_transaction[[#This Row],[Month_Transact]],tbl_transaction[[#This Row],[Date_Transact]])</f>
        <v>44088</v>
      </c>
      <c r="P28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3660</v>
      </c>
      <c r="Q28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-3660</v>
      </c>
      <c r="R28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28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</v>
      </c>
    </row>
    <row r="29" spans="1:19" x14ac:dyDescent="0.25">
      <c r="A29" t="s">
        <v>217</v>
      </c>
      <c r="B29" t="s">
        <v>224</v>
      </c>
      <c r="C29" t="s">
        <v>224</v>
      </c>
      <c r="D29" t="s">
        <v>19</v>
      </c>
      <c r="F29" s="47">
        <v>1</v>
      </c>
      <c r="G29" s="48">
        <v>35.369999999999997</v>
      </c>
      <c r="H29">
        <f>VALUE(LEFT(tbl_transaction[[#This Row],[Order Date]],FIND("/",tbl_transaction[[#This Row],[Order Date]])-1))</f>
        <v>9</v>
      </c>
      <c r="I29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9" t="str">
        <f>MID(tbl_transaction[[#This Row],[Order Date]], FIND("/",tbl_transaction[[#This Row],[Order Date]], FIND("/", tbl_transaction[[#This Row],[Order Date]])+1)+1, 2)</f>
        <v>20</v>
      </c>
      <c r="K29">
        <f>VALUE(LEFT(tbl_transaction[[#This Row],[Transaction Date]],FIND("/",tbl_transaction[[#This Row],[Transaction Date]])-1))</f>
        <v>9</v>
      </c>
      <c r="L29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9" t="str">
        <f>MID(tbl_transaction[[#This Row],[Transaction Date]], FIND("/",tbl_transaction[[#This Row],[Transaction Date]], FIND("/", tbl_transaction[[#This Row],[Transaction Date]])+1)+1, 2)</f>
        <v>20</v>
      </c>
      <c r="N29" s="9">
        <f>DATE(tbl_transaction[[#This Row],[Year_order]]+2000, tbl_transaction[[#This Row],[Month_order]], tbl_transaction[[#This Row],[Date_order]])</f>
        <v>44088</v>
      </c>
      <c r="O29" s="9">
        <f>DATE(tbl_transaction[[#This Row],[Year_Transact]]+2000,tbl_transaction[[#This Row],[Month_Transact]],tbl_transaction[[#This Row],[Date_Transact]])</f>
        <v>44088</v>
      </c>
      <c r="P29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-35.369999999999997</v>
      </c>
      <c r="Q29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35.369999999999997</v>
      </c>
      <c r="R29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29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</v>
      </c>
    </row>
    <row r="30" spans="1:19" x14ac:dyDescent="0.25">
      <c r="A30" t="s">
        <v>217</v>
      </c>
      <c r="B30" t="s">
        <v>225</v>
      </c>
      <c r="C30" t="s">
        <v>225</v>
      </c>
      <c r="D30" t="s">
        <v>19</v>
      </c>
      <c r="F30" s="47">
        <v>100</v>
      </c>
      <c r="G30" s="48">
        <v>35.35</v>
      </c>
      <c r="H30">
        <f>VALUE(LEFT(tbl_transaction[[#This Row],[Order Date]],FIND("/",tbl_transaction[[#This Row],[Order Date]])-1))</f>
        <v>9</v>
      </c>
      <c r="I30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30" t="str">
        <f>MID(tbl_transaction[[#This Row],[Order Date]], FIND("/",tbl_transaction[[#This Row],[Order Date]], FIND("/", tbl_transaction[[#This Row],[Order Date]])+1)+1, 2)</f>
        <v>20</v>
      </c>
      <c r="K30">
        <f>VALUE(LEFT(tbl_transaction[[#This Row],[Transaction Date]],FIND("/",tbl_transaction[[#This Row],[Transaction Date]])-1))</f>
        <v>9</v>
      </c>
      <c r="L30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30" t="str">
        <f>MID(tbl_transaction[[#This Row],[Transaction Date]], FIND("/",tbl_transaction[[#This Row],[Transaction Date]], FIND("/", tbl_transaction[[#This Row],[Transaction Date]])+1)+1, 2)</f>
        <v>20</v>
      </c>
      <c r="N30" s="9">
        <f>DATE(tbl_transaction[[#This Row],[Year_order]]+2000, tbl_transaction[[#This Row],[Month_order]], tbl_transaction[[#This Row],[Date_order]])</f>
        <v>44088</v>
      </c>
      <c r="O30" s="9">
        <f>DATE(tbl_transaction[[#This Row],[Year_Transact]]+2000,tbl_transaction[[#This Row],[Month_Transact]],tbl_transaction[[#This Row],[Date_Transact]])</f>
        <v>44088</v>
      </c>
      <c r="P30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-3535</v>
      </c>
      <c r="Q30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3535</v>
      </c>
      <c r="R30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30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31" spans="1:19" x14ac:dyDescent="0.25">
      <c r="A31" t="s">
        <v>217</v>
      </c>
      <c r="B31" t="s">
        <v>226</v>
      </c>
      <c r="C31" t="s">
        <v>226</v>
      </c>
      <c r="D31" t="s">
        <v>26</v>
      </c>
      <c r="F31" s="47">
        <v>100</v>
      </c>
      <c r="G31" s="48">
        <v>31.6</v>
      </c>
      <c r="H31">
        <f>VALUE(LEFT(tbl_transaction[[#This Row],[Order Date]],FIND("/",tbl_transaction[[#This Row],[Order Date]])-1))</f>
        <v>9</v>
      </c>
      <c r="I3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1" t="str">
        <f>MID(tbl_transaction[[#This Row],[Order Date]], FIND("/",tbl_transaction[[#This Row],[Order Date]], FIND("/", tbl_transaction[[#This Row],[Order Date]])+1)+1, 2)</f>
        <v>20</v>
      </c>
      <c r="K31">
        <f>VALUE(LEFT(tbl_transaction[[#This Row],[Transaction Date]],FIND("/",tbl_transaction[[#This Row],[Transaction Date]])-1))</f>
        <v>9</v>
      </c>
      <c r="L3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1" t="str">
        <f>MID(tbl_transaction[[#This Row],[Transaction Date]], FIND("/",tbl_transaction[[#This Row],[Transaction Date]], FIND("/", tbl_transaction[[#This Row],[Transaction Date]])+1)+1, 2)</f>
        <v>20</v>
      </c>
      <c r="N31" s="9">
        <f>DATE(tbl_transaction[[#This Row],[Year_order]]+2000, tbl_transaction[[#This Row],[Month_order]], tbl_transaction[[#This Row],[Date_order]])</f>
        <v>44090</v>
      </c>
      <c r="O31" s="9">
        <f>DATE(tbl_transaction[[#This Row],[Year_Transact]]+2000,tbl_transaction[[#This Row],[Month_Transact]],tbl_transaction[[#This Row],[Date_Transact]])</f>
        <v>44090</v>
      </c>
      <c r="P31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3160</v>
      </c>
      <c r="Q31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-3160</v>
      </c>
      <c r="R31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31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</v>
      </c>
    </row>
    <row r="32" spans="1:19" x14ac:dyDescent="0.25">
      <c r="A32" t="s">
        <v>227</v>
      </c>
      <c r="B32" t="s">
        <v>228</v>
      </c>
      <c r="C32" t="s">
        <v>228</v>
      </c>
      <c r="D32" t="s">
        <v>31</v>
      </c>
      <c r="F32" s="47">
        <v>40</v>
      </c>
      <c r="G32" s="48">
        <v>253.34</v>
      </c>
      <c r="H32">
        <f>VALUE(LEFT(tbl_transaction[[#This Row],[Order Date]],FIND("/",tbl_transaction[[#This Row],[Order Date]])-1))</f>
        <v>9</v>
      </c>
      <c r="I32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2" t="str">
        <f>MID(tbl_transaction[[#This Row],[Order Date]], FIND("/",tbl_transaction[[#This Row],[Order Date]], FIND("/", tbl_transaction[[#This Row],[Order Date]])+1)+1, 2)</f>
        <v>20</v>
      </c>
      <c r="K32">
        <f>VALUE(LEFT(tbl_transaction[[#This Row],[Transaction Date]],FIND("/",tbl_transaction[[#This Row],[Transaction Date]])-1))</f>
        <v>9</v>
      </c>
      <c r="L32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2" t="str">
        <f>MID(tbl_transaction[[#This Row],[Transaction Date]], FIND("/",tbl_transaction[[#This Row],[Transaction Date]], FIND("/", tbl_transaction[[#This Row],[Transaction Date]])+1)+1, 2)</f>
        <v>20</v>
      </c>
      <c r="N32" s="9">
        <f>DATE(tbl_transaction[[#This Row],[Year_order]]+2000, tbl_transaction[[#This Row],[Month_order]], tbl_transaction[[#This Row],[Date_order]])</f>
        <v>44090</v>
      </c>
      <c r="O32" s="9">
        <f>DATE(tbl_transaction[[#This Row],[Year_Transact]]+2000,tbl_transaction[[#This Row],[Month_Transact]],tbl_transaction[[#This Row],[Date_Transact]])</f>
        <v>44090</v>
      </c>
      <c r="P32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32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10133.6</v>
      </c>
      <c r="R32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10133.6</v>
      </c>
      <c r="S32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40</v>
      </c>
    </row>
    <row r="33" spans="1:19" x14ac:dyDescent="0.25">
      <c r="A33" t="s">
        <v>227</v>
      </c>
      <c r="B33" t="s">
        <v>229</v>
      </c>
      <c r="C33" t="s">
        <v>229</v>
      </c>
      <c r="D33" t="s">
        <v>34</v>
      </c>
      <c r="F33" s="47">
        <v>40</v>
      </c>
      <c r="G33" s="48">
        <v>253.38</v>
      </c>
      <c r="H33">
        <f>VALUE(LEFT(tbl_transaction[[#This Row],[Order Date]],FIND("/",tbl_transaction[[#This Row],[Order Date]])-1))</f>
        <v>9</v>
      </c>
      <c r="I33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3" t="str">
        <f>MID(tbl_transaction[[#This Row],[Order Date]], FIND("/",tbl_transaction[[#This Row],[Order Date]], FIND("/", tbl_transaction[[#This Row],[Order Date]])+1)+1, 2)</f>
        <v>20</v>
      </c>
      <c r="K33">
        <f>VALUE(LEFT(tbl_transaction[[#This Row],[Transaction Date]],FIND("/",tbl_transaction[[#This Row],[Transaction Date]])-1))</f>
        <v>9</v>
      </c>
      <c r="L33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3" t="str">
        <f>MID(tbl_transaction[[#This Row],[Transaction Date]], FIND("/",tbl_transaction[[#This Row],[Transaction Date]], FIND("/", tbl_transaction[[#This Row],[Transaction Date]])+1)+1, 2)</f>
        <v>20</v>
      </c>
      <c r="N33" s="9">
        <f>DATE(tbl_transaction[[#This Row],[Year_order]]+2000, tbl_transaction[[#This Row],[Month_order]], tbl_transaction[[#This Row],[Date_order]])</f>
        <v>44090</v>
      </c>
      <c r="O33" s="9">
        <f>DATE(tbl_transaction[[#This Row],[Year_Transact]]+2000,tbl_transaction[[#This Row],[Month_Transact]],tbl_transaction[[#This Row],[Date_Transact]])</f>
        <v>44090</v>
      </c>
      <c r="P33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33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-10135.200000000001</v>
      </c>
      <c r="R33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-10135.200000000001</v>
      </c>
      <c r="S33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-40</v>
      </c>
    </row>
    <row r="34" spans="1:19" x14ac:dyDescent="0.25">
      <c r="A34" t="s">
        <v>20</v>
      </c>
      <c r="B34" t="s">
        <v>230</v>
      </c>
      <c r="C34" t="s">
        <v>230</v>
      </c>
      <c r="D34" t="s">
        <v>26</v>
      </c>
      <c r="F34" s="47">
        <v>1000</v>
      </c>
      <c r="G34" s="48">
        <v>3.22</v>
      </c>
      <c r="H34">
        <f>VALUE(LEFT(tbl_transaction[[#This Row],[Order Date]],FIND("/",tbl_transaction[[#This Row],[Order Date]])-1))</f>
        <v>9</v>
      </c>
      <c r="I34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4" t="str">
        <f>MID(tbl_transaction[[#This Row],[Order Date]], FIND("/",tbl_transaction[[#This Row],[Order Date]], FIND("/", tbl_transaction[[#This Row],[Order Date]])+1)+1, 2)</f>
        <v>20</v>
      </c>
      <c r="K34">
        <f>VALUE(LEFT(tbl_transaction[[#This Row],[Transaction Date]],FIND("/",tbl_transaction[[#This Row],[Transaction Date]])-1))</f>
        <v>9</v>
      </c>
      <c r="L34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4" t="str">
        <f>MID(tbl_transaction[[#This Row],[Transaction Date]], FIND("/",tbl_transaction[[#This Row],[Transaction Date]], FIND("/", tbl_transaction[[#This Row],[Transaction Date]])+1)+1, 2)</f>
        <v>20</v>
      </c>
      <c r="N34" s="9">
        <f>DATE(tbl_transaction[[#This Row],[Year_order]]+2000, tbl_transaction[[#This Row],[Month_order]], tbl_transaction[[#This Row],[Date_order]])</f>
        <v>44090</v>
      </c>
      <c r="O34" s="9">
        <f>DATE(tbl_transaction[[#This Row],[Year_Transact]]+2000,tbl_transaction[[#This Row],[Month_Transact]],tbl_transaction[[#This Row],[Date_Transact]])</f>
        <v>44090</v>
      </c>
      <c r="P34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3220</v>
      </c>
      <c r="Q34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-3220</v>
      </c>
      <c r="R34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34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-1000</v>
      </c>
    </row>
    <row r="35" spans="1:19" x14ac:dyDescent="0.25">
      <c r="A35" t="s">
        <v>217</v>
      </c>
      <c r="B35" t="s">
        <v>231</v>
      </c>
      <c r="C35" t="s">
        <v>231</v>
      </c>
      <c r="D35" t="s">
        <v>26</v>
      </c>
      <c r="F35" s="47">
        <v>100</v>
      </c>
      <c r="G35" s="48">
        <v>33.17</v>
      </c>
      <c r="H35">
        <f>VALUE(LEFT(tbl_transaction[[#This Row],[Order Date]],FIND("/",tbl_transaction[[#This Row],[Order Date]])-1))</f>
        <v>9</v>
      </c>
      <c r="I35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5" t="str">
        <f>MID(tbl_transaction[[#This Row],[Order Date]], FIND("/",tbl_transaction[[#This Row],[Order Date]], FIND("/", tbl_transaction[[#This Row],[Order Date]])+1)+1, 2)</f>
        <v>20</v>
      </c>
      <c r="K35">
        <f>VALUE(LEFT(tbl_transaction[[#This Row],[Transaction Date]],FIND("/",tbl_transaction[[#This Row],[Transaction Date]])-1))</f>
        <v>9</v>
      </c>
      <c r="L35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5" t="str">
        <f>MID(tbl_transaction[[#This Row],[Transaction Date]], FIND("/",tbl_transaction[[#This Row],[Transaction Date]], FIND("/", tbl_transaction[[#This Row],[Transaction Date]])+1)+1, 2)</f>
        <v>20</v>
      </c>
      <c r="N35" s="9">
        <f>DATE(tbl_transaction[[#This Row],[Year_order]]+2000, tbl_transaction[[#This Row],[Month_order]], tbl_transaction[[#This Row],[Date_order]])</f>
        <v>44090</v>
      </c>
      <c r="O35" s="9">
        <f>DATE(tbl_transaction[[#This Row],[Year_Transact]]+2000,tbl_transaction[[#This Row],[Month_Transact]],tbl_transaction[[#This Row],[Date_Transact]])</f>
        <v>44090</v>
      </c>
      <c r="P35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3317</v>
      </c>
      <c r="Q35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-3317</v>
      </c>
      <c r="R35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35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</v>
      </c>
    </row>
    <row r="36" spans="1:19" x14ac:dyDescent="0.25">
      <c r="A36" t="s">
        <v>217</v>
      </c>
      <c r="B36" t="s">
        <v>232</v>
      </c>
      <c r="C36" t="s">
        <v>232</v>
      </c>
      <c r="D36" t="s">
        <v>19</v>
      </c>
      <c r="F36" s="47">
        <v>200</v>
      </c>
      <c r="G36" s="48">
        <v>33.229999999999997</v>
      </c>
      <c r="H36">
        <f>VALUE(LEFT(tbl_transaction[[#This Row],[Order Date]],FIND("/",tbl_transaction[[#This Row],[Order Date]])-1))</f>
        <v>9</v>
      </c>
      <c r="I36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6" t="str">
        <f>MID(tbl_transaction[[#This Row],[Order Date]], FIND("/",tbl_transaction[[#This Row],[Order Date]], FIND("/", tbl_transaction[[#This Row],[Order Date]])+1)+1, 2)</f>
        <v>20</v>
      </c>
      <c r="K36">
        <f>VALUE(LEFT(tbl_transaction[[#This Row],[Transaction Date]],FIND("/",tbl_transaction[[#This Row],[Transaction Date]])-1))</f>
        <v>9</v>
      </c>
      <c r="L36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6" t="str">
        <f>MID(tbl_transaction[[#This Row],[Transaction Date]], FIND("/",tbl_transaction[[#This Row],[Transaction Date]], FIND("/", tbl_transaction[[#This Row],[Transaction Date]])+1)+1, 2)</f>
        <v>20</v>
      </c>
      <c r="N36" s="9">
        <f>DATE(tbl_transaction[[#This Row],[Year_order]]+2000, tbl_transaction[[#This Row],[Month_order]], tbl_transaction[[#This Row],[Date_order]])</f>
        <v>44090</v>
      </c>
      <c r="O36" s="9">
        <f>DATE(tbl_transaction[[#This Row],[Year_Transact]]+2000,tbl_transaction[[#This Row],[Month_Transact]],tbl_transaction[[#This Row],[Date_Transact]])</f>
        <v>44090</v>
      </c>
      <c r="P36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-6645.9999999999991</v>
      </c>
      <c r="Q36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6645.9999999999991</v>
      </c>
      <c r="R36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36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200</v>
      </c>
    </row>
    <row r="37" spans="1:19" x14ac:dyDescent="0.25">
      <c r="A37" t="s">
        <v>217</v>
      </c>
      <c r="B37" t="s">
        <v>233</v>
      </c>
      <c r="C37" t="s">
        <v>233</v>
      </c>
      <c r="D37" t="s">
        <v>26</v>
      </c>
      <c r="F37" s="47">
        <v>200</v>
      </c>
      <c r="G37" s="48">
        <v>33.21</v>
      </c>
      <c r="H37">
        <f>VALUE(LEFT(tbl_transaction[[#This Row],[Order Date]],FIND("/",tbl_transaction[[#This Row],[Order Date]])-1))</f>
        <v>9</v>
      </c>
      <c r="I37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7" t="str">
        <f>MID(tbl_transaction[[#This Row],[Order Date]], FIND("/",tbl_transaction[[#This Row],[Order Date]], FIND("/", tbl_transaction[[#This Row],[Order Date]])+1)+1, 2)</f>
        <v>20</v>
      </c>
      <c r="K37">
        <f>VALUE(LEFT(tbl_transaction[[#This Row],[Transaction Date]],FIND("/",tbl_transaction[[#This Row],[Transaction Date]])-1))</f>
        <v>9</v>
      </c>
      <c r="L37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7" t="str">
        <f>MID(tbl_transaction[[#This Row],[Transaction Date]], FIND("/",tbl_transaction[[#This Row],[Transaction Date]], FIND("/", tbl_transaction[[#This Row],[Transaction Date]])+1)+1, 2)</f>
        <v>20</v>
      </c>
      <c r="N37" s="9">
        <f>DATE(tbl_transaction[[#This Row],[Year_order]]+2000, tbl_transaction[[#This Row],[Month_order]], tbl_transaction[[#This Row],[Date_order]])</f>
        <v>44090</v>
      </c>
      <c r="O37" s="9">
        <f>DATE(tbl_transaction[[#This Row],[Year_Transact]]+2000,tbl_transaction[[#This Row],[Month_Transact]],tbl_transaction[[#This Row],[Date_Transact]])</f>
        <v>44090</v>
      </c>
      <c r="P37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6642</v>
      </c>
      <c r="Q37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-6642</v>
      </c>
      <c r="R37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37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-200</v>
      </c>
    </row>
    <row r="38" spans="1:19" x14ac:dyDescent="0.25">
      <c r="A38" t="s">
        <v>217</v>
      </c>
      <c r="B38" t="s">
        <v>233</v>
      </c>
      <c r="C38" t="s">
        <v>233</v>
      </c>
      <c r="D38" t="s">
        <v>31</v>
      </c>
      <c r="F38" s="47">
        <v>200</v>
      </c>
      <c r="G38" s="48">
        <v>33.22</v>
      </c>
      <c r="H38">
        <f>VALUE(LEFT(tbl_transaction[[#This Row],[Order Date]],FIND("/",tbl_transaction[[#This Row],[Order Date]])-1))</f>
        <v>9</v>
      </c>
      <c r="I38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8" t="str">
        <f>MID(tbl_transaction[[#This Row],[Order Date]], FIND("/",tbl_transaction[[#This Row],[Order Date]], FIND("/", tbl_transaction[[#This Row],[Order Date]])+1)+1, 2)</f>
        <v>20</v>
      </c>
      <c r="K38">
        <f>VALUE(LEFT(tbl_transaction[[#This Row],[Transaction Date]],FIND("/",tbl_transaction[[#This Row],[Transaction Date]])-1))</f>
        <v>9</v>
      </c>
      <c r="L38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8" t="str">
        <f>MID(tbl_transaction[[#This Row],[Transaction Date]], FIND("/",tbl_transaction[[#This Row],[Transaction Date]], FIND("/", tbl_transaction[[#This Row],[Transaction Date]])+1)+1, 2)</f>
        <v>20</v>
      </c>
      <c r="N38" s="9">
        <f>DATE(tbl_transaction[[#This Row],[Year_order]]+2000, tbl_transaction[[#This Row],[Month_order]], tbl_transaction[[#This Row],[Date_order]])</f>
        <v>44090</v>
      </c>
      <c r="O38" s="9">
        <f>DATE(tbl_transaction[[#This Row],[Year_Transact]]+2000,tbl_transaction[[#This Row],[Month_Transact]],tbl_transaction[[#This Row],[Date_Transact]])</f>
        <v>44090</v>
      </c>
      <c r="P38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38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6644</v>
      </c>
      <c r="R38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6644</v>
      </c>
      <c r="S38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200</v>
      </c>
    </row>
    <row r="39" spans="1:19" x14ac:dyDescent="0.25">
      <c r="A39" t="s">
        <v>217</v>
      </c>
      <c r="B39" t="s">
        <v>234</v>
      </c>
      <c r="C39" t="s">
        <v>234</v>
      </c>
      <c r="D39" t="s">
        <v>26</v>
      </c>
      <c r="F39" s="47">
        <v>50</v>
      </c>
      <c r="G39" s="48">
        <v>33.32</v>
      </c>
      <c r="H39">
        <f>VALUE(LEFT(tbl_transaction[[#This Row],[Order Date]],FIND("/",tbl_transaction[[#This Row],[Order Date]])-1))</f>
        <v>9</v>
      </c>
      <c r="I39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9" t="str">
        <f>MID(tbl_transaction[[#This Row],[Order Date]], FIND("/",tbl_transaction[[#This Row],[Order Date]], FIND("/", tbl_transaction[[#This Row],[Order Date]])+1)+1, 2)</f>
        <v>20</v>
      </c>
      <c r="K39">
        <f>VALUE(LEFT(tbl_transaction[[#This Row],[Transaction Date]],FIND("/",tbl_transaction[[#This Row],[Transaction Date]])-1))</f>
        <v>9</v>
      </c>
      <c r="L39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9" t="str">
        <f>MID(tbl_transaction[[#This Row],[Transaction Date]], FIND("/",tbl_transaction[[#This Row],[Transaction Date]], FIND("/", tbl_transaction[[#This Row],[Transaction Date]])+1)+1, 2)</f>
        <v>20</v>
      </c>
      <c r="N39" s="9">
        <f>DATE(tbl_transaction[[#This Row],[Year_order]]+2000, tbl_transaction[[#This Row],[Month_order]], tbl_transaction[[#This Row],[Date_order]])</f>
        <v>44090</v>
      </c>
      <c r="O39" s="9">
        <f>DATE(tbl_transaction[[#This Row],[Year_Transact]]+2000,tbl_transaction[[#This Row],[Month_Transact]],tbl_transaction[[#This Row],[Date_Transact]])</f>
        <v>44090</v>
      </c>
      <c r="P39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1666</v>
      </c>
      <c r="Q39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-1666</v>
      </c>
      <c r="R39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39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40" spans="1:19" x14ac:dyDescent="0.25">
      <c r="A40" t="s">
        <v>37</v>
      </c>
      <c r="B40" t="s">
        <v>235</v>
      </c>
      <c r="C40" t="s">
        <v>235</v>
      </c>
      <c r="D40" t="s">
        <v>19</v>
      </c>
      <c r="F40" s="47">
        <v>100</v>
      </c>
      <c r="G40" s="48">
        <v>124.84</v>
      </c>
      <c r="H40">
        <f>VALUE(LEFT(tbl_transaction[[#This Row],[Order Date]],FIND("/",tbl_transaction[[#This Row],[Order Date]])-1))</f>
        <v>9</v>
      </c>
      <c r="I40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40" t="str">
        <f>MID(tbl_transaction[[#This Row],[Order Date]], FIND("/",tbl_transaction[[#This Row],[Order Date]], FIND("/", tbl_transaction[[#This Row],[Order Date]])+1)+1, 2)</f>
        <v>20</v>
      </c>
      <c r="K40">
        <f>VALUE(LEFT(tbl_transaction[[#This Row],[Transaction Date]],FIND("/",tbl_transaction[[#This Row],[Transaction Date]])-1))</f>
        <v>9</v>
      </c>
      <c r="L40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40" t="str">
        <f>MID(tbl_transaction[[#This Row],[Transaction Date]], FIND("/",tbl_transaction[[#This Row],[Transaction Date]], FIND("/", tbl_transaction[[#This Row],[Transaction Date]])+1)+1, 2)</f>
        <v>20</v>
      </c>
      <c r="N40" s="9">
        <f>DATE(tbl_transaction[[#This Row],[Year_order]]+2000, tbl_transaction[[#This Row],[Month_order]], tbl_transaction[[#This Row],[Date_order]])</f>
        <v>44090</v>
      </c>
      <c r="O40" s="9">
        <f>DATE(tbl_transaction[[#This Row],[Year_Transact]]+2000,tbl_transaction[[#This Row],[Month_Transact]],tbl_transaction[[#This Row],[Date_Transact]])</f>
        <v>44090</v>
      </c>
      <c r="P40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-12484</v>
      </c>
      <c r="Q40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12484</v>
      </c>
      <c r="R40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40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41" spans="1:19" x14ac:dyDescent="0.25">
      <c r="A41" t="s">
        <v>236</v>
      </c>
      <c r="B41" t="s">
        <v>237</v>
      </c>
      <c r="C41" t="s">
        <v>237</v>
      </c>
      <c r="D41" t="s">
        <v>19</v>
      </c>
      <c r="F41" s="47">
        <v>100</v>
      </c>
      <c r="G41" s="48">
        <v>36.26</v>
      </c>
      <c r="H41">
        <f>VALUE(LEFT(tbl_transaction[[#This Row],[Order Date]],FIND("/",tbl_transaction[[#This Row],[Order Date]])-1))</f>
        <v>9</v>
      </c>
      <c r="I4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17</v>
      </c>
      <c r="J41" t="str">
        <f>MID(tbl_transaction[[#This Row],[Order Date]], FIND("/",tbl_transaction[[#This Row],[Order Date]], FIND("/", tbl_transaction[[#This Row],[Order Date]])+1)+1, 2)</f>
        <v>20</v>
      </c>
      <c r="K41">
        <f>VALUE(LEFT(tbl_transaction[[#This Row],[Transaction Date]],FIND("/",tbl_transaction[[#This Row],[Transaction Date]])-1))</f>
        <v>9</v>
      </c>
      <c r="L4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17</v>
      </c>
      <c r="M41" t="str">
        <f>MID(tbl_transaction[[#This Row],[Transaction Date]], FIND("/",tbl_transaction[[#This Row],[Transaction Date]], FIND("/", tbl_transaction[[#This Row],[Transaction Date]])+1)+1, 2)</f>
        <v>20</v>
      </c>
      <c r="N41" s="9">
        <f>DATE(tbl_transaction[[#This Row],[Year_order]]+2000, tbl_transaction[[#This Row],[Month_order]], tbl_transaction[[#This Row],[Date_order]])</f>
        <v>44091</v>
      </c>
      <c r="O41" s="9">
        <f>DATE(tbl_transaction[[#This Row],[Year_Transact]]+2000,tbl_transaction[[#This Row],[Month_Transact]],tbl_transaction[[#This Row],[Date_Transact]])</f>
        <v>44091</v>
      </c>
      <c r="P41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-3626</v>
      </c>
      <c r="Q41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3626</v>
      </c>
      <c r="R41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41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42" spans="1:19" x14ac:dyDescent="0.25">
      <c r="A42" t="s">
        <v>217</v>
      </c>
      <c r="B42" t="s">
        <v>238</v>
      </c>
      <c r="C42" t="s">
        <v>238</v>
      </c>
      <c r="D42" t="s">
        <v>34</v>
      </c>
      <c r="F42" s="47">
        <v>50</v>
      </c>
      <c r="G42" s="48">
        <v>32.86</v>
      </c>
      <c r="H42">
        <f>VALUE(LEFT(tbl_transaction[[#This Row],[Order Date]],FIND("/",tbl_transaction[[#This Row],[Order Date]])-1))</f>
        <v>9</v>
      </c>
      <c r="I42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17</v>
      </c>
      <c r="J42" t="str">
        <f>MID(tbl_transaction[[#This Row],[Order Date]], FIND("/",tbl_transaction[[#This Row],[Order Date]], FIND("/", tbl_transaction[[#This Row],[Order Date]])+1)+1, 2)</f>
        <v>20</v>
      </c>
      <c r="K42">
        <f>VALUE(LEFT(tbl_transaction[[#This Row],[Transaction Date]],FIND("/",tbl_transaction[[#This Row],[Transaction Date]])-1))</f>
        <v>9</v>
      </c>
      <c r="L42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17</v>
      </c>
      <c r="M42" t="str">
        <f>MID(tbl_transaction[[#This Row],[Transaction Date]], FIND("/",tbl_transaction[[#This Row],[Transaction Date]], FIND("/", tbl_transaction[[#This Row],[Transaction Date]])+1)+1, 2)</f>
        <v>20</v>
      </c>
      <c r="N42" s="9">
        <f>DATE(tbl_transaction[[#This Row],[Year_order]]+2000, tbl_transaction[[#This Row],[Month_order]], tbl_transaction[[#This Row],[Date_order]])</f>
        <v>44091</v>
      </c>
      <c r="O42" s="9">
        <f>DATE(tbl_transaction[[#This Row],[Year_Transact]]+2000,tbl_transaction[[#This Row],[Month_Transact]],tbl_transaction[[#This Row],[Date_Transact]])</f>
        <v>44091</v>
      </c>
      <c r="P42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42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-1643</v>
      </c>
      <c r="R42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-1643</v>
      </c>
      <c r="S42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43" spans="1:19" x14ac:dyDescent="0.25">
      <c r="A43" t="s">
        <v>217</v>
      </c>
      <c r="B43" t="s">
        <v>239</v>
      </c>
      <c r="C43" t="s">
        <v>239</v>
      </c>
      <c r="D43" t="s">
        <v>34</v>
      </c>
      <c r="F43" s="47">
        <v>150</v>
      </c>
      <c r="G43" s="48">
        <v>33.11</v>
      </c>
      <c r="H43">
        <f>VALUE(LEFT(tbl_transaction[[#This Row],[Order Date]],FIND("/",tbl_transaction[[#This Row],[Order Date]])-1))</f>
        <v>9</v>
      </c>
      <c r="I43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17</v>
      </c>
      <c r="J43" t="str">
        <f>MID(tbl_transaction[[#This Row],[Order Date]], FIND("/",tbl_transaction[[#This Row],[Order Date]], FIND("/", tbl_transaction[[#This Row],[Order Date]])+1)+1, 2)</f>
        <v>20</v>
      </c>
      <c r="K43">
        <f>VALUE(LEFT(tbl_transaction[[#This Row],[Transaction Date]],FIND("/",tbl_transaction[[#This Row],[Transaction Date]])-1))</f>
        <v>9</v>
      </c>
      <c r="L43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17</v>
      </c>
      <c r="M43" t="str">
        <f>MID(tbl_transaction[[#This Row],[Transaction Date]], FIND("/",tbl_transaction[[#This Row],[Transaction Date]], FIND("/", tbl_transaction[[#This Row],[Transaction Date]])+1)+1, 2)</f>
        <v>20</v>
      </c>
      <c r="N43" s="9">
        <f>DATE(tbl_transaction[[#This Row],[Year_order]]+2000, tbl_transaction[[#This Row],[Month_order]], tbl_transaction[[#This Row],[Date_order]])</f>
        <v>44091</v>
      </c>
      <c r="O43" s="9">
        <f>DATE(tbl_transaction[[#This Row],[Year_Transact]]+2000,tbl_transaction[[#This Row],[Month_Transact]],tbl_transaction[[#This Row],[Date_Transact]])</f>
        <v>44091</v>
      </c>
      <c r="P43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43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-4966.5</v>
      </c>
      <c r="R43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-4966.5</v>
      </c>
      <c r="S43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-150</v>
      </c>
    </row>
    <row r="44" spans="1:19" x14ac:dyDescent="0.25">
      <c r="A44" t="s">
        <v>240</v>
      </c>
      <c r="B44" t="s">
        <v>241</v>
      </c>
      <c r="C44" t="s">
        <v>241</v>
      </c>
      <c r="D44" t="s">
        <v>31</v>
      </c>
      <c r="F44" s="47">
        <v>1000</v>
      </c>
      <c r="G44" s="48">
        <v>5.91</v>
      </c>
      <c r="H44" s="61">
        <f>VALUE(LEFT(tbl_transaction[[#This Row],[Order Date]],FIND("/",tbl_transaction[[#This Row],[Order Date]])-1))</f>
        <v>9</v>
      </c>
      <c r="I44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17</v>
      </c>
      <c r="J44" s="61" t="str">
        <f>MID(tbl_transaction[[#This Row],[Order Date]], FIND("/",tbl_transaction[[#This Row],[Order Date]], FIND("/", tbl_transaction[[#This Row],[Order Date]])+1)+1, 2)</f>
        <v>20</v>
      </c>
      <c r="K44" s="61">
        <f>VALUE(LEFT(tbl_transaction[[#This Row],[Transaction Date]],FIND("/",tbl_transaction[[#This Row],[Transaction Date]])-1))</f>
        <v>9</v>
      </c>
      <c r="L44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17</v>
      </c>
      <c r="M44" s="61" t="str">
        <f>MID(tbl_transaction[[#This Row],[Transaction Date]], FIND("/",tbl_transaction[[#This Row],[Transaction Date]], FIND("/", tbl_transaction[[#This Row],[Transaction Date]])+1)+1, 2)</f>
        <v>20</v>
      </c>
      <c r="N44" s="9">
        <f>DATE(tbl_transaction[[#This Row],[Year_order]]+2000, tbl_transaction[[#This Row],[Month_order]], tbl_transaction[[#This Row],[Date_order]])</f>
        <v>44091</v>
      </c>
      <c r="O44" s="9">
        <f>DATE(tbl_transaction[[#This Row],[Year_Transact]]+2000,tbl_transaction[[#This Row],[Month_Transact]],tbl_transaction[[#This Row],[Date_Transact]])</f>
        <v>44091</v>
      </c>
      <c r="P44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44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5910</v>
      </c>
      <c r="R44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5910</v>
      </c>
      <c r="S44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1000</v>
      </c>
    </row>
    <row r="45" spans="1:19" x14ac:dyDescent="0.25">
      <c r="A45" t="s">
        <v>162</v>
      </c>
      <c r="P45" s="11">
        <f>SUBTOTAL(109,tbl_transaction[Net_Cash_Change])</f>
        <v>-42050.8</v>
      </c>
      <c r="S45" s="47">
        <f>SUBTOTAL(109,tbl_transaction[Stock Holding Change])</f>
        <v>1350</v>
      </c>
    </row>
  </sheetData>
  <dataValidations count="3">
    <dataValidation type="list" allowBlank="1" showInputMessage="1" showErrorMessage="1" sqref="D5:D44">
      <formula1>Transactions</formula1>
    </dataValidation>
    <dataValidation type="list" allowBlank="1" showInputMessage="1" showErrorMessage="1" sqref="A5:A44">
      <formula1>Symbol</formula1>
    </dataValidation>
    <dataValidation type="whole" allowBlank="1" showInputMessage="1" showErrorMessage="1" sqref="F5:F44">
      <formula1>1</formula1>
      <formula2>1000000</formula2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3"/>
  <sheetViews>
    <sheetView workbookViewId="0">
      <selection activeCell="M10" sqref="M10"/>
    </sheetView>
  </sheetViews>
  <sheetFormatPr defaultRowHeight="15" x14ac:dyDescent="0.25"/>
  <cols>
    <col min="1" max="1" width="10.42578125" customWidth="1"/>
    <col min="3" max="3" width="15.42578125" customWidth="1"/>
    <col min="5" max="5" width="11.7109375" customWidth="1"/>
    <col min="8" max="8" width="12" customWidth="1"/>
  </cols>
  <sheetData>
    <row r="3" spans="1:9" ht="15.75" x14ac:dyDescent="0.25">
      <c r="A3" s="7" t="s">
        <v>42</v>
      </c>
      <c r="C3" s="7" t="s">
        <v>45</v>
      </c>
      <c r="E3" s="1" t="s">
        <v>150</v>
      </c>
      <c r="H3" s="1" t="s">
        <v>81</v>
      </c>
      <c r="I3">
        <v>0.9</v>
      </c>
    </row>
    <row r="4" spans="1:9" x14ac:dyDescent="0.25">
      <c r="A4" t="s">
        <v>16</v>
      </c>
      <c r="C4" t="s">
        <v>19</v>
      </c>
      <c r="E4" t="s">
        <v>84</v>
      </c>
      <c r="H4" s="1" t="s">
        <v>82</v>
      </c>
      <c r="I4">
        <v>14</v>
      </c>
    </row>
    <row r="5" spans="1:9" x14ac:dyDescent="0.25">
      <c r="A5" t="s">
        <v>236</v>
      </c>
      <c r="C5" t="s">
        <v>26</v>
      </c>
      <c r="E5" t="s">
        <v>85</v>
      </c>
      <c r="H5" s="1" t="s">
        <v>83</v>
      </c>
      <c r="I5">
        <v>14</v>
      </c>
    </row>
    <row r="6" spans="1:9" x14ac:dyDescent="0.25">
      <c r="A6" t="s">
        <v>227</v>
      </c>
      <c r="C6" t="s">
        <v>31</v>
      </c>
      <c r="E6" t="s">
        <v>86</v>
      </c>
      <c r="H6" s="1" t="s">
        <v>144</v>
      </c>
      <c r="I6">
        <v>2</v>
      </c>
    </row>
    <row r="7" spans="1:9" x14ac:dyDescent="0.25">
      <c r="A7" t="s">
        <v>22</v>
      </c>
      <c r="C7" t="s">
        <v>34</v>
      </c>
    </row>
    <row r="8" spans="1:9" x14ac:dyDescent="0.25">
      <c r="A8" t="s">
        <v>37</v>
      </c>
    </row>
    <row r="9" spans="1:9" x14ac:dyDescent="0.25">
      <c r="A9" t="s">
        <v>217</v>
      </c>
    </row>
    <row r="10" spans="1:9" x14ac:dyDescent="0.25">
      <c r="A10" t="s">
        <v>35</v>
      </c>
    </row>
    <row r="11" spans="1:9" x14ac:dyDescent="0.25">
      <c r="A11" t="s">
        <v>20</v>
      </c>
    </row>
    <row r="12" spans="1:9" x14ac:dyDescent="0.25">
      <c r="A12" t="s">
        <v>240</v>
      </c>
    </row>
    <row r="13" spans="1:9" x14ac:dyDescent="0.25">
      <c r="A13" t="s">
        <v>29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topLeftCell="M1" workbookViewId="0">
      <selection activeCell="W17" sqref="W17"/>
    </sheetView>
  </sheetViews>
  <sheetFormatPr defaultRowHeight="15" x14ac:dyDescent="0.25"/>
  <cols>
    <col min="1" max="1" width="9.7109375" bestFit="1" customWidth="1"/>
    <col min="2" max="2" width="14" customWidth="1"/>
    <col min="3" max="4" width="12.7109375" customWidth="1"/>
    <col min="5" max="5" width="13.42578125" customWidth="1"/>
    <col min="6" max="6" width="12.140625" customWidth="1"/>
    <col min="7" max="11" width="13.140625" customWidth="1"/>
    <col min="12" max="12" width="14.5703125" customWidth="1"/>
    <col min="13" max="13" width="15.5703125" customWidth="1"/>
    <col min="14" max="14" width="12.5703125" customWidth="1"/>
    <col min="15" max="15" width="16.7109375" customWidth="1"/>
    <col min="16" max="16" width="15.5703125" customWidth="1"/>
    <col min="17" max="21" width="16.42578125" customWidth="1"/>
    <col min="22" max="22" width="16.85546875" customWidth="1"/>
    <col min="23" max="23" width="15.42578125" customWidth="1"/>
    <col min="24" max="24" width="15.85546875" customWidth="1"/>
    <col min="25" max="25" width="17.42578125" customWidth="1"/>
  </cols>
  <sheetData>
    <row r="1" spans="1:25" ht="21" x14ac:dyDescent="0.35">
      <c r="A1" s="41" t="s">
        <v>126</v>
      </c>
      <c r="B1" s="41"/>
      <c r="C1" s="41"/>
      <c r="D1" s="41"/>
      <c r="E1" s="41"/>
    </row>
    <row r="2" spans="1:25" ht="15.75" x14ac:dyDescent="0.25">
      <c r="A2" t="s">
        <v>127</v>
      </c>
    </row>
    <row r="4" spans="1:25" x14ac:dyDescent="0.25">
      <c r="A4" t="s">
        <v>58</v>
      </c>
      <c r="B4" t="s">
        <v>59</v>
      </c>
      <c r="C4" t="s">
        <v>60</v>
      </c>
      <c r="D4" s="46" t="s">
        <v>61</v>
      </c>
      <c r="E4" t="s">
        <v>62</v>
      </c>
      <c r="F4" t="s">
        <v>63</v>
      </c>
      <c r="G4" t="s">
        <v>64</v>
      </c>
      <c r="H4" t="s">
        <v>242</v>
      </c>
      <c r="I4" t="s">
        <v>243</v>
      </c>
      <c r="J4" t="s">
        <v>244</v>
      </c>
      <c r="K4" t="s">
        <v>245</v>
      </c>
      <c r="L4" t="s">
        <v>65</v>
      </c>
      <c r="M4" t="s">
        <v>66</v>
      </c>
      <c r="N4" t="s">
        <v>67</v>
      </c>
      <c r="O4" t="s">
        <v>68</v>
      </c>
      <c r="P4" t="s">
        <v>69</v>
      </c>
      <c r="Q4" t="s">
        <v>70</v>
      </c>
      <c r="R4" t="s">
        <v>246</v>
      </c>
      <c r="S4" t="s">
        <v>247</v>
      </c>
      <c r="T4" t="s">
        <v>248</v>
      </c>
      <c r="U4" t="s">
        <v>249</v>
      </c>
      <c r="V4" t="s">
        <v>71</v>
      </c>
      <c r="W4" t="s">
        <v>72</v>
      </c>
      <c r="X4" t="s">
        <v>165</v>
      </c>
      <c r="Y4" t="s">
        <v>167</v>
      </c>
    </row>
    <row r="5" spans="1:25" x14ac:dyDescent="0.25">
      <c r="A5" s="9">
        <v>44084</v>
      </c>
      <c r="B5" s="10">
        <f>VLOOKUP(tbl_position[[#This Row],[Date]], tbl_AAPL[], 5, 0)</f>
        <v>113.489998</v>
      </c>
      <c r="C5" s="10">
        <f>VLOOKUP(tbl_position[[#This Row],[Date]], tbl_RIOT[], 5, 0)</f>
        <v>2.81</v>
      </c>
      <c r="D5" s="10">
        <f>VLOOKUP(tbl_position[[#This Row],[Date]], tbl_HD[], 5, 0)</f>
        <v>272.70001200000002</v>
      </c>
      <c r="E5" s="10">
        <f>VLOOKUP(tbl_position[[#This Row],[Date]], tbl_WMT[], 5, 0)</f>
        <v>264.60998499999999</v>
      </c>
      <c r="F5" s="10">
        <f>VLOOKUP(tbl_position[[#This Row],[Date]], tbl_IBM[], 5, 0)</f>
        <v>120.55999799999999</v>
      </c>
      <c r="G5" s="10">
        <f>VLOOKUP(tbl_position[[#This Row],[Date]], tbl_ORCL[], 5, 0)</f>
        <v>57.330002</v>
      </c>
      <c r="H5" s="10">
        <f>VLOOKUP(tbl_position[[#This Row],[Date]], tbl_AKRO[], 5, 0)</f>
        <v>34.040000999999997</v>
      </c>
      <c r="I5" s="10">
        <f>VLOOKUP(tbl_position[[#This Row],[Date]], tbl_FDX[], 5, 0)</f>
        <v>224.44000199999999</v>
      </c>
      <c r="J5" s="10">
        <f>VLOOKUP(tbl_position[[#This Row],[Date]], tbl_NKLA[], 5, 0)</f>
        <v>37.57</v>
      </c>
      <c r="K5" s="10">
        <f>VLOOKUP(tbl_position[[#This Row],[Date]], tbl_SPXS[], 5, 0)</f>
        <v>5.96</v>
      </c>
      <c r="L5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$L4)</f>
        <v>150</v>
      </c>
      <c r="M5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$M4)</f>
        <v>1500</v>
      </c>
      <c r="N5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$N4)</f>
        <v>50</v>
      </c>
      <c r="O5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$O4)</f>
        <v>0</v>
      </c>
      <c r="P5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$P4)</f>
        <v>0</v>
      </c>
      <c r="Q5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$Q4)</f>
        <v>0</v>
      </c>
      <c r="R5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$R4)</f>
        <v>0</v>
      </c>
      <c r="S5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$S4)</f>
        <v>0</v>
      </c>
      <c r="T5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$T4)</f>
        <v>0</v>
      </c>
      <c r="U5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$U4)</f>
        <v>0</v>
      </c>
      <c r="V5" s="10">
        <f ca="1" xml:space="preserve"> SUMPRODUCT(INDIRECT(ADDRESS(ROW(V5), 2)):INDIRECT(ADDRESS(ROW(V5), MATCH("Shares_AAPL", pos_header,0)-1)), INDIRECT(ADDRESS(ROW(V5), MATCH("Shares_AAPL", pos_header,0))): INDIRECT(ADDRESS(ROW(V5), MATCH("Shares_Holding", pos_header,0)-1)))</f>
        <v>34873.5003</v>
      </c>
      <c r="W5" s="10">
        <f>SUMIFS(tbl_transaction[Net_Cash_Change], tbl_transaction[Transaction_Date],tbl_position[[#This Row],[Date]])+IF(tbl_position[[#This Row],[Date]]=$A$5, 100000, $W4)</f>
        <v>63721.5</v>
      </c>
      <c r="X5" s="11">
        <f>SUMIFS(tbl_transaction[Net_Debt_Change], tbl_transaction[Transaction_Date],tbl_position[[#This Row],[Date]])+IF(tbl_position[[#This Row],[Date]]=$A$5, 0, $X4)</f>
        <v>0</v>
      </c>
      <c r="Y5" s="48">
        <f ca="1">tbl_position[[#This Row],[Shares_Holding]]+tbl_position[[#This Row],[Cash_Holding]]-tbl_position[[#This Row],[Liabilities_Holding]]</f>
        <v>98595.0003</v>
      </c>
    </row>
    <row r="6" spans="1:25" x14ac:dyDescent="0.25">
      <c r="A6" s="9">
        <f>A5+1</f>
        <v>44085</v>
      </c>
      <c r="B6" s="10">
        <f>VLOOKUP(tbl_position[[#This Row],[Date]], tbl_AAPL[], 5, 0)</f>
        <v>112</v>
      </c>
      <c r="C6" s="10">
        <f>VLOOKUP(tbl_position[[#This Row],[Date]], tbl_RIOT[], 5, 0)</f>
        <v>2.91</v>
      </c>
      <c r="D6" s="10">
        <f>VLOOKUP(tbl_position[[#This Row],[Date]], tbl_HD[], 5, 0)</f>
        <v>276.32998700000002</v>
      </c>
      <c r="E6" s="10">
        <f>VLOOKUP(tbl_position[[#This Row],[Date]], tbl_WMT[], 5, 0)</f>
        <v>252.279999</v>
      </c>
      <c r="F6" s="10">
        <f>VLOOKUP(tbl_position[[#This Row],[Date]], tbl_IBM[], 5, 0)</f>
        <v>121.459999</v>
      </c>
      <c r="G6" s="10">
        <f>VLOOKUP(tbl_position[[#This Row],[Date]], tbl_ORCL[], 5, 0)</f>
        <v>57</v>
      </c>
      <c r="H6" s="10">
        <f>VLOOKUP(tbl_position[[#This Row],[Date]], tbl_AKRO[], 5, 0)</f>
        <v>34.029998999999997</v>
      </c>
      <c r="I6" s="10">
        <f>VLOOKUP(tbl_position[[#This Row],[Date]], tbl_FDX[], 5, 0)</f>
        <v>232.78999300000001</v>
      </c>
      <c r="J6" s="10">
        <f>VLOOKUP(tbl_position[[#This Row],[Date]], tbl_NKLA[], 5, 0)</f>
        <v>32.130001</v>
      </c>
      <c r="K6" s="10">
        <f>VLOOKUP(tbl_position[[#This Row],[Date]], tbl_SPXS[], 5, 0)</f>
        <v>5.95</v>
      </c>
      <c r="L6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$L5)</f>
        <v>100</v>
      </c>
      <c r="M6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$M5)</f>
        <v>1000</v>
      </c>
      <c r="N6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$N5)</f>
        <v>50</v>
      </c>
      <c r="O6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$O5)</f>
        <v>0</v>
      </c>
      <c r="P6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$P5)</f>
        <v>0</v>
      </c>
      <c r="Q6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$Q5)</f>
        <v>100</v>
      </c>
      <c r="R6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$R5)</f>
        <v>0</v>
      </c>
      <c r="S6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$S5)</f>
        <v>0</v>
      </c>
      <c r="T6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$T5)</f>
        <v>0</v>
      </c>
      <c r="U6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$U5)</f>
        <v>0</v>
      </c>
      <c r="V6" s="10">
        <f ca="1" xml:space="preserve"> SUMPRODUCT(INDIRECT(ADDRESS(ROW(V6), 2)):INDIRECT(ADDRESS(ROW(V6), MATCH("Shares_AAPL", pos_header,0)-1)), INDIRECT(ADDRESS(ROW(V6), MATCH("Shares_AAPL", pos_header,0))): INDIRECT(ADDRESS(ROW(V6), MATCH("Shares_Holding", pos_header,0)-1)))</f>
        <v>33626.499349999998</v>
      </c>
      <c r="W6" s="10">
        <f>SUMIFS(tbl_transaction[Net_Cash_Change], tbl_transaction[Transaction_Date],tbl_position[[#This Row],[Date]])+IF(tbl_position[[#This Row],[Date]]=$A$5, 100000, $W5)</f>
        <v>65134</v>
      </c>
      <c r="X6" s="11">
        <f>SUMIFS(tbl_transaction[Net_Debt_Change], tbl_transaction[Transaction_Date],tbl_position[[#This Row],[Date]])+IF(tbl_position[[#This Row],[Date]]=$A$5, 0, $X5)</f>
        <v>-34</v>
      </c>
      <c r="Y6" s="48">
        <f ca="1">tbl_position[[#This Row],[Shares_Holding]]+tbl_position[[#This Row],[Cash_Holding]]-tbl_position[[#This Row],[Liabilities_Holding]]</f>
        <v>98794.499349999998</v>
      </c>
    </row>
    <row r="7" spans="1:25" x14ac:dyDescent="0.25">
      <c r="A7" s="9">
        <v>44088</v>
      </c>
      <c r="B7" s="10">
        <f>VLOOKUP(tbl_position[[#This Row],[Date]], tbl_AAPL[], 5, 0)</f>
        <v>115.360001</v>
      </c>
      <c r="C7" s="10">
        <f>VLOOKUP(tbl_position[[#This Row],[Date]], tbl_RIOT[], 5, 0)</f>
        <v>3.02</v>
      </c>
      <c r="D7" s="10">
        <f>VLOOKUP(tbl_position[[#This Row],[Date]], tbl_HD[], 5, 0)</f>
        <v>280.64999399999999</v>
      </c>
      <c r="E7" s="10">
        <f>VLOOKUP(tbl_position[[#This Row],[Date]], tbl_WMT[], 5, 0)</f>
        <v>137.320007</v>
      </c>
      <c r="F7" s="10">
        <f>VLOOKUP(tbl_position[[#This Row],[Date]], tbl_IBM[], 5, 0)</f>
        <v>122.089996</v>
      </c>
      <c r="G7" s="10">
        <f>VLOOKUP(tbl_position[[#This Row],[Date]], tbl_ORCL[], 5, 0)</f>
        <v>59.459999000000003</v>
      </c>
      <c r="H7" s="10">
        <f>VLOOKUP(tbl_position[[#This Row],[Date]], tbl_AKRO[], 5, 0)</f>
        <v>36.75</v>
      </c>
      <c r="I7" s="10">
        <f>VLOOKUP(tbl_position[[#This Row],[Date]], tbl_FDX[], 5, 0)</f>
        <v>236.33999600000001</v>
      </c>
      <c r="J7" s="10">
        <f>VLOOKUP(tbl_position[[#This Row],[Date]], tbl_NKLA[], 5, 0)</f>
        <v>35.790000999999997</v>
      </c>
      <c r="K7" s="10">
        <f>VLOOKUP(tbl_position[[#This Row],[Date]], tbl_SPXS[], 5, 0)</f>
        <v>5.72</v>
      </c>
      <c r="L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$L6)</f>
        <v>100</v>
      </c>
      <c r="M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$M6)</f>
        <v>1000</v>
      </c>
      <c r="N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$N6)</f>
        <v>50</v>
      </c>
      <c r="O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$O6)</f>
        <v>0</v>
      </c>
      <c r="P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$P6)</f>
        <v>0</v>
      </c>
      <c r="Q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$Q6)</f>
        <v>0</v>
      </c>
      <c r="R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$R6)</f>
        <v>0</v>
      </c>
      <c r="S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$S6)</f>
        <v>0</v>
      </c>
      <c r="T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$T6)</f>
        <v>250</v>
      </c>
      <c r="U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$U6)</f>
        <v>0</v>
      </c>
      <c r="V7" s="10">
        <f ca="1" xml:space="preserve"> SUMPRODUCT(INDIRECT(ADDRESS(ROW(V7), 2)):INDIRECT(ADDRESS(ROW(V7), MATCH("Shares_AAPL", pos_header,0)-1)), INDIRECT(ADDRESS(ROW(V7), MATCH("Shares_AAPL", pos_header,0))): INDIRECT(ADDRESS(ROW(V7), MATCH("Shares_Holding", pos_header,0)-1)))</f>
        <v>37536.000049999995</v>
      </c>
      <c r="W7" s="10">
        <f>SUMIFS(tbl_transaction[Net_Cash_Change], tbl_transaction[Transaction_Date],tbl_position[[#This Row],[Date]])+IF(tbl_position[[#This Row],[Date]]=$A$5, 100000, $W6)</f>
        <v>62700.2</v>
      </c>
      <c r="X7" s="11">
        <f>SUMIFS(tbl_transaction[Net_Debt_Change], tbl_transaction[Transaction_Date],tbl_position[[#This Row],[Date]])+IF(tbl_position[[#This Row],[Date]]=$A$5, 0, $X6)</f>
        <v>-450</v>
      </c>
      <c r="Y7" s="48">
        <f ca="1">tbl_position[[#This Row],[Shares_Holding]]+tbl_position[[#This Row],[Cash_Holding]]-tbl_position[[#This Row],[Liabilities_Holding]]</f>
        <v>100686.20004999998</v>
      </c>
    </row>
    <row r="8" spans="1:25" x14ac:dyDescent="0.25">
      <c r="A8" s="9">
        <v>44089</v>
      </c>
      <c r="B8" s="10">
        <f>VLOOKUP(tbl_position[[#This Row],[Date]], tbl_AAPL[], 5, 0)</f>
        <v>115.540001</v>
      </c>
      <c r="C8" s="10">
        <f>VLOOKUP(tbl_position[[#This Row],[Date]], tbl_RIOT[], 5, 0)</f>
        <v>3</v>
      </c>
      <c r="D8" s="10">
        <f>VLOOKUP(tbl_position[[#This Row],[Date]], tbl_HD[], 5, 0)</f>
        <v>285.57998700000002</v>
      </c>
      <c r="E8" s="10">
        <f>VLOOKUP(tbl_position[[#This Row],[Date]], tbl_WMT[], 5, 0)</f>
        <v>137.36000100000001</v>
      </c>
      <c r="F8" s="10">
        <f>VLOOKUP(tbl_position[[#This Row],[Date]], tbl_IBM[], 5, 0)</f>
        <v>122.44000200000001</v>
      </c>
      <c r="G8" s="10">
        <f>VLOOKUP(tbl_position[[#This Row],[Date]], tbl_ORCL[], 5, 0)</f>
        <v>60.939999</v>
      </c>
      <c r="H8" s="10">
        <f>VLOOKUP(tbl_position[[#This Row],[Date]], tbl_AKRO[], 5, 0)</f>
        <v>36.159999999999997</v>
      </c>
      <c r="I8" s="10">
        <f>VLOOKUP(tbl_position[[#This Row],[Date]], tbl_FDX[], 5, 0)</f>
        <v>236.66999799999999</v>
      </c>
      <c r="J8" s="10">
        <f>VLOOKUP(tbl_position[[#This Row],[Date]], tbl_NKLA[], 5, 0)</f>
        <v>32.830002</v>
      </c>
      <c r="K8" s="10">
        <f>VLOOKUP(tbl_position[[#This Row],[Date]], tbl_SPXS[], 5, 0)</f>
        <v>5.62</v>
      </c>
      <c r="L8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$L7)</f>
        <v>100</v>
      </c>
      <c r="M8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$M7)</f>
        <v>1000</v>
      </c>
      <c r="N8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$N7)</f>
        <v>50</v>
      </c>
      <c r="O8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$O7)</f>
        <v>0</v>
      </c>
      <c r="P8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$P7)</f>
        <v>0</v>
      </c>
      <c r="Q8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$Q7)</f>
        <v>0</v>
      </c>
      <c r="R8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$R7)</f>
        <v>0</v>
      </c>
      <c r="S8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$S7)</f>
        <v>0</v>
      </c>
      <c r="T8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$T7)</f>
        <v>250</v>
      </c>
      <c r="U8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$U7)</f>
        <v>0</v>
      </c>
      <c r="V8" s="10">
        <f ca="1" xml:space="preserve"> SUMPRODUCT(INDIRECT(ADDRESS(ROW(V8), 2)):INDIRECT(ADDRESS(ROW(V8), MATCH("Shares_AAPL", pos_header,0)-1)), INDIRECT(ADDRESS(ROW(V8), MATCH("Shares_AAPL", pos_header,0))): INDIRECT(ADDRESS(ROW(V8), MATCH("Shares_Holding", pos_header,0)-1)))</f>
        <v>37040.499950000005</v>
      </c>
      <c r="W8" s="10">
        <f>SUMIFS(tbl_transaction[Net_Cash_Change], tbl_transaction[Transaction_Date],tbl_position[[#This Row],[Date]])+IF(tbl_position[[#This Row],[Date]]=$A$5, 100000, $W7)</f>
        <v>62700.2</v>
      </c>
      <c r="X8" s="11">
        <f>SUMIFS(tbl_transaction[Net_Debt_Change], tbl_transaction[Transaction_Date],tbl_position[[#This Row],[Date]])+IF(tbl_position[[#This Row],[Date]]=$A$5, 0, $X7)</f>
        <v>-450</v>
      </c>
      <c r="Y8" s="48">
        <f ca="1">tbl_position[[#This Row],[Shares_Holding]]+tbl_position[[#This Row],[Cash_Holding]]-tbl_position[[#This Row],[Liabilities_Holding]]</f>
        <v>100190.69995000001</v>
      </c>
    </row>
    <row r="9" spans="1:25" x14ac:dyDescent="0.25">
      <c r="A9" s="9">
        <v>44090</v>
      </c>
      <c r="B9" s="10">
        <f>VLOOKUP(tbl_position[[#This Row],[Date]], tbl_AAPL[], 5, 0)</f>
        <v>112.129997</v>
      </c>
      <c r="C9" s="10">
        <f>VLOOKUP(tbl_position[[#This Row],[Date]], tbl_RIOT[], 5, 0)</f>
        <v>3.05</v>
      </c>
      <c r="D9" s="10">
        <f>VLOOKUP(tbl_position[[#This Row],[Date]], tbl_HD[], 5, 0)</f>
        <v>281.63000499999998</v>
      </c>
      <c r="E9" s="10">
        <f>VLOOKUP(tbl_position[[#This Row],[Date]], tbl_WMT[], 5, 0)</f>
        <v>136.259995</v>
      </c>
      <c r="F9" s="10">
        <f>VLOOKUP(tbl_position[[#This Row],[Date]], tbl_IBM[], 5, 0)</f>
        <v>124.220001</v>
      </c>
      <c r="G9" s="10">
        <f>VLOOKUP(tbl_position[[#This Row],[Date]], tbl_ORCL[], 5, 0)</f>
        <v>60.43</v>
      </c>
      <c r="H9" s="10">
        <f>VLOOKUP(tbl_position[[#This Row],[Date]], tbl_AKRO[], 5, 0)</f>
        <v>36.43</v>
      </c>
      <c r="I9" s="10">
        <f>VLOOKUP(tbl_position[[#This Row],[Date]], tbl_FDX[], 5, 0)</f>
        <v>250.300003</v>
      </c>
      <c r="J9" s="10">
        <f>VLOOKUP(tbl_position[[#This Row],[Date]], tbl_NKLA[], 5, 0)</f>
        <v>33.279998999999997</v>
      </c>
      <c r="K9" s="10">
        <f>VLOOKUP(tbl_position[[#This Row],[Date]], tbl_SPXS[], 5, 0)</f>
        <v>5.7</v>
      </c>
      <c r="L9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$L8)</f>
        <v>100</v>
      </c>
      <c r="M9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$M8)</f>
        <v>0</v>
      </c>
      <c r="N9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$N8)</f>
        <v>50</v>
      </c>
      <c r="O9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$O8)</f>
        <v>0</v>
      </c>
      <c r="P9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$P8)</f>
        <v>100</v>
      </c>
      <c r="Q9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$Q8)</f>
        <v>0</v>
      </c>
      <c r="R9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$R8)</f>
        <v>0</v>
      </c>
      <c r="S9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$S8)</f>
        <v>0</v>
      </c>
      <c r="T9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$T8)</f>
        <v>200</v>
      </c>
      <c r="U9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$U8)</f>
        <v>0</v>
      </c>
      <c r="V9" s="10">
        <f ca="1" xml:space="preserve"> SUMPRODUCT(INDIRECT(ADDRESS(ROW(V9), 2)):INDIRECT(ADDRESS(ROW(V9), MATCH("Shares_AAPL", pos_header,0)-1)), INDIRECT(ADDRESS(ROW(V9), MATCH("Shares_AAPL", pos_header,0))): INDIRECT(ADDRESS(ROW(V9), MATCH("Shares_Holding", pos_header,0)-1)))</f>
        <v>44372.499849999993</v>
      </c>
      <c r="W9" s="10">
        <f>SUMIFS(tbl_transaction[Net_Cash_Change], tbl_transaction[Transaction_Date],tbl_position[[#This Row],[Date]])+IF(tbl_position[[#This Row],[Date]]=$A$5, 100000, $W8)</f>
        <v>61575.199999999997</v>
      </c>
      <c r="X9" s="11">
        <f>SUMIFS(tbl_transaction[Net_Debt_Change], tbl_transaction[Transaction_Date],tbl_position[[#This Row],[Date]])+IF(tbl_position[[#This Row],[Date]]=$A$5, 0, $X8)</f>
        <v>6192.4</v>
      </c>
      <c r="Y9" s="48">
        <f ca="1">tbl_position[[#This Row],[Shares_Holding]]+tbl_position[[#This Row],[Cash_Holding]]-tbl_position[[#This Row],[Liabilities_Holding]]</f>
        <v>99755.299849999996</v>
      </c>
    </row>
    <row r="10" spans="1:25" x14ac:dyDescent="0.25">
      <c r="A10" s="9">
        <v>44091</v>
      </c>
      <c r="B10" s="10">
        <f>VLOOKUP(tbl_position[[#This Row],[Date]], tbl_AAPL[], 5, 0)</f>
        <v>110.339996</v>
      </c>
      <c r="C10" s="10">
        <f>VLOOKUP(tbl_position[[#This Row],[Date]], tbl_RIOT[], 5, 0)</f>
        <v>3</v>
      </c>
      <c r="D10" s="10">
        <f>VLOOKUP(tbl_position[[#This Row],[Date]], tbl_HD[], 5, 0)</f>
        <v>279.959991</v>
      </c>
      <c r="E10" s="10">
        <f>VLOOKUP(tbl_position[[#This Row],[Date]], tbl_WMT[], 5, 0)</f>
        <v>136.69000199999999</v>
      </c>
      <c r="F10" s="10">
        <f>VLOOKUP(tbl_position[[#This Row],[Date]], tbl_IBM[], 5, 0)</f>
        <v>124.91999800000001</v>
      </c>
      <c r="G10" s="10">
        <f>VLOOKUP(tbl_position[[#This Row],[Date]], tbl_ORCL[], 5, 0)</f>
        <v>60.18</v>
      </c>
      <c r="H10" s="10">
        <f>VLOOKUP(tbl_position[[#This Row],[Date]], tbl_AKRO[], 5, 0)</f>
        <v>36.159999999999997</v>
      </c>
      <c r="I10" s="10">
        <f>VLOOKUP(tbl_position[[#This Row],[Date]], tbl_FDX[], 5, 0)</f>
        <v>244.08000200000001</v>
      </c>
      <c r="J10" s="10">
        <f>VLOOKUP(tbl_position[[#This Row],[Date]], tbl_NKLA[], 5, 0)</f>
        <v>33.830002</v>
      </c>
      <c r="K10" s="10">
        <f>VLOOKUP(tbl_position[[#This Row],[Date]], tbl_SPXS[], 5, 0)</f>
        <v>5.85</v>
      </c>
      <c r="L10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$L9)</f>
        <v>100</v>
      </c>
      <c r="M10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$M9)</f>
        <v>0</v>
      </c>
      <c r="N10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$N9)</f>
        <v>50</v>
      </c>
      <c r="O10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$O9)</f>
        <v>0</v>
      </c>
      <c r="P10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$P9)</f>
        <v>100</v>
      </c>
      <c r="Q10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$Q9)</f>
        <v>0</v>
      </c>
      <c r="R10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$R9)</f>
        <v>100</v>
      </c>
      <c r="S10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$S9)</f>
        <v>0</v>
      </c>
      <c r="T10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$T9)</f>
        <v>0</v>
      </c>
      <c r="U10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$U9)</f>
        <v>1000</v>
      </c>
      <c r="V10" s="10">
        <f ca="1" xml:space="preserve"> SUMPRODUCT(INDIRECT(ADDRESS(ROW(V10), 2)):INDIRECT(ADDRESS(ROW(V10), MATCH("Shares_AAPL", pos_header,0)-1)), INDIRECT(ADDRESS(ROW(V10), MATCH("Shares_AAPL", pos_header,0))): INDIRECT(ADDRESS(ROW(V10), MATCH("Shares_Holding", pos_header,0)-1)))</f>
        <v>46989.998950000001</v>
      </c>
      <c r="W10" s="10">
        <f>SUMIFS(tbl_transaction[Net_Cash_Change], tbl_transaction[Transaction_Date],tbl_position[[#This Row],[Date]])+IF(tbl_position[[#This Row],[Date]]=$A$5, 100000, $W9)</f>
        <v>57949.2</v>
      </c>
      <c r="X10" s="11">
        <f>SUMIFS(tbl_transaction[Net_Debt_Change], tbl_transaction[Transaction_Date],tbl_position[[#This Row],[Date]])+IF(tbl_position[[#This Row],[Date]]=$A$5, 0, $X9)</f>
        <v>5492.9</v>
      </c>
      <c r="Y10" s="48">
        <f ca="1">tbl_position[[#This Row],[Shares_Holding]]+tbl_position[[#This Row],[Cash_Holding]]-tbl_position[[#This Row],[Liabilities_Holding]]</f>
        <v>99446.298949999997</v>
      </c>
    </row>
    <row r="11" spans="1:25" x14ac:dyDescent="0.25">
      <c r="A11" t="s">
        <v>162</v>
      </c>
      <c r="D11" s="46"/>
      <c r="W11" s="49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opLeftCell="A4" workbookViewId="0">
      <selection activeCell="K6" sqref="K6"/>
    </sheetView>
  </sheetViews>
  <sheetFormatPr defaultRowHeight="15" x14ac:dyDescent="0.25"/>
  <cols>
    <col min="1" max="1" width="9.7109375" bestFit="1" customWidth="1"/>
    <col min="6" max="6" width="11.42578125" customWidth="1"/>
    <col min="7" max="7" width="10.140625" customWidth="1"/>
    <col min="8" max="8" width="11.140625" customWidth="1"/>
    <col min="10" max="10" width="11.5703125" customWidth="1"/>
    <col min="11" max="11" width="12" customWidth="1"/>
    <col min="12" max="12" width="11.85546875" customWidth="1"/>
    <col min="13" max="13" width="9.85546875" bestFit="1" customWidth="1"/>
    <col min="15" max="15" width="11.7109375" customWidth="1"/>
    <col min="16" max="16" width="13.28515625" customWidth="1"/>
  </cols>
  <sheetData>
    <row r="1" spans="1:19" ht="21" x14ac:dyDescent="0.35">
      <c r="A1" s="41" t="s">
        <v>74</v>
      </c>
      <c r="B1" s="41"/>
      <c r="C1" s="41"/>
      <c r="D1" s="41"/>
      <c r="E1" s="41"/>
      <c r="F1" s="41"/>
    </row>
    <row r="2" spans="1:19" x14ac:dyDescent="0.25">
      <c r="A2" t="s">
        <v>164</v>
      </c>
    </row>
    <row r="4" spans="1:19" x14ac:dyDescent="0.2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25">
      <c r="A5" s="8">
        <v>44053</v>
      </c>
      <c r="B5" s="48">
        <v>272.42001299999998</v>
      </c>
      <c r="C5" s="48">
        <v>275</v>
      </c>
      <c r="D5" s="48">
        <v>271.79998799999998</v>
      </c>
      <c r="E5" s="48">
        <v>274.73001099999999</v>
      </c>
      <c r="F5" s="48">
        <v>273.28881799999999</v>
      </c>
      <c r="G5">
        <v>2393100</v>
      </c>
      <c r="H5" s="10">
        <f>IF(tbl_HD[[#This Row],[Date]]=$A$5, $F5, EMA_Beta*$H4 + (1-EMA_Beta)*$F5)</f>
        <v>273.28881799999999</v>
      </c>
      <c r="I5" s="46" t="str">
        <f ca="1">IF(tbl_HD[[#This Row],[RS]]= "", "", 100-(100/(1+tbl_HD[[#This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IF(tbl_HD[[#This Row],[BB_Mean]]="", "", tbl_HD[[#This Row],[BB_Mean]]+(BB_Width*tbl_HD[[#This Row],[BB_Stdev]]))</f>
        <v/>
      </c>
      <c r="L5" s="10" t="str">
        <f ca="1">IF(tbl_HD[[#This Row],[BB_Mean]]="", "", tbl_HD[[#This Row],[BB_Mean]]-(BB_Width*tbl_HD[[#This Row],[BB_Stdev]]))</f>
        <v/>
      </c>
      <c r="M5" s="46">
        <f>IF(ROW(tbl_HD[[#This Row],[Adj Close]])=5, 0, $F5-$F4)</f>
        <v>0</v>
      </c>
      <c r="N5" s="46">
        <f>MAX(tbl_HD[[#This Row],[Move]],0)</f>
        <v>0</v>
      </c>
      <c r="O5" s="46">
        <f>MAX(-tbl_HD[[#This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IF(tbl_HD[[#This Row],[Avg_Upmove]]="", "", tbl_HD[[#This Row],[Avg_Upmove]]/tbl_HD[[#This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25">
      <c r="A6" s="8">
        <v>44054</v>
      </c>
      <c r="B6" s="48">
        <v>277.69000199999999</v>
      </c>
      <c r="C6" s="48">
        <v>279.36999500000002</v>
      </c>
      <c r="D6" s="48">
        <v>274.41000400000001</v>
      </c>
      <c r="E6" s="48">
        <v>274.92001299999998</v>
      </c>
      <c r="F6" s="48">
        <v>273.47781400000002</v>
      </c>
      <c r="G6">
        <v>3321300</v>
      </c>
      <c r="H6" s="10">
        <f>IF(tbl_HD[[#This Row],[Date]]=$A$5, $F6, EMA_Beta*$H5 + (1-EMA_Beta)*$F6)</f>
        <v>273.30771759999999</v>
      </c>
      <c r="I6" s="46" t="str">
        <f ca="1">IF(tbl_HD[[#This Row],[RS]]= "", "", 100-(100/(1+tbl_HD[[#This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IF(tbl_HD[[#This Row],[BB_Mean]]="", "", tbl_HD[[#This Row],[BB_Mean]]+(BB_Width*tbl_HD[[#This Row],[BB_Stdev]]))</f>
        <v/>
      </c>
      <c r="L6" s="10" t="str">
        <f ca="1">IF(tbl_HD[[#This Row],[BB_Mean]]="", "", tbl_HD[[#This Row],[BB_Mean]]-(BB_Width*tbl_HD[[#This Row],[BB_Stdev]]))</f>
        <v/>
      </c>
      <c r="M6" s="46">
        <f>IF(ROW(tbl_HD[[#This Row],[Adj Close]])=5, 0, $F6-$F5)</f>
        <v>0.18899600000003147</v>
      </c>
      <c r="N6" s="46">
        <f>MAX(tbl_HD[[#This Row],[Move]],0)</f>
        <v>0.18899600000003147</v>
      </c>
      <c r="O6" s="46">
        <f>MAX(-tbl_HD[[#This Row],[Move]],0)</f>
        <v>0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IF(tbl_HD[[#This Row],[Avg_Upmove]]="", "", tbl_HD[[#This Row],[Avg_Upmove]]/tbl_HD[[#This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25">
      <c r="A7" s="8">
        <v>44055</v>
      </c>
      <c r="B7" s="48">
        <v>279.75</v>
      </c>
      <c r="C7" s="48">
        <v>282.97000100000002</v>
      </c>
      <c r="D7" s="48">
        <v>276.959991</v>
      </c>
      <c r="E7" s="48">
        <v>281.57998700000002</v>
      </c>
      <c r="F7" s="48">
        <v>280.102844</v>
      </c>
      <c r="G7">
        <v>3870000</v>
      </c>
      <c r="H7" s="10">
        <f>IF(tbl_HD[[#This Row],[Date]]=$A$5, $F7, EMA_Beta*$H6 + (1-EMA_Beta)*$F7)</f>
        <v>273.98723023999997</v>
      </c>
      <c r="I7" s="46" t="str">
        <f ca="1">IF(tbl_HD[[#This Row],[RS]]= "", "", 100-(100/(1+tbl_HD[[#This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IF(tbl_HD[[#This Row],[BB_Mean]]="", "", tbl_HD[[#This Row],[BB_Mean]]+(BB_Width*tbl_HD[[#This Row],[BB_Stdev]]))</f>
        <v/>
      </c>
      <c r="L7" s="10" t="str">
        <f ca="1">IF(tbl_HD[[#This Row],[BB_Mean]]="", "", tbl_HD[[#This Row],[BB_Mean]]-(BB_Width*tbl_HD[[#This Row],[BB_Stdev]]))</f>
        <v/>
      </c>
      <c r="M7" s="46">
        <f>IF(ROW(tbl_HD[[#This Row],[Adj Close]])=5, 0, $F7-$F6)</f>
        <v>6.6250299999999811</v>
      </c>
      <c r="N7" s="46">
        <f>MAX(tbl_HD[[#This Row],[Move]],0)</f>
        <v>6.6250299999999811</v>
      </c>
      <c r="O7" s="46">
        <f>MAX(-tbl_HD[[#This Row],[Move]],0)</f>
        <v>0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IF(tbl_HD[[#This Row],[Avg_Upmove]]="", "", tbl_HD[[#This Row],[Avg_Upmove]]/tbl_HD[[#This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25">
      <c r="A8" s="8">
        <v>44056</v>
      </c>
      <c r="B8" s="48">
        <v>281.16000400000001</v>
      </c>
      <c r="C8" s="48">
        <v>282.64999399999999</v>
      </c>
      <c r="D8" s="48">
        <v>279.73998999999998</v>
      </c>
      <c r="E8" s="48">
        <v>281.66000400000001</v>
      </c>
      <c r="F8" s="48">
        <v>280.18246499999998</v>
      </c>
      <c r="G8">
        <v>2202400</v>
      </c>
      <c r="H8" s="10">
        <f>IF(tbl_HD[[#This Row],[Date]]=$A$5, $F8, EMA_Beta*$H7 + (1-EMA_Beta)*$F8)</f>
        <v>274.60675371599996</v>
      </c>
      <c r="I8" s="46" t="str">
        <f ca="1">IF(tbl_HD[[#This Row],[RS]]= "", "", 100-(100/(1+tbl_HD[[#This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IF(tbl_HD[[#This Row],[BB_Mean]]="", "", tbl_HD[[#This Row],[BB_Mean]]+(BB_Width*tbl_HD[[#This Row],[BB_Stdev]]))</f>
        <v/>
      </c>
      <c r="L8" s="10" t="str">
        <f ca="1">IF(tbl_HD[[#This Row],[BB_Mean]]="", "", tbl_HD[[#This Row],[BB_Mean]]-(BB_Width*tbl_HD[[#This Row],[BB_Stdev]]))</f>
        <v/>
      </c>
      <c r="M8" s="46">
        <f>IF(ROW(tbl_HD[[#This Row],[Adj Close]])=5, 0, $F8-$F7)</f>
        <v>7.9620999999974629E-2</v>
      </c>
      <c r="N8" s="46">
        <f>MAX(tbl_HD[[#This Row],[Move]],0)</f>
        <v>7.9620999999974629E-2</v>
      </c>
      <c r="O8" s="46">
        <f>MAX(-tbl_HD[[#This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IF(tbl_HD[[#This Row],[Avg_Upmove]]="", "", tbl_HD[[#This Row],[Avg_Upmove]]/tbl_HD[[#This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25">
      <c r="A9" s="8">
        <v>44057</v>
      </c>
      <c r="B9" s="48">
        <v>281.14001500000001</v>
      </c>
      <c r="C9" s="48">
        <v>282</v>
      </c>
      <c r="D9" s="48">
        <v>279.19000199999999</v>
      </c>
      <c r="E9" s="48">
        <v>280.54998799999998</v>
      </c>
      <c r="F9" s="48">
        <v>279.07824699999998</v>
      </c>
      <c r="G9">
        <v>2490400</v>
      </c>
      <c r="H9" s="10">
        <f>IF(tbl_HD[[#This Row],[Date]]=$A$5, $F9, EMA_Beta*$H8 + (1-EMA_Beta)*$F9)</f>
        <v>275.05390304439993</v>
      </c>
      <c r="I9" s="46" t="str">
        <f ca="1">IF(tbl_HD[[#This Row],[RS]]= "", "", 100-(100/(1+tbl_HD[[#This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IF(tbl_HD[[#This Row],[BB_Mean]]="", "", tbl_HD[[#This Row],[BB_Mean]]+(BB_Width*tbl_HD[[#This Row],[BB_Stdev]]))</f>
        <v/>
      </c>
      <c r="L9" s="10" t="str">
        <f ca="1">IF(tbl_HD[[#This Row],[BB_Mean]]="", "", tbl_HD[[#This Row],[BB_Mean]]-(BB_Width*tbl_HD[[#This Row],[BB_Stdev]]))</f>
        <v/>
      </c>
      <c r="M9" s="46">
        <f>IF(ROW(tbl_HD[[#This Row],[Adj Close]])=5, 0, $F9-$F8)</f>
        <v>-1.104218000000003</v>
      </c>
      <c r="N9" s="46">
        <f>MAX(tbl_HD[[#This Row],[Move]],0)</f>
        <v>0</v>
      </c>
      <c r="O9" s="46">
        <f>MAX(-tbl_HD[[#This Row],[Move]],0)</f>
        <v>1.104218000000003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IF(tbl_HD[[#This Row],[Avg_Upmove]]="", "", tbl_HD[[#This Row],[Avg_Upmove]]/tbl_HD[[#This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25">
      <c r="A10" s="8">
        <v>44060</v>
      </c>
      <c r="B10" s="48">
        <v>284.39999399999999</v>
      </c>
      <c r="C10" s="48">
        <v>289.22000100000002</v>
      </c>
      <c r="D10" s="48">
        <v>283.57000699999998</v>
      </c>
      <c r="E10" s="48">
        <v>288.23998999999998</v>
      </c>
      <c r="F10" s="48">
        <v>286.727936</v>
      </c>
      <c r="G10">
        <v>5584400</v>
      </c>
      <c r="H10" s="10">
        <f>IF(tbl_HD[[#This Row],[Date]]=$A$5, $F10, EMA_Beta*$H9 + (1-EMA_Beta)*$F10)</f>
        <v>276.22130633995994</v>
      </c>
      <c r="I10" s="46" t="str">
        <f ca="1">IF(tbl_HD[[#This Row],[RS]]= "", "", 100-(100/(1+tbl_HD[[#This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IF(tbl_HD[[#This Row],[BB_Mean]]="", "", tbl_HD[[#This Row],[BB_Mean]]+(BB_Width*tbl_HD[[#This Row],[BB_Stdev]]))</f>
        <v/>
      </c>
      <c r="L10" s="10" t="str">
        <f ca="1">IF(tbl_HD[[#This Row],[BB_Mean]]="", "", tbl_HD[[#This Row],[BB_Mean]]-(BB_Width*tbl_HD[[#This Row],[BB_Stdev]]))</f>
        <v/>
      </c>
      <c r="M10" s="46">
        <f>IF(ROW(tbl_HD[[#This Row],[Adj Close]])=5, 0, $F10-$F9)</f>
        <v>7.6496890000000235</v>
      </c>
      <c r="N10" s="46">
        <f>MAX(tbl_HD[[#This Row],[Move]],0)</f>
        <v>7.6496890000000235</v>
      </c>
      <c r="O10" s="46">
        <f>MAX(-tbl_HD[[#This Row],[Move]],0)</f>
        <v>0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IF(tbl_HD[[#This Row],[Avg_Upmove]]="", "", tbl_HD[[#This Row],[Avg_Upmove]]/tbl_HD[[#This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25">
      <c r="A11" s="8">
        <v>44061</v>
      </c>
      <c r="B11" s="48">
        <v>288.89999399999999</v>
      </c>
      <c r="C11" s="48">
        <v>290.57998700000002</v>
      </c>
      <c r="D11" s="48">
        <v>283.040009</v>
      </c>
      <c r="E11" s="48">
        <v>285</v>
      </c>
      <c r="F11" s="48">
        <v>283.50494400000002</v>
      </c>
      <c r="G11">
        <v>6934300</v>
      </c>
      <c r="H11" s="10">
        <f>IF(tbl_HD[[#This Row],[Date]]=$A$5, $F11, EMA_Beta*$H10 + (1-EMA_Beta)*$F11)</f>
        <v>276.94967010596395</v>
      </c>
      <c r="I11" s="46" t="str">
        <f ca="1">IF(tbl_HD[[#This Row],[RS]]= "", "", 100-(100/(1+tbl_HD[[#This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IF(tbl_HD[[#This Row],[BB_Mean]]="", "", tbl_HD[[#This Row],[BB_Mean]]+(BB_Width*tbl_HD[[#This Row],[BB_Stdev]]))</f>
        <v/>
      </c>
      <c r="L11" s="10" t="str">
        <f ca="1">IF(tbl_HD[[#This Row],[BB_Mean]]="", "", tbl_HD[[#This Row],[BB_Mean]]-(BB_Width*tbl_HD[[#This Row],[BB_Stdev]]))</f>
        <v/>
      </c>
      <c r="M11" s="46">
        <f>IF(ROW(tbl_HD[[#This Row],[Adj Close]])=5, 0, $F11-$F10)</f>
        <v>-3.2229919999999765</v>
      </c>
      <c r="N11" s="46">
        <f>MAX(tbl_HD[[#This Row],[Move]],0)</f>
        <v>0</v>
      </c>
      <c r="O11" s="46">
        <f>MAX(-tbl_HD[[#This Row],[Move]],0)</f>
        <v>3.2229919999999765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IF(tbl_HD[[#This Row],[Avg_Upmove]]="", "", tbl_HD[[#This Row],[Avg_Upmove]]/tbl_HD[[#This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25">
      <c r="A12" s="8">
        <v>44062</v>
      </c>
      <c r="B12" s="48">
        <v>287.459991</v>
      </c>
      <c r="C12" s="48">
        <v>287.97000100000002</v>
      </c>
      <c r="D12" s="48">
        <v>281.92999300000002</v>
      </c>
      <c r="E12" s="48">
        <v>282.85998499999999</v>
      </c>
      <c r="F12" s="48">
        <v>281.37612899999999</v>
      </c>
      <c r="G12">
        <v>4986800</v>
      </c>
      <c r="H12" s="10">
        <f>IF(tbl_HD[[#This Row],[Date]]=$A$5, $F12, EMA_Beta*$H11 + (1-EMA_Beta)*$F12)</f>
        <v>277.39231599536754</v>
      </c>
      <c r="I12" s="46" t="str">
        <f ca="1">IF(tbl_HD[[#This Row],[RS]]= "", "", 100-(100/(1+tbl_HD[[#This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IF(tbl_HD[[#This Row],[BB_Mean]]="", "", tbl_HD[[#This Row],[BB_Mean]]+(BB_Width*tbl_HD[[#This Row],[BB_Stdev]]))</f>
        <v/>
      </c>
      <c r="L12" s="10" t="str">
        <f ca="1">IF(tbl_HD[[#This Row],[BB_Mean]]="", "", tbl_HD[[#This Row],[BB_Mean]]-(BB_Width*tbl_HD[[#This Row],[BB_Stdev]]))</f>
        <v/>
      </c>
      <c r="M12" s="46">
        <f>IF(ROW(tbl_HD[[#This Row],[Adj Close]])=5, 0, $F12-$F11)</f>
        <v>-2.1288150000000314</v>
      </c>
      <c r="N12" s="46">
        <f>MAX(tbl_HD[[#This Row],[Move]],0)</f>
        <v>0</v>
      </c>
      <c r="O12" s="46">
        <f>MAX(-tbl_HD[[#This Row],[Move]],0)</f>
        <v>2.1288150000000314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IF(tbl_HD[[#This Row],[Avg_Upmove]]="", "", tbl_HD[[#This Row],[Avg_Upmove]]/tbl_HD[[#This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25">
      <c r="A13" s="8">
        <v>44063</v>
      </c>
      <c r="B13" s="48">
        <v>280.540009</v>
      </c>
      <c r="C13" s="48">
        <v>281.91000400000001</v>
      </c>
      <c r="D13" s="48">
        <v>279.44000199999999</v>
      </c>
      <c r="E13" s="48">
        <v>280.67999300000002</v>
      </c>
      <c r="F13" s="48">
        <v>279.207581</v>
      </c>
      <c r="G13">
        <v>3530000</v>
      </c>
      <c r="H13" s="10">
        <f>IF(tbl_HD[[#This Row],[Date]]=$A$5, $F13, EMA_Beta*$H12 + (1-EMA_Beta)*$F13)</f>
        <v>277.57384249583077</v>
      </c>
      <c r="I13" s="46" t="str">
        <f ca="1">IF(tbl_HD[[#This Row],[RS]]= "", "", 100-(100/(1+tbl_HD[[#This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IF(tbl_HD[[#This Row],[BB_Mean]]="", "", tbl_HD[[#This Row],[BB_Mean]]+(BB_Width*tbl_HD[[#This Row],[BB_Stdev]]))</f>
        <v/>
      </c>
      <c r="L13" s="10" t="str">
        <f ca="1">IF(tbl_HD[[#This Row],[BB_Mean]]="", "", tbl_HD[[#This Row],[BB_Mean]]-(BB_Width*tbl_HD[[#This Row],[BB_Stdev]]))</f>
        <v/>
      </c>
      <c r="M13" s="46">
        <f>IF(ROW(tbl_HD[[#This Row],[Adj Close]])=5, 0, $F13-$F12)</f>
        <v>-2.168547999999987</v>
      </c>
      <c r="N13" s="46">
        <f>MAX(tbl_HD[[#This Row],[Move]],0)</f>
        <v>0</v>
      </c>
      <c r="O13" s="46">
        <f>MAX(-tbl_HD[[#This Row],[Move]],0)</f>
        <v>2.168547999999987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IF(tbl_HD[[#This Row],[Avg_Upmove]]="", "", tbl_HD[[#This Row],[Avg_Upmove]]/tbl_HD[[#This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25">
      <c r="A14" s="8">
        <v>44064</v>
      </c>
      <c r="B14" s="48">
        <v>279.97000100000002</v>
      </c>
      <c r="C14" s="48">
        <v>283.54998799999998</v>
      </c>
      <c r="D14" s="48">
        <v>278.42001299999998</v>
      </c>
      <c r="E14" s="48">
        <v>283.23001099999999</v>
      </c>
      <c r="F14" s="48">
        <v>281.74423200000001</v>
      </c>
      <c r="G14">
        <v>5519100</v>
      </c>
      <c r="H14" s="10">
        <f>IF(tbl_HD[[#This Row],[Date]]=$A$5, $F14, EMA_Beta*$H13 + (1-EMA_Beta)*$F14)</f>
        <v>277.99088144624767</v>
      </c>
      <c r="I14" s="46" t="str">
        <f ca="1">IF(tbl_HD[[#This Row],[RS]]= "", "", 100-(100/(1+tbl_HD[[#This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IF(tbl_HD[[#This Row],[BB_Mean]]="", "", tbl_HD[[#This Row],[BB_Mean]]+(BB_Width*tbl_HD[[#This Row],[BB_Stdev]]))</f>
        <v/>
      </c>
      <c r="L14" s="10" t="str">
        <f ca="1">IF(tbl_HD[[#This Row],[BB_Mean]]="", "", tbl_HD[[#This Row],[BB_Mean]]-(BB_Width*tbl_HD[[#This Row],[BB_Stdev]]))</f>
        <v/>
      </c>
      <c r="M14" s="46">
        <f>IF(ROW(tbl_HD[[#This Row],[Adj Close]])=5, 0, $F14-$F13)</f>
        <v>2.5366510000000062</v>
      </c>
      <c r="N14" s="46">
        <f>MAX(tbl_HD[[#This Row],[Move]],0)</f>
        <v>2.5366510000000062</v>
      </c>
      <c r="O14" s="46">
        <f>MAX(-tbl_HD[[#This Row],[Move]],0)</f>
        <v>0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IF(tbl_HD[[#This Row],[Avg_Upmove]]="", "", tbl_HD[[#This Row],[Avg_Upmove]]/tbl_HD[[#This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25">
      <c r="A15" s="8">
        <v>44067</v>
      </c>
      <c r="B15" s="48">
        <v>284.98998999999998</v>
      </c>
      <c r="C15" s="48">
        <v>286.85000600000001</v>
      </c>
      <c r="D15" s="48">
        <v>281.92001299999998</v>
      </c>
      <c r="E15" s="48">
        <v>286.75</v>
      </c>
      <c r="F15" s="48">
        <v>285.24575800000002</v>
      </c>
      <c r="G15">
        <v>4430900</v>
      </c>
      <c r="H15" s="10">
        <f>IF(tbl_HD[[#This Row],[Date]]=$A$5, $F15, EMA_Beta*$H14 + (1-EMA_Beta)*$F15)</f>
        <v>278.71636910162289</v>
      </c>
      <c r="I15" s="46" t="str">
        <f ca="1">IF(tbl_HD[[#This Row],[RS]]= "", "", 100-(100/(1+tbl_HD[[#This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IF(tbl_HD[[#This Row],[BB_Mean]]="", "", tbl_HD[[#This Row],[BB_Mean]]+(BB_Width*tbl_HD[[#This Row],[BB_Stdev]]))</f>
        <v/>
      </c>
      <c r="L15" s="10" t="str">
        <f ca="1">IF(tbl_HD[[#This Row],[BB_Mean]]="", "", tbl_HD[[#This Row],[BB_Mean]]-(BB_Width*tbl_HD[[#This Row],[BB_Stdev]]))</f>
        <v/>
      </c>
      <c r="M15" s="46">
        <f>IF(ROW(tbl_HD[[#This Row],[Adj Close]])=5, 0, $F15-$F14)</f>
        <v>3.5015260000000126</v>
      </c>
      <c r="N15" s="46">
        <f>MAX(tbl_HD[[#This Row],[Move]],0)</f>
        <v>3.5015260000000126</v>
      </c>
      <c r="O15" s="46">
        <f>MAX(-tbl_HD[[#This Row],[Move]],0)</f>
        <v>0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IF(tbl_HD[[#This Row],[Avg_Upmove]]="", "", tbl_HD[[#This Row],[Avg_Upmove]]/tbl_HD[[#This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25">
      <c r="A16" s="8">
        <v>44068</v>
      </c>
      <c r="B16" s="48">
        <v>287.26998900000001</v>
      </c>
      <c r="C16" s="48">
        <v>287.48001099999999</v>
      </c>
      <c r="D16" s="48">
        <v>283.89001500000001</v>
      </c>
      <c r="E16" s="48">
        <v>286.13000499999998</v>
      </c>
      <c r="F16" s="48">
        <v>284.62899800000002</v>
      </c>
      <c r="G16">
        <v>2854500</v>
      </c>
      <c r="H16" s="10">
        <f>IF(tbl_HD[[#This Row],[Date]]=$A$5, $F16, EMA_Beta*$H15 + (1-EMA_Beta)*$F16)</f>
        <v>279.3076319914606</v>
      </c>
      <c r="I16" s="46" t="str">
        <f ca="1">IF(tbl_HD[[#This Row],[RS]]= "", "", 100-(100/(1+tbl_HD[[#This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IF(tbl_HD[[#This Row],[BB_Mean]]="", "", tbl_HD[[#This Row],[BB_Mean]]+(BB_Width*tbl_HD[[#This Row],[BB_Stdev]]))</f>
        <v/>
      </c>
      <c r="L16" s="10" t="str">
        <f ca="1">IF(tbl_HD[[#This Row],[BB_Mean]]="", "", tbl_HD[[#This Row],[BB_Mean]]-(BB_Width*tbl_HD[[#This Row],[BB_Stdev]]))</f>
        <v/>
      </c>
      <c r="M16" s="46">
        <f>IF(ROW(tbl_HD[[#This Row],[Adj Close]])=5, 0, $F16-$F15)</f>
        <v>-0.61675999999999931</v>
      </c>
      <c r="N16" s="46">
        <f>MAX(tbl_HD[[#This Row],[Move]],0)</f>
        <v>0</v>
      </c>
      <c r="O16" s="46">
        <f>MAX(-tbl_HD[[#This Row],[Move]],0)</f>
        <v>0.61675999999999931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IF(tbl_HD[[#This Row],[Avg_Upmove]]="", "", tbl_HD[[#This Row],[Avg_Upmove]]/tbl_HD[[#This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25">
      <c r="A17" s="8">
        <v>44069</v>
      </c>
      <c r="B17" s="48">
        <v>287.73001099999999</v>
      </c>
      <c r="C17" s="48">
        <v>292.11999500000002</v>
      </c>
      <c r="D17" s="48">
        <v>286.26998900000001</v>
      </c>
      <c r="E17" s="48">
        <v>291.92999300000002</v>
      </c>
      <c r="F17" s="48">
        <v>290.39855999999997</v>
      </c>
      <c r="G17">
        <v>4001900</v>
      </c>
      <c r="H17" s="10">
        <f>IF(tbl_HD[[#This Row],[Date]]=$A$5, $F17, EMA_Beta*$H16 + (1-EMA_Beta)*$F17)</f>
        <v>280.41672479231454</v>
      </c>
      <c r="I17" s="46" t="str">
        <f ca="1">IF(tbl_HD[[#This Row],[RS]]= "", "", 100-(100/(1+tbl_HD[[#This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IF(tbl_HD[[#This Row],[BB_Mean]]="", "", tbl_HD[[#This Row],[BB_Mean]]+(BB_Width*tbl_HD[[#This Row],[BB_Stdev]]))</f>
        <v/>
      </c>
      <c r="L17" s="10" t="str">
        <f ca="1">IF(tbl_HD[[#This Row],[BB_Mean]]="", "", tbl_HD[[#This Row],[BB_Mean]]-(BB_Width*tbl_HD[[#This Row],[BB_Stdev]]))</f>
        <v/>
      </c>
      <c r="M17" s="46">
        <f>IF(ROW(tbl_HD[[#This Row],[Adj Close]])=5, 0, $F17-$F16)</f>
        <v>5.7695619999999508</v>
      </c>
      <c r="N17" s="46">
        <f>MAX(tbl_HD[[#This Row],[Move]],0)</f>
        <v>5.7695619999999508</v>
      </c>
      <c r="O17" s="46">
        <f>MAX(-tbl_HD[[#This Row],[Move]],0)</f>
        <v>0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IF(tbl_HD[[#This Row],[Avg_Upmove]]="", "", tbl_HD[[#This Row],[Avg_Upmove]]/tbl_HD[[#This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25">
      <c r="A18" s="8">
        <v>44070</v>
      </c>
      <c r="B18" s="48">
        <v>292.22000100000002</v>
      </c>
      <c r="C18" s="48">
        <v>292.95001200000002</v>
      </c>
      <c r="D18" s="48">
        <v>286.55999800000001</v>
      </c>
      <c r="E18" s="48">
        <v>288.63000499999998</v>
      </c>
      <c r="F18" s="48">
        <v>287.115906</v>
      </c>
      <c r="G18">
        <v>3430900</v>
      </c>
      <c r="H18" s="10">
        <f>IF(tbl_HD[[#This Row],[Date]]=$A$5, $F18, EMA_Beta*$H17 + (1-EMA_Beta)*$F18)</f>
        <v>281.0866429130831</v>
      </c>
      <c r="I18" s="46" t="str">
        <f ca="1">IF(tbl_HD[[#This Row],[RS]]= "", "", 100-(100/(1+tbl_HD[[#This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281.86287371428574</v>
      </c>
      <c r="K18" s="10">
        <f ca="1">IF(tbl_HD[[#This Row],[BB_Mean]]="", "", tbl_HD[[#This Row],[BB_Mean]]+(BB_Width*tbl_HD[[#This Row],[BB_Stdev]]))</f>
        <v>291.64061486510343</v>
      </c>
      <c r="L18" s="10">
        <f ca="1">IF(tbl_HD[[#This Row],[BB_Mean]]="", "", tbl_HD[[#This Row],[BB_Mean]]-(BB_Width*tbl_HD[[#This Row],[BB_Stdev]]))</f>
        <v>272.08513256346805</v>
      </c>
      <c r="M18" s="46">
        <f>IF(ROW(tbl_HD[[#This Row],[Adj Close]])=5, 0, $F18-$F17)</f>
        <v>-3.2826539999999795</v>
      </c>
      <c r="N18" s="46">
        <f>MAX(tbl_HD[[#This Row],[Move]],0)</f>
        <v>0</v>
      </c>
      <c r="O18" s="46">
        <f>MAX(-tbl_HD[[#This Row],[Move]],0)</f>
        <v>3.2826539999999795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IF(tbl_HD[[#This Row],[Avg_Upmove]]="", "", tbl_HD[[#This Row],[Avg_Upmove]]/tbl_HD[[#This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4.8888705754088404</v>
      </c>
    </row>
    <row r="19" spans="1:19" x14ac:dyDescent="0.25">
      <c r="A19" s="8">
        <v>44071</v>
      </c>
      <c r="B19" s="48">
        <v>288.30999800000001</v>
      </c>
      <c r="C19" s="48">
        <v>288.82998700000002</v>
      </c>
      <c r="D19" s="48">
        <v>284.76998900000001</v>
      </c>
      <c r="E19" s="48">
        <v>286.290009</v>
      </c>
      <c r="F19" s="48">
        <v>284.78817700000002</v>
      </c>
      <c r="G19">
        <v>3100100</v>
      </c>
      <c r="H19" s="10">
        <f>IF(tbl_HD[[#This Row],[Date]]=$A$5, $F19, EMA_Beta*$H18 + (1-EMA_Beta)*$F19)</f>
        <v>281.45679632177479</v>
      </c>
      <c r="I19" s="46">
        <f ca="1">IF(tbl_HD[[#This Row],[RS]]= "", "", 100-(100/(1+tbl_HD[[#This Row],[RS]])))</f>
        <v>63.954587445302003</v>
      </c>
      <c r="J19" s="10">
        <f ca="1">IF(ROW($N19)-4&lt;BB_Periods, "", AVERAGE(INDIRECT(ADDRESS(ROW($F19)-RSI_Periods +1, MATCH("Adj Close", Price_Header,0))): INDIRECT(ADDRESS(ROW($F19),MATCH("Adj Close", Price_Header,0)))))</f>
        <v>282.6842565</v>
      </c>
      <c r="K19" s="10">
        <f ca="1">IF(tbl_HD[[#This Row],[BB_Mean]]="", "", tbl_HD[[#This Row],[BB_Mean]]+(BB_Width*tbl_HD[[#This Row],[BB_Stdev]]))</f>
        <v>291.21134120215601</v>
      </c>
      <c r="L19" s="10">
        <f ca="1">IF(tbl_HD[[#This Row],[BB_Mean]]="", "", tbl_HD[[#This Row],[BB_Mean]]-(BB_Width*tbl_HD[[#This Row],[BB_Stdev]]))</f>
        <v>274.157171797844</v>
      </c>
      <c r="M19" s="46">
        <f>IF(ROW(tbl_HD[[#This Row],[Adj Close]])=5, 0, $F19-$F18)</f>
        <v>-2.3277289999999766</v>
      </c>
      <c r="N19" s="46">
        <f>MAX(tbl_HD[[#This Row],[Move]],0)</f>
        <v>0</v>
      </c>
      <c r="O19" s="46">
        <f>MAX(-tbl_HD[[#This Row],[Move]],0)</f>
        <v>2.3277289999999766</v>
      </c>
      <c r="P19" s="46">
        <f ca="1">IF(ROW($N19)-5&lt;RSI_Periods, "", AVERAGE(INDIRECT(ADDRESS(ROW($N19)-RSI_Periods +1, MATCH("Upmove", Price_Header,0))): INDIRECT(ADDRESS(ROW($N19),MATCH("Upmove", Price_Header,0)))))</f>
        <v>1.8822196428571414</v>
      </c>
      <c r="Q19" s="46">
        <f ca="1">IF(ROW($O19)-5&lt;RSI_Periods, "", AVERAGE(INDIRECT(ADDRESS(ROW($O19)-RSI_Periods +1, MATCH("Downmove", Price_Header,0))): INDIRECT(ADDRESS(ROW($O19),MATCH("Downmove", Price_Header,0)))))</f>
        <v>1.0608368571428539</v>
      </c>
      <c r="R19" s="46">
        <f ca="1">IF(tbl_HD[[#This Row],[Avg_Upmove]]="", "", tbl_HD[[#This Row],[Avg_Upmove]]/tbl_HD[[#This Row],[Avg_Downmove]])</f>
        <v>1.7742781372873047</v>
      </c>
      <c r="S19" s="10">
        <f ca="1">IF(ROW($N19)-4&lt;BB_Periods, "", _xlfn.STDEV.S(INDIRECT(ADDRESS(ROW($F19)-RSI_Periods +1, MATCH("Adj Close", Price_Header,0))): INDIRECT(ADDRESS(ROW($F19),MATCH("Adj Close", Price_Header,0)))))</f>
        <v>4.2635423510780077</v>
      </c>
    </row>
    <row r="20" spans="1:19" x14ac:dyDescent="0.25">
      <c r="A20" s="8">
        <v>44074</v>
      </c>
      <c r="B20" s="48">
        <v>285</v>
      </c>
      <c r="C20" s="48">
        <v>286.69000199999999</v>
      </c>
      <c r="D20" s="48">
        <v>282.86999500000002</v>
      </c>
      <c r="E20" s="48">
        <v>285.040009</v>
      </c>
      <c r="F20" s="48">
        <v>283.54473899999999</v>
      </c>
      <c r="G20">
        <v>4105400</v>
      </c>
      <c r="H20" s="10">
        <f>IF(tbl_HD[[#This Row],[Date]]=$A$5, $F20, EMA_Beta*$H19 + (1-EMA_Beta)*$F20)</f>
        <v>281.66559058959734</v>
      </c>
      <c r="I20" s="46">
        <f ca="1">IF(tbl_HD[[#This Row],[RS]]= "", "", 100-(100/(1+tbl_HD[[#This Row],[RS]])))</f>
        <v>61.911481520808508</v>
      </c>
      <c r="J20" s="10">
        <f ca="1">IF(ROW($N20)-4&lt;BB_Periods, "", AVERAGE(INDIRECT(ADDRESS(ROW($F20)-RSI_Periods +1, MATCH("Adj Close", Price_Header,0))): INDIRECT(ADDRESS(ROW($F20),MATCH("Adj Close", Price_Header,0)))))</f>
        <v>283.40332257142859</v>
      </c>
      <c r="K20" s="10">
        <f ca="1">IF(tbl_HD[[#This Row],[BB_Mean]]="", "", tbl_HD[[#This Row],[BB_Mean]]+(BB_Width*tbl_HD[[#This Row],[BB_Stdev]]))</f>
        <v>290.08404976235278</v>
      </c>
      <c r="L20" s="10">
        <f ca="1">IF(tbl_HD[[#This Row],[BB_Mean]]="", "", tbl_HD[[#This Row],[BB_Mean]]-(BB_Width*tbl_HD[[#This Row],[BB_Stdev]]))</f>
        <v>276.7225953805044</v>
      </c>
      <c r="M20" s="46">
        <f>IF(ROW(tbl_HD[[#This Row],[Adj Close]])=5, 0, $F20-$F19)</f>
        <v>-1.243438000000026</v>
      </c>
      <c r="N20" s="46">
        <f>MAX(tbl_HD[[#This Row],[Move]],0)</f>
        <v>0</v>
      </c>
      <c r="O20" s="46">
        <f>MAX(-tbl_HD[[#This Row],[Move]],0)</f>
        <v>1.243438000000026</v>
      </c>
      <c r="P20" s="46">
        <f ca="1">IF(ROW($N20)-5&lt;RSI_Periods, "", AVERAGE(INDIRECT(ADDRESS(ROW($N20)-RSI_Periods +1, MATCH("Upmove", Price_Header,0))): INDIRECT(ADDRESS(ROW($N20),MATCH("Upmove", Price_Header,0)))))</f>
        <v>1.8687199285714249</v>
      </c>
      <c r="Q20" s="46">
        <f ca="1">IF(ROW($O20)-5&lt;RSI_Periods, "", AVERAGE(INDIRECT(ADDRESS(ROW($O20)-RSI_Periods +1, MATCH("Downmove", Price_Header,0))): INDIRECT(ADDRESS(ROW($O20),MATCH("Downmove", Price_Header,0)))))</f>
        <v>1.1496538571428556</v>
      </c>
      <c r="R20" s="46">
        <f ca="1">IF(tbl_HD[[#This Row],[Avg_Upmove]]="", "", tbl_HD[[#This Row],[Avg_Upmove]]/tbl_HD[[#This Row],[Avg_Downmove]])</f>
        <v>1.6254631052303061</v>
      </c>
      <c r="S20" s="10">
        <f ca="1">IF(ROW($N20)-4&lt;BB_Periods, "", _xlfn.STDEV.S(INDIRECT(ADDRESS(ROW($F20)-RSI_Periods +1, MATCH("Adj Close", Price_Header,0))): INDIRECT(ADDRESS(ROW($F20),MATCH("Adj Close", Price_Header,0)))))</f>
        <v>3.3403635954620903</v>
      </c>
    </row>
    <row r="21" spans="1:19" x14ac:dyDescent="0.25">
      <c r="A21" s="8">
        <v>44075</v>
      </c>
      <c r="B21" s="48">
        <v>284.02999899999998</v>
      </c>
      <c r="C21" s="48">
        <v>286.67999300000002</v>
      </c>
      <c r="D21" s="48">
        <v>283.5</v>
      </c>
      <c r="E21" s="48">
        <v>285.94000199999999</v>
      </c>
      <c r="F21" s="48">
        <v>284.44000199999999</v>
      </c>
      <c r="G21">
        <v>3238100</v>
      </c>
      <c r="H21" s="10">
        <f>IF(tbl_HD[[#This Row],[Date]]=$A$5, $F21, EMA_Beta*$H20 + (1-EMA_Beta)*$F21)</f>
        <v>281.94303173063759</v>
      </c>
      <c r="I21" s="46">
        <f ca="1">IF(tbl_HD[[#This Row],[RS]]= "", "", 100-(100/(1+tbl_HD[[#This Row],[RS]])))</f>
        <v>55.936844893647965</v>
      </c>
      <c r="J21" s="10">
        <f ca="1">IF(ROW($N21)-4&lt;BB_Periods, "", AVERAGE(INDIRECT(ADDRESS(ROW($F21)-RSI_Periods +1, MATCH("Adj Close", Price_Header,0))): INDIRECT(ADDRESS(ROW($F21),MATCH("Adj Close", Price_Header,0)))))</f>
        <v>283.71311957142859</v>
      </c>
      <c r="K21" s="10">
        <f ca="1">IF(tbl_HD[[#This Row],[BB_Mean]]="", "", tbl_HD[[#This Row],[BB_Mean]]+(BB_Width*tbl_HD[[#This Row],[BB_Stdev]]))</f>
        <v>290.13165722536593</v>
      </c>
      <c r="L21" s="10">
        <f ca="1">IF(tbl_HD[[#This Row],[BB_Mean]]="", "", tbl_HD[[#This Row],[BB_Mean]]-(BB_Width*tbl_HD[[#This Row],[BB_Stdev]]))</f>
        <v>277.29458191749126</v>
      </c>
      <c r="M21" s="46">
        <f>IF(ROW(tbl_HD[[#This Row],[Adj Close]])=5, 0, $F21-$F20)</f>
        <v>0.89526299999999992</v>
      </c>
      <c r="N21" s="46">
        <f>MAX(tbl_HD[[#This Row],[Move]],0)</f>
        <v>0.89526299999999992</v>
      </c>
      <c r="O21" s="46">
        <f>MAX(-tbl_HD[[#This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1.4594508571428548</v>
      </c>
      <c r="Q21" s="46">
        <f ca="1">IF(ROW($O21)-5&lt;RSI_Periods, "", AVERAGE(INDIRECT(ADDRESS(ROW($O21)-RSI_Periods +1, MATCH("Downmove", Price_Header,0))): INDIRECT(ADDRESS(ROW($O21),MATCH("Downmove", Price_Header,0)))))</f>
        <v>1.1496538571428556</v>
      </c>
      <c r="R21" s="46">
        <f ca="1">IF(tbl_HD[[#This Row],[Avg_Upmove]]="", "", tbl_HD[[#This Row],[Avg_Upmove]]/tbl_HD[[#This Row],[Avg_Downmove]])</f>
        <v>1.2694698043895694</v>
      </c>
      <c r="S21" s="10">
        <f ca="1">IF(ROW($N21)-4&lt;BB_Periods, "", _xlfn.STDEV.S(INDIRECT(ADDRESS(ROW($F21)-RSI_Periods +1, MATCH("Adj Close", Price_Header,0))): INDIRECT(ADDRESS(ROW($F21),MATCH("Adj Close", Price_Header,0)))))</f>
        <v>3.2092688269686738</v>
      </c>
    </row>
    <row r="22" spans="1:19" x14ac:dyDescent="0.25">
      <c r="A22" s="8">
        <v>44076</v>
      </c>
      <c r="B22" s="48">
        <v>284.85000600000001</v>
      </c>
      <c r="C22" s="48">
        <v>288.040009</v>
      </c>
      <c r="D22" s="48">
        <v>283.60000600000001</v>
      </c>
      <c r="E22" s="48">
        <v>287.20001200000002</v>
      </c>
      <c r="F22" s="48">
        <v>287.20001200000002</v>
      </c>
      <c r="G22">
        <v>3464600</v>
      </c>
      <c r="H22" s="10">
        <f>IF(tbl_HD[[#This Row],[Date]]=$A$5, $F22, EMA_Beta*$H21 + (1-EMA_Beta)*$F22)</f>
        <v>282.46872975757384</v>
      </c>
      <c r="I22" s="46">
        <f ca="1">IF(tbl_HD[[#This Row],[RS]]= "", "", 100-(100/(1+tbl_HD[[#This Row],[RS]])))</f>
        <v>58.949159549789243</v>
      </c>
      <c r="J22" s="10">
        <f ca="1">IF(ROW($N22)-4&lt;BB_Periods, "", AVERAGE(INDIRECT(ADDRESS(ROW($F22)-RSI_Periods +1, MATCH("Adj Close", Price_Header,0))): INDIRECT(ADDRESS(ROW($F22),MATCH("Adj Close", Price_Header,0)))))</f>
        <v>284.21437292857138</v>
      </c>
      <c r="K22" s="10">
        <f ca="1">IF(tbl_HD[[#This Row],[BB_Mean]]="", "", tbl_HD[[#This Row],[BB_Mean]]+(BB_Width*tbl_HD[[#This Row],[BB_Stdev]]))</f>
        <v>290.54057269588361</v>
      </c>
      <c r="L22" s="10">
        <f ca="1">IF(tbl_HD[[#This Row],[BB_Mean]]="", "", tbl_HD[[#This Row],[BB_Mean]]-(BB_Width*tbl_HD[[#This Row],[BB_Stdev]]))</f>
        <v>277.88817316125915</v>
      </c>
      <c r="M22" s="46">
        <f>IF(ROW(tbl_HD[[#This Row],[Adj Close]])=5, 0, $F22-$F21)</f>
        <v>2.7600100000000225</v>
      </c>
      <c r="N22" s="46">
        <f>MAX(tbl_HD[[#This Row],[Move]],0)</f>
        <v>2.7600100000000225</v>
      </c>
      <c r="O22" s="46">
        <f>MAX(-tbl_HD[[#This Row],[Move]],0)</f>
        <v>0</v>
      </c>
      <c r="P22" s="46">
        <f ca="1">IF(ROW($N22)-5&lt;RSI_Periods, "", AVERAGE(INDIRECT(ADDRESS(ROW($N22)-RSI_Periods +1, MATCH("Upmove", Price_Header,0))): INDIRECT(ADDRESS(ROW($N22),MATCH("Upmove", Price_Header,0)))))</f>
        <v>1.6509072142857153</v>
      </c>
      <c r="Q22" s="46">
        <f ca="1">IF(ROW($O22)-5&lt;RSI_Periods, "", AVERAGE(INDIRECT(ADDRESS(ROW($O22)-RSI_Periods +1, MATCH("Downmove", Price_Header,0))): INDIRECT(ADDRESS(ROW($O22),MATCH("Downmove", Price_Header,0)))))</f>
        <v>1.1496538571428556</v>
      </c>
      <c r="R22" s="46">
        <f ca="1">IF(tbl_HD[[#This Row],[Avg_Upmove]]="", "", tbl_HD[[#This Row],[Avg_Upmove]]/tbl_HD[[#This Row],[Avg_Downmove]])</f>
        <v>1.4360037188833388</v>
      </c>
      <c r="S22" s="10">
        <f ca="1">IF(ROW($N22)-4&lt;BB_Periods, "", _xlfn.STDEV.S(INDIRECT(ADDRESS(ROW($F22)-RSI_Periods +1, MATCH("Adj Close", Price_Header,0))): INDIRECT(ADDRESS(ROW($F22),MATCH("Adj Close", Price_Header,0)))))</f>
        <v>3.1630998836561104</v>
      </c>
    </row>
    <row r="23" spans="1:19" x14ac:dyDescent="0.25">
      <c r="A23" s="8">
        <v>44077</v>
      </c>
      <c r="B23" s="48">
        <v>287.29998799999998</v>
      </c>
      <c r="C23" s="48">
        <v>287.70001200000002</v>
      </c>
      <c r="D23" s="48">
        <v>272.17001299999998</v>
      </c>
      <c r="E23" s="48">
        <v>274.63000499999998</v>
      </c>
      <c r="F23" s="48">
        <v>274.63000499999998</v>
      </c>
      <c r="G23">
        <v>5380100</v>
      </c>
      <c r="H23" s="10">
        <f>IF(tbl_HD[[#This Row],[Date]]=$A$5, $F23, EMA_Beta*$H22 + (1-EMA_Beta)*$F23)</f>
        <v>281.68485728181645</v>
      </c>
      <c r="I23" s="46">
        <f ca="1">IF(tbl_HD[[#This Row],[RS]]= "", "", 100-(100/(1+tbl_HD[[#This Row],[RS]])))</f>
        <v>45.610891926382877</v>
      </c>
      <c r="J23" s="10">
        <f ca="1">IF(ROW($N23)-4&lt;BB_Periods, "", AVERAGE(INDIRECT(ADDRESS(ROW($F23)-RSI_Periods +1, MATCH("Adj Close", Price_Header,0))): INDIRECT(ADDRESS(ROW($F23),MATCH("Adj Close", Price_Header,0)))))</f>
        <v>283.89664135714287</v>
      </c>
      <c r="K23" s="10">
        <f ca="1">IF(tbl_HD[[#This Row],[BB_Mean]]="", "", tbl_HD[[#This Row],[BB_Mean]]+(BB_Width*tbl_HD[[#This Row],[BB_Stdev]]))</f>
        <v>291.62540050677137</v>
      </c>
      <c r="L23" s="10">
        <f ca="1">IF(tbl_HD[[#This Row],[BB_Mean]]="", "", tbl_HD[[#This Row],[BB_Mean]]-(BB_Width*tbl_HD[[#This Row],[BB_Stdev]]))</f>
        <v>276.16788220751437</v>
      </c>
      <c r="M23" s="46">
        <f>IF(ROW(tbl_HD[[#This Row],[Adj Close]])=5, 0, $F23-$F22)</f>
        <v>-12.570007000000032</v>
      </c>
      <c r="N23" s="46">
        <f>MAX(tbl_HD[[#This Row],[Move]],0)</f>
        <v>0</v>
      </c>
      <c r="O23" s="46">
        <f>MAX(-tbl_HD[[#This Row],[Move]],0)</f>
        <v>12.570007000000032</v>
      </c>
      <c r="P23" s="46">
        <f ca="1">IF(ROW($N23)-5&lt;RSI_Periods, "", AVERAGE(INDIRECT(ADDRESS(ROW($N23)-RSI_Periods +1, MATCH("Upmove", Price_Header,0))): INDIRECT(ADDRESS(ROW($N23),MATCH("Upmove", Price_Header,0)))))</f>
        <v>1.6509072142857153</v>
      </c>
      <c r="Q23" s="46">
        <f ca="1">IF(ROW($O23)-5&lt;RSI_Periods, "", AVERAGE(INDIRECT(ADDRESS(ROW($O23)-RSI_Periods +1, MATCH("Downmove", Price_Header,0))): INDIRECT(ADDRESS(ROW($O23),MATCH("Downmove", Price_Header,0)))))</f>
        <v>1.9686387857142864</v>
      </c>
      <c r="R23" s="46">
        <f ca="1">IF(tbl_HD[[#This Row],[Avg_Upmove]]="", "", tbl_HD[[#This Row],[Avg_Upmove]]/tbl_HD[[#This Row],[Avg_Downmove]])</f>
        <v>0.838603417887407</v>
      </c>
      <c r="S23" s="10">
        <f ca="1">IF(ROW($N23)-4&lt;BB_Periods, "", _xlfn.STDEV.S(INDIRECT(ADDRESS(ROW($F23)-RSI_Periods +1, MATCH("Adj Close", Price_Header,0))): INDIRECT(ADDRESS(ROW($F23),MATCH("Adj Close", Price_Header,0)))))</f>
        <v>3.8643795748142402</v>
      </c>
    </row>
    <row r="24" spans="1:19" x14ac:dyDescent="0.25">
      <c r="A24" s="8">
        <v>44078</v>
      </c>
      <c r="B24" s="48">
        <v>275.54998799999998</v>
      </c>
      <c r="C24" s="48">
        <v>276.76998900000001</v>
      </c>
      <c r="D24" s="48">
        <v>264.67001299999998</v>
      </c>
      <c r="E24" s="48">
        <v>269.66000400000001</v>
      </c>
      <c r="F24" s="48">
        <v>269.66000400000001</v>
      </c>
      <c r="G24">
        <v>5253500</v>
      </c>
      <c r="H24" s="10">
        <f>IF(tbl_HD[[#This Row],[Date]]=$A$5, $F24, EMA_Beta*$H23 + (1-EMA_Beta)*$F24)</f>
        <v>280.48237195363481</v>
      </c>
      <c r="I24" s="46">
        <f ca="1">IF(tbl_HD[[#This Row],[RS]]= "", "", 100-(100/(1+tbl_HD[[#This Row],[RS]])))</f>
        <v>32.218665200259792</v>
      </c>
      <c r="J24" s="10">
        <f ca="1">IF(ROW($N24)-4&lt;BB_Periods, "", AVERAGE(INDIRECT(ADDRESS(ROW($F24)-RSI_Periods +1, MATCH("Adj Close", Price_Header,0))): INDIRECT(ADDRESS(ROW($F24),MATCH("Adj Close", Price_Header,0)))))</f>
        <v>282.67750335714283</v>
      </c>
      <c r="K24" s="10">
        <f ca="1">IF(tbl_HD[[#This Row],[BB_Mean]]="", "", tbl_HD[[#This Row],[BB_Mean]]+(BB_Width*tbl_HD[[#This Row],[BB_Stdev]]))</f>
        <v>293.31838291706708</v>
      </c>
      <c r="L24" s="10">
        <f ca="1">IF(tbl_HD[[#This Row],[BB_Mean]]="", "", tbl_HD[[#This Row],[BB_Mean]]-(BB_Width*tbl_HD[[#This Row],[BB_Stdev]]))</f>
        <v>272.03662379721857</v>
      </c>
      <c r="M24" s="46">
        <f>IF(ROW(tbl_HD[[#This Row],[Adj Close]])=5, 0, $F24-$F23)</f>
        <v>-4.9700009999999679</v>
      </c>
      <c r="N24" s="46">
        <f>MAX(tbl_HD[[#This Row],[Move]],0)</f>
        <v>0</v>
      </c>
      <c r="O24" s="46">
        <f>MAX(-tbl_HD[[#This Row],[Move]],0)</f>
        <v>4.9700009999999679</v>
      </c>
      <c r="P24" s="46">
        <f ca="1">IF(ROW($N24)-5&lt;RSI_Periods, "", AVERAGE(INDIRECT(ADDRESS(ROW($N24)-RSI_Periods +1, MATCH("Upmove", Price_Header,0))): INDIRECT(ADDRESS(ROW($N24),MATCH("Upmove", Price_Header,0)))))</f>
        <v>1.1045008571428565</v>
      </c>
      <c r="Q24" s="46">
        <f ca="1">IF(ROW($O24)-5&lt;RSI_Periods, "", AVERAGE(INDIRECT(ADDRESS(ROW($O24)-RSI_Periods +1, MATCH("Downmove", Price_Header,0))): INDIRECT(ADDRESS(ROW($O24),MATCH("Downmove", Price_Header,0)))))</f>
        <v>2.3236388571428557</v>
      </c>
      <c r="R24" s="46">
        <f ca="1">IF(tbl_HD[[#This Row],[Avg_Upmove]]="", "", tbl_HD[[#This Row],[Avg_Upmove]]/tbl_HD[[#This Row],[Avg_Downmove]])</f>
        <v>0.47533240965893891</v>
      </c>
      <c r="S24" s="10">
        <f ca="1">IF(ROW($N24)-4&lt;BB_Periods, "", _xlfn.STDEV.S(INDIRECT(ADDRESS(ROW($F24)-RSI_Periods +1, MATCH("Adj Close", Price_Header,0))): INDIRECT(ADDRESS(ROW($F24),MATCH("Adj Close", Price_Header,0)))))</f>
        <v>5.3204397799621432</v>
      </c>
    </row>
    <row r="25" spans="1:19" x14ac:dyDescent="0.25">
      <c r="A25" s="8">
        <v>44082</v>
      </c>
      <c r="B25" s="48">
        <v>267.10998499999999</v>
      </c>
      <c r="C25" s="48">
        <v>271.040009</v>
      </c>
      <c r="D25" s="48">
        <v>262.80999800000001</v>
      </c>
      <c r="E25" s="48">
        <v>269.26001000000002</v>
      </c>
      <c r="F25" s="48">
        <v>269.26001000000002</v>
      </c>
      <c r="G25">
        <v>5241200</v>
      </c>
      <c r="H25" s="10">
        <f>IF(tbl_HD[[#This Row],[Date]]=$A$5, $F25, EMA_Beta*$H24 + (1-EMA_Beta)*$F25)</f>
        <v>279.36013575827133</v>
      </c>
      <c r="I25" s="46">
        <f ca="1">IF(tbl_HD[[#This Row],[RS]]= "", "", 100-(100/(1+tbl_HD[[#This Row],[RS]])))</f>
        <v>34.232198484698941</v>
      </c>
      <c r="J25" s="10">
        <f ca="1">IF(ROW($N25)-4&lt;BB_Periods, "", AVERAGE(INDIRECT(ADDRESS(ROW($F25)-RSI_Periods +1, MATCH("Adj Close", Price_Header,0))): INDIRECT(ADDRESS(ROW($F25),MATCH("Adj Close", Price_Header,0)))))</f>
        <v>281.66000807142854</v>
      </c>
      <c r="K25" s="10">
        <f ca="1">IF(tbl_HD[[#This Row],[BB_Mean]]="", "", tbl_HD[[#This Row],[BB_Mean]]+(BB_Width*tbl_HD[[#This Row],[BB_Stdev]]))</f>
        <v>294.46436249494525</v>
      </c>
      <c r="L25" s="10">
        <f ca="1">IF(tbl_HD[[#This Row],[BB_Mean]]="", "", tbl_HD[[#This Row],[BB_Mean]]-(BB_Width*tbl_HD[[#This Row],[BB_Stdev]]))</f>
        <v>268.85565364791182</v>
      </c>
      <c r="M25" s="46">
        <f>IF(ROW(tbl_HD[[#This Row],[Adj Close]])=5, 0, $F25-$F24)</f>
        <v>-0.39999399999999241</v>
      </c>
      <c r="N25" s="46">
        <f>MAX(tbl_HD[[#This Row],[Move]],0)</f>
        <v>0</v>
      </c>
      <c r="O25" s="46">
        <f>MAX(-tbl_HD[[#This Row],[Move]],0)</f>
        <v>0.39999399999999241</v>
      </c>
      <c r="P25" s="46">
        <f ca="1">IF(ROW($N25)-5&lt;RSI_Periods, "", AVERAGE(INDIRECT(ADDRESS(ROW($N25)-RSI_Periods +1, MATCH("Upmove", Price_Header,0))): INDIRECT(ADDRESS(ROW($N25),MATCH("Upmove", Price_Header,0)))))</f>
        <v>1.1045008571428565</v>
      </c>
      <c r="Q25" s="46">
        <f ca="1">IF(ROW($O25)-5&lt;RSI_Periods, "", AVERAGE(INDIRECT(ADDRESS(ROW($O25)-RSI_Periods +1, MATCH("Downmove", Price_Header,0))): INDIRECT(ADDRESS(ROW($O25),MATCH("Downmove", Price_Header,0)))))</f>
        <v>2.1219961428571423</v>
      </c>
      <c r="R25" s="46">
        <f ca="1">IF(tbl_HD[[#This Row],[Avg_Upmove]]="", "", tbl_HD[[#This Row],[Avg_Upmove]]/tbl_HD[[#This Row],[Avg_Downmove]])</f>
        <v>0.52050087878845597</v>
      </c>
      <c r="S25" s="10">
        <f ca="1">IF(ROW($N25)-4&lt;BB_Periods, "", _xlfn.STDEV.S(INDIRECT(ADDRESS(ROW($F25)-RSI_Periods +1, MATCH("Adj Close", Price_Header,0))): INDIRECT(ADDRESS(ROW($F25),MATCH("Adj Close", Price_Header,0)))))</f>
        <v>6.40217721175837</v>
      </c>
    </row>
    <row r="26" spans="1:19" x14ac:dyDescent="0.25">
      <c r="A26" s="8">
        <v>44083</v>
      </c>
      <c r="B26" s="48">
        <v>272.459991</v>
      </c>
      <c r="C26" s="48">
        <v>279.73998999999998</v>
      </c>
      <c r="D26" s="48">
        <v>271.75</v>
      </c>
      <c r="E26" s="48">
        <v>277.040009</v>
      </c>
      <c r="F26" s="48">
        <v>277.040009</v>
      </c>
      <c r="G26">
        <v>4754700</v>
      </c>
      <c r="H26" s="10">
        <f>IF(tbl_HD[[#This Row],[Date]]=$A$5, $F26, EMA_Beta*$H25 + (1-EMA_Beta)*$F26)</f>
        <v>279.12812308244418</v>
      </c>
      <c r="I26" s="46">
        <f ca="1">IF(tbl_HD[[#This Row],[RS]]= "", "", 100-(100/(1+tbl_HD[[#This Row],[RS]])))</f>
        <v>45.734024748504304</v>
      </c>
      <c r="J26" s="10">
        <f ca="1">IF(ROW($N26)-4&lt;BB_Periods, "", AVERAGE(INDIRECT(ADDRESS(ROW($F26)-RSI_Periods +1, MATCH("Adj Close", Price_Header,0))): INDIRECT(ADDRESS(ROW($F26),MATCH("Adj Close", Price_Header,0)))))</f>
        <v>281.35028521428563</v>
      </c>
      <c r="K26" s="10">
        <f ca="1">IF(tbl_HD[[#This Row],[BB_Mean]]="", "", tbl_HD[[#This Row],[BB_Mean]]+(BB_Width*tbl_HD[[#This Row],[BB_Stdev]]))</f>
        <v>294.39179478095946</v>
      </c>
      <c r="L26" s="10">
        <f ca="1">IF(tbl_HD[[#This Row],[BB_Mean]]="", "", tbl_HD[[#This Row],[BB_Mean]]-(BB_Width*tbl_HD[[#This Row],[BB_Stdev]]))</f>
        <v>268.30877564761181</v>
      </c>
      <c r="M26" s="46">
        <f>IF(ROW(tbl_HD[[#This Row],[Adj Close]])=5, 0, $F26-$F25)</f>
        <v>7.7799989999999752</v>
      </c>
      <c r="N26" s="46">
        <f>MAX(tbl_HD[[#This Row],[Move]],0)</f>
        <v>7.7799989999999752</v>
      </c>
      <c r="O26" s="46">
        <f>MAX(-tbl_HD[[#This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1.6602150714285691</v>
      </c>
      <c r="Q26" s="46">
        <f ca="1">IF(ROW($O26)-5&lt;RSI_Periods, "", AVERAGE(INDIRECT(ADDRESS(ROW($O26)-RSI_Periods +1, MATCH("Downmove", Price_Header,0))): INDIRECT(ADDRESS(ROW($O26),MATCH("Downmove", Price_Header,0)))))</f>
        <v>1.9699379285714258</v>
      </c>
      <c r="R26" s="46">
        <f ca="1">IF(tbl_HD[[#This Row],[Avg_Upmove]]="", "", tbl_HD[[#This Row],[Avg_Upmove]]/tbl_HD[[#This Row],[Avg_Downmove]])</f>
        <v>0.84277532167347835</v>
      </c>
      <c r="S26" s="10">
        <f ca="1">IF(ROW($N26)-4&lt;BB_Periods, "", _xlfn.STDEV.S(INDIRECT(ADDRESS(ROW($F26)-RSI_Periods +1, MATCH("Adj Close", Price_Header,0))): INDIRECT(ADDRESS(ROW($F26),MATCH("Adj Close", Price_Header,0)))))</f>
        <v>6.5207547833369235</v>
      </c>
    </row>
    <row r="27" spans="1:19" x14ac:dyDescent="0.25">
      <c r="A27" s="8">
        <v>44084</v>
      </c>
      <c r="B27" s="48">
        <v>278.01001000000002</v>
      </c>
      <c r="C27" s="48">
        <v>280.98001099999999</v>
      </c>
      <c r="D27" s="48">
        <v>271.17001299999998</v>
      </c>
      <c r="E27" s="48">
        <v>272.70001200000002</v>
      </c>
      <c r="F27" s="48">
        <v>272.70001200000002</v>
      </c>
      <c r="G27">
        <v>3155800</v>
      </c>
      <c r="H27" s="10">
        <f>IF(tbl_HD[[#This Row],[Date]]=$A$5, $F27, EMA_Beta*$H26 + (1-EMA_Beta)*$F27)</f>
        <v>278.48531197419976</v>
      </c>
      <c r="I27" s="46">
        <f ca="1">IF(tbl_HD[[#This Row],[RS]]= "", "", 100-(100/(1+tbl_HD[[#This Row],[RS]])))</f>
        <v>43.860041490677617</v>
      </c>
      <c r="J27" s="10">
        <f ca="1">IF(ROW($N27)-4&lt;BB_Periods, "", AVERAGE(INDIRECT(ADDRESS(ROW($F27)-RSI_Periods +1, MATCH("Adj Close", Price_Header,0))): INDIRECT(ADDRESS(ROW($F27),MATCH("Adj Close", Price_Header,0)))))</f>
        <v>280.88545885714285</v>
      </c>
      <c r="K27" s="10">
        <f ca="1">IF(tbl_HD[[#This Row],[BB_Mean]]="", "", tbl_HD[[#This Row],[BB_Mean]]+(BB_Width*tbl_HD[[#This Row],[BB_Stdev]]))</f>
        <v>294.69709624703529</v>
      </c>
      <c r="L27" s="10">
        <f ca="1">IF(tbl_HD[[#This Row],[BB_Mean]]="", "", tbl_HD[[#This Row],[BB_Mean]]-(BB_Width*tbl_HD[[#This Row],[BB_Stdev]]))</f>
        <v>267.07382146725041</v>
      </c>
      <c r="M27" s="46">
        <f>IF(ROW(tbl_HD[[#This Row],[Adj Close]])=5, 0, $F27-$F26)</f>
        <v>-4.3399969999999826</v>
      </c>
      <c r="N27" s="46">
        <f>MAX(tbl_HD[[#This Row],[Move]],0)</f>
        <v>0</v>
      </c>
      <c r="O27" s="46">
        <f>MAX(-tbl_HD[[#This Row],[Move]],0)</f>
        <v>4.3399969999999826</v>
      </c>
      <c r="P27" s="46">
        <f ca="1">IF(ROW($N27)-5&lt;RSI_Periods, "", AVERAGE(INDIRECT(ADDRESS(ROW($N27)-RSI_Periods +1, MATCH("Upmove", Price_Header,0))): INDIRECT(ADDRESS(ROW($N27),MATCH("Upmove", Price_Header,0)))))</f>
        <v>1.6602150714285691</v>
      </c>
      <c r="Q27" s="46">
        <f ca="1">IF(ROW($O27)-5&lt;RSI_Periods, "", AVERAGE(INDIRECT(ADDRESS(ROW($O27)-RSI_Periods +1, MATCH("Downmove", Price_Header,0))): INDIRECT(ADDRESS(ROW($O27),MATCH("Downmove", Price_Header,0)))))</f>
        <v>2.1250414285714254</v>
      </c>
      <c r="R27" s="46">
        <f ca="1">IF(tbl_HD[[#This Row],[Avg_Upmove]]="", "", tbl_HD[[#This Row],[Avg_Upmove]]/tbl_HD[[#This Row],[Avg_Downmove]])</f>
        <v>0.78126244933712219</v>
      </c>
      <c r="S27" s="10">
        <f ca="1">IF(ROW($N27)-4&lt;BB_Periods, "", _xlfn.STDEV.S(INDIRECT(ADDRESS(ROW($F27)-RSI_Periods +1, MATCH("Adj Close", Price_Header,0))): INDIRECT(ADDRESS(ROW($F27),MATCH("Adj Close", Price_Header,0)))))</f>
        <v>6.9058186949462179</v>
      </c>
    </row>
    <row r="28" spans="1:19" x14ac:dyDescent="0.25">
      <c r="A28" s="8">
        <v>44085</v>
      </c>
      <c r="B28" s="48">
        <v>273.98001099999999</v>
      </c>
      <c r="C28" s="48">
        <v>277.98001099999999</v>
      </c>
      <c r="D28" s="48">
        <v>273.459991</v>
      </c>
      <c r="E28" s="48">
        <v>276.32998700000002</v>
      </c>
      <c r="F28" s="48">
        <v>276.32998700000002</v>
      </c>
      <c r="G28">
        <v>3328747</v>
      </c>
      <c r="H28" s="10">
        <f>IF(tbl_HD[[#This Row],[Date]]=$A$5, $F28, EMA_Beta*$H27 + (1-EMA_Beta)*$F28)</f>
        <v>278.26977947677977</v>
      </c>
      <c r="I28" s="46">
        <f ca="1">IF(tbl_HD[[#This Row],[RS]]= "", "", 100-(100/(1+tbl_HD[[#This Row],[RS]])))</f>
        <v>44.99486613351862</v>
      </c>
      <c r="J28" s="10">
        <f ca="1">IF(ROW($N28)-4&lt;BB_Periods, "", AVERAGE(INDIRECT(ADDRESS(ROW($F28)-RSI_Periods +1, MATCH("Adj Close", Price_Header,0))): INDIRECT(ADDRESS(ROW($F28),MATCH("Adj Close", Price_Header,0)))))</f>
        <v>280.49872707142856</v>
      </c>
      <c r="K28" s="10">
        <f ca="1">IF(tbl_HD[[#This Row],[BB_Mean]]="", "", tbl_HD[[#This Row],[BB_Mean]]+(BB_Width*tbl_HD[[#This Row],[BB_Stdev]]))</f>
        <v>294.50856192369491</v>
      </c>
      <c r="L28" s="10">
        <f ca="1">IF(tbl_HD[[#This Row],[BB_Mean]]="", "", tbl_HD[[#This Row],[BB_Mean]]-(BB_Width*tbl_HD[[#This Row],[BB_Stdev]]))</f>
        <v>266.48889221916221</v>
      </c>
      <c r="M28" s="46">
        <f>IF(ROW(tbl_HD[[#This Row],[Adj Close]])=5, 0, $F28-$F27)</f>
        <v>3.6299750000000017</v>
      </c>
      <c r="N28" s="46">
        <f>MAX(tbl_HD[[#This Row],[Move]],0)</f>
        <v>3.6299750000000017</v>
      </c>
      <c r="O28" s="46">
        <f>MAX(-tbl_HD[[#This Row],[Move]],0)</f>
        <v>0</v>
      </c>
      <c r="P28" s="46">
        <f ca="1">IF(ROW($N28)-5&lt;RSI_Periods, "", AVERAGE(INDIRECT(ADDRESS(ROW($N28)-RSI_Periods +1, MATCH("Upmove", Price_Header,0))): INDIRECT(ADDRESS(ROW($N28),MATCH("Upmove", Price_Header,0)))))</f>
        <v>1.7383096428571403</v>
      </c>
      <c r="Q28" s="46">
        <f ca="1">IF(ROW($O28)-5&lt;RSI_Periods, "", AVERAGE(INDIRECT(ADDRESS(ROW($O28)-RSI_Periods +1, MATCH("Downmove", Price_Header,0))): INDIRECT(ADDRESS(ROW($O28),MATCH("Downmove", Price_Header,0)))))</f>
        <v>2.1250414285714254</v>
      </c>
      <c r="R28" s="46">
        <f ca="1">IF(tbl_HD[[#This Row],[Avg_Upmove]]="", "", tbl_HD[[#This Row],[Avg_Upmove]]/tbl_HD[[#This Row],[Avg_Downmove]])</f>
        <v>0.81801211942758767</v>
      </c>
      <c r="S28" s="10">
        <f ca="1">IF(ROW($N28)-4&lt;BB_Periods, "", _xlfn.STDEV.S(INDIRECT(ADDRESS(ROW($F28)-RSI_Periods +1, MATCH("Adj Close", Price_Header,0))): INDIRECT(ADDRESS(ROW($F28),MATCH("Adj Close", Price_Header,0)))))</f>
        <v>7.004917426133181</v>
      </c>
    </row>
    <row r="29" spans="1:19" x14ac:dyDescent="0.25">
      <c r="A29" s="8">
        <v>44088</v>
      </c>
      <c r="B29" s="48">
        <v>278.54998799999998</v>
      </c>
      <c r="C29" s="48">
        <v>282.459991</v>
      </c>
      <c r="D29" s="48">
        <v>278.01998900000001</v>
      </c>
      <c r="E29" s="48">
        <v>280.64999399999999</v>
      </c>
      <c r="F29" s="48">
        <v>280.64999399999999</v>
      </c>
      <c r="G29">
        <v>3055800</v>
      </c>
      <c r="H29" s="10">
        <f>IF(tbl_HD[[#This Row],[Date]]=$A$5, $F29, EMA_Beta*$H28 + (1-EMA_Beta)*$F29)</f>
        <v>278.50780092910179</v>
      </c>
      <c r="I29" s="46">
        <f ca="1">IF(tbl_HD[[#This Row],[RS]]= "", "", 100-(100/(1+tbl_HD[[#This Row],[RS]])))</f>
        <v>45.814833937269078</v>
      </c>
      <c r="J29" s="10">
        <f ca="1">IF(ROW($N29)-4&lt;BB_Periods, "", AVERAGE(INDIRECT(ADDRESS(ROW($F29)-RSI_Periods +1, MATCH("Adj Close", Price_Header,0))): INDIRECT(ADDRESS(ROW($F29),MATCH("Adj Close", Price_Header,0)))))</f>
        <v>280.1704582142857</v>
      </c>
      <c r="K29" s="10">
        <f ca="1">IF(tbl_HD[[#This Row],[BB_Mean]]="", "", tbl_HD[[#This Row],[BB_Mean]]+(BB_Width*tbl_HD[[#This Row],[BB_Stdev]]))</f>
        <v>293.91399060940677</v>
      </c>
      <c r="L29" s="10">
        <f ca="1">IF(tbl_HD[[#This Row],[BB_Mean]]="", "", tbl_HD[[#This Row],[BB_Mean]]-(BB_Width*tbl_HD[[#This Row],[BB_Stdev]]))</f>
        <v>266.42692581916464</v>
      </c>
      <c r="M29" s="46">
        <f>IF(ROW(tbl_HD[[#This Row],[Adj Close]])=5, 0, $F29-$F28)</f>
        <v>4.3200069999999755</v>
      </c>
      <c r="N29" s="46">
        <f>MAX(tbl_HD[[#This Row],[Move]],0)</f>
        <v>4.3200069999999755</v>
      </c>
      <c r="O29" s="46">
        <f>MAX(-tbl_HD[[#This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1.7967725714285661</v>
      </c>
      <c r="Q29" s="46">
        <f ca="1">IF(ROW($O29)-5&lt;RSI_Periods, "", AVERAGE(INDIRECT(ADDRESS(ROW($O29)-RSI_Periods +1, MATCH("Downmove", Price_Header,0))): INDIRECT(ADDRESS(ROW($O29),MATCH("Downmove", Price_Header,0)))))</f>
        <v>2.1250414285714254</v>
      </c>
      <c r="R29" s="46">
        <f ca="1">IF(tbl_HD[[#This Row],[Avg_Upmove]]="", "", tbl_HD[[#This Row],[Avg_Upmove]]/tbl_HD[[#This Row],[Avg_Downmove]])</f>
        <v>0.8455235494568496</v>
      </c>
      <c r="S29" s="10">
        <f ca="1">IF(ROW($N29)-4&lt;BB_Periods, "", _xlfn.STDEV.S(INDIRECT(ADDRESS(ROW($F29)-RSI_Periods +1, MATCH("Adj Close", Price_Header,0))): INDIRECT(ADDRESS(ROW($F29),MATCH("Adj Close", Price_Header,0)))))</f>
        <v>6.8717661975605404</v>
      </c>
    </row>
    <row r="30" spans="1:19" x14ac:dyDescent="0.25">
      <c r="A30" s="8">
        <v>44089</v>
      </c>
      <c r="B30" s="48">
        <v>283.040009</v>
      </c>
      <c r="C30" s="48">
        <v>286.70001200000002</v>
      </c>
      <c r="D30" s="48">
        <v>282.38000499999998</v>
      </c>
      <c r="E30" s="48">
        <v>285.57998700000002</v>
      </c>
      <c r="F30" s="48">
        <v>285.57998700000002</v>
      </c>
      <c r="G30">
        <v>4174900</v>
      </c>
      <c r="H30" s="10">
        <f>IF(tbl_HD[[#This Row],[Date]]=$A$5, $F30, EMA_Beta*$H29 + (1-EMA_Beta)*$F30)</f>
        <v>279.21501953619162</v>
      </c>
      <c r="I30" s="46">
        <f ca="1">IF(tbl_HD[[#This Row],[RS]]= "", "", 100-(100/(1+tbl_HD[[#This Row],[RS]])))</f>
        <v>50.802947498159732</v>
      </c>
      <c r="J30" s="10">
        <f ca="1">IF(ROW($N30)-4&lt;BB_Periods, "", AVERAGE(INDIRECT(ADDRESS(ROW($F30)-RSI_Periods +1, MATCH("Adj Close", Price_Header,0))): INDIRECT(ADDRESS(ROW($F30),MATCH("Adj Close", Price_Header,0)))))</f>
        <v>280.23838599999993</v>
      </c>
      <c r="K30" s="10">
        <f ca="1">IF(tbl_HD[[#This Row],[BB_Mean]]="", "", tbl_HD[[#This Row],[BB_Mean]]+(BB_Width*tbl_HD[[#This Row],[BB_Stdev]]))</f>
        <v>294.08585224806609</v>
      </c>
      <c r="L30" s="10">
        <f ca="1">IF(tbl_HD[[#This Row],[BB_Mean]]="", "", tbl_HD[[#This Row],[BB_Mean]]-(BB_Width*tbl_HD[[#This Row],[BB_Stdev]]))</f>
        <v>266.39091975193378</v>
      </c>
      <c r="M30" s="46">
        <f>IF(ROW(tbl_HD[[#This Row],[Adj Close]])=5, 0, $F30-$F29)</f>
        <v>4.9299930000000245</v>
      </c>
      <c r="N30" s="46">
        <f>MAX(tbl_HD[[#This Row],[Move]],0)</f>
        <v>4.9299930000000245</v>
      </c>
      <c r="O30" s="46">
        <f>MAX(-tbl_HD[[#This Row],[Move]],0)</f>
        <v>0</v>
      </c>
      <c r="P30" s="46">
        <f ca="1">IF(ROW($N30)-5&lt;RSI_Periods, "", AVERAGE(INDIRECT(ADDRESS(ROW($N30)-RSI_Periods +1, MATCH("Upmove", Price_Header,0))): INDIRECT(ADDRESS(ROW($N30),MATCH("Upmove", Price_Header,0)))))</f>
        <v>2.1489149285714251</v>
      </c>
      <c r="Q30" s="46">
        <f ca="1">IF(ROW($O30)-5&lt;RSI_Periods, "", AVERAGE(INDIRECT(ADDRESS(ROW($O30)-RSI_Periods +1, MATCH("Downmove", Price_Header,0))): INDIRECT(ADDRESS(ROW($O30),MATCH("Downmove", Price_Header,0)))))</f>
        <v>2.0809871428571398</v>
      </c>
      <c r="R30" s="46">
        <f ca="1">IF(tbl_HD[[#This Row],[Avg_Upmove]]="", "", tbl_HD[[#This Row],[Avg_Upmove]]/tbl_HD[[#This Row],[Avg_Downmove]])</f>
        <v>1.0326420977407011</v>
      </c>
      <c r="S30" s="10">
        <f ca="1">IF(ROW($N30)-4&lt;BB_Periods, "", _xlfn.STDEV.S(INDIRECT(ADDRESS(ROW($F30)-RSI_Periods +1, MATCH("Adj Close", Price_Header,0))): INDIRECT(ADDRESS(ROW($F30),MATCH("Adj Close", Price_Header,0)))))</f>
        <v>6.923733124033089</v>
      </c>
    </row>
    <row r="31" spans="1:19" x14ac:dyDescent="0.25">
      <c r="A31" s="8">
        <v>44090</v>
      </c>
      <c r="B31" s="48">
        <v>285.60998499999999</v>
      </c>
      <c r="C31" s="48">
        <v>286.57998700000002</v>
      </c>
      <c r="D31" s="48">
        <v>280.67999300000002</v>
      </c>
      <c r="E31" s="48">
        <v>281.63000499999998</v>
      </c>
      <c r="F31" s="48">
        <v>281.63000499999998</v>
      </c>
      <c r="G31">
        <v>3379100</v>
      </c>
      <c r="H31" s="10">
        <f>IF(tbl_HD[[#This Row],[Date]]=$A$5, $F31, EMA_Beta*$H30 + (1-EMA_Beta)*$F31)</f>
        <v>279.45651808257247</v>
      </c>
      <c r="I31" s="46">
        <f ca="1">IF(tbl_HD[[#This Row],[RS]]= "", "", 100-(100/(1+tbl_HD[[#This Row],[RS]])))</f>
        <v>42.361759338556297</v>
      </c>
      <c r="J31" s="10">
        <f ca="1">IF(ROW($N31)-4&lt;BB_Periods, "", AVERAGE(INDIRECT(ADDRESS(ROW($F31)-RSI_Periods +1, MATCH("Adj Close", Price_Header,0))): INDIRECT(ADDRESS(ROW($F31),MATCH("Adj Close", Price_Header,0)))))</f>
        <v>279.6120606428571</v>
      </c>
      <c r="K31" s="10">
        <f ca="1">IF(tbl_HD[[#This Row],[BB_Mean]]="", "", tbl_HD[[#This Row],[BB_Mean]]+(BB_Width*tbl_HD[[#This Row],[BB_Stdev]]))</f>
        <v>292.21743854566222</v>
      </c>
      <c r="L31" s="10">
        <f ca="1">IF(tbl_HD[[#This Row],[BB_Mean]]="", "", tbl_HD[[#This Row],[BB_Mean]]-(BB_Width*tbl_HD[[#This Row],[BB_Stdev]]))</f>
        <v>267.00668274005199</v>
      </c>
      <c r="M31" s="46">
        <f>IF(ROW(tbl_HD[[#This Row],[Adj Close]])=5, 0, $F31-$F30)</f>
        <v>-3.9499820000000341</v>
      </c>
      <c r="N31" s="46">
        <f>MAX(tbl_HD[[#This Row],[Move]],0)</f>
        <v>0</v>
      </c>
      <c r="O31" s="46">
        <f>MAX(-tbl_HD[[#This Row],[Move]],0)</f>
        <v>3.9499820000000341</v>
      </c>
      <c r="P31" s="46">
        <f ca="1">IF(ROW($N31)-5&lt;RSI_Periods, "", AVERAGE(INDIRECT(ADDRESS(ROW($N31)-RSI_Periods +1, MATCH("Upmove", Price_Header,0))): INDIRECT(ADDRESS(ROW($N31),MATCH("Upmove", Price_Header,0)))))</f>
        <v>1.7368033571428572</v>
      </c>
      <c r="Q31" s="46">
        <f ca="1">IF(ROW($O31)-5&lt;RSI_Periods, "", AVERAGE(INDIRECT(ADDRESS(ROW($O31)-RSI_Periods +1, MATCH("Downmove", Price_Header,0))): INDIRECT(ADDRESS(ROW($O31),MATCH("Downmove", Price_Header,0)))))</f>
        <v>2.3631287142857138</v>
      </c>
      <c r="R31" s="46">
        <f ca="1">IF(tbl_HD[[#This Row],[Avg_Upmove]]="", "", tbl_HD[[#This Row],[Avg_Upmove]]/tbl_HD[[#This Row],[Avg_Downmove]])</f>
        <v>0.73495927100518876</v>
      </c>
      <c r="S31" s="10">
        <f ca="1">IF(ROW($N31)-4&lt;BB_Periods, "", _xlfn.STDEV.S(INDIRECT(ADDRESS(ROW($F31)-RSI_Periods +1, MATCH("Adj Close", Price_Header,0))): INDIRECT(ADDRESS(ROW($F31),MATCH("Adj Close", Price_Header,0)))))</f>
        <v>6.3026889514025477</v>
      </c>
    </row>
    <row r="32" spans="1:19" x14ac:dyDescent="0.25">
      <c r="A32" s="8">
        <v>44091</v>
      </c>
      <c r="B32" s="48">
        <v>277.91000400000001</v>
      </c>
      <c r="C32" s="48">
        <v>282.72000100000002</v>
      </c>
      <c r="D32" s="48">
        <v>276.959991</v>
      </c>
      <c r="E32" s="48">
        <v>279.959991</v>
      </c>
      <c r="F32" s="48">
        <v>279.959991</v>
      </c>
      <c r="G32">
        <v>3055881</v>
      </c>
      <c r="H32" s="10">
        <f>IF(tbl_HD[[#This Row],[Date]]=$A$5, $F32, EMA_Beta*$H31 + (1-EMA_Beta)*$F32)</f>
        <v>279.50686537431523</v>
      </c>
      <c r="I32" s="46">
        <f ca="1">IF(tbl_HD[[#This Row],[RS]]= "", "", 100-(100/(1+tbl_HD[[#This Row],[RS]])))</f>
        <v>43.586327630444906</v>
      </c>
      <c r="J32" s="10">
        <f ca="1">IF(ROW($N32)-4&lt;BB_Periods, "", AVERAGE(INDIRECT(ADDRESS(ROW($F32)-RSI_Periods +1, MATCH("Adj Close", Price_Header,0))): INDIRECT(ADDRESS(ROW($F32),MATCH("Adj Close", Price_Header,0)))))</f>
        <v>279.10092385714285</v>
      </c>
      <c r="K32" s="10">
        <f ca="1">IF(tbl_HD[[#This Row],[BB_Mean]]="", "", tbl_HD[[#This Row],[BB_Mean]]+(BB_Width*tbl_HD[[#This Row],[BB_Stdev]]))</f>
        <v>290.95343093673478</v>
      </c>
      <c r="L32" s="10">
        <f ca="1">IF(tbl_HD[[#This Row],[BB_Mean]]="", "", tbl_HD[[#This Row],[BB_Mean]]-(BB_Width*tbl_HD[[#This Row],[BB_Stdev]]))</f>
        <v>267.24841677755091</v>
      </c>
      <c r="M32" s="46">
        <f>IF(ROW(tbl_HD[[#This Row],[Adj Close]])=5, 0, $F32-$F31)</f>
        <v>-1.6700139999999806</v>
      </c>
      <c r="N32" s="46">
        <f>MAX(tbl_HD[[#This Row],[Move]],0)</f>
        <v>0</v>
      </c>
      <c r="O32" s="46">
        <f>MAX(-tbl_HD[[#This Row],[Move]],0)</f>
        <v>1.6700139999999806</v>
      </c>
      <c r="P32" s="46">
        <f ca="1">IF(ROW($N32)-5&lt;RSI_Periods, "", AVERAGE(INDIRECT(ADDRESS(ROW($N32)-RSI_Periods +1, MATCH("Upmove", Price_Header,0))): INDIRECT(ADDRESS(ROW($N32),MATCH("Upmove", Price_Header,0)))))</f>
        <v>1.7368033571428572</v>
      </c>
      <c r="Q32" s="46">
        <f ca="1">IF(ROW($O32)-5&lt;RSI_Periods, "", AVERAGE(INDIRECT(ADDRESS(ROW($O32)-RSI_Periods +1, MATCH("Downmove", Price_Header,0))): INDIRECT(ADDRESS(ROW($O32),MATCH("Downmove", Price_Header,0)))))</f>
        <v>2.2479401428571424</v>
      </c>
      <c r="R32" s="46">
        <f ca="1">IF(tbl_HD[[#This Row],[Avg_Upmove]]="", "", tbl_HD[[#This Row],[Avg_Upmove]]/tbl_HD[[#This Row],[Avg_Downmove]])</f>
        <v>0.77261993058915346</v>
      </c>
      <c r="S32" s="10">
        <f ca="1">IF(ROW($N32)-4&lt;BB_Periods, "", _xlfn.STDEV.S(INDIRECT(ADDRESS(ROW($F32)-RSI_Periods +1, MATCH("Adj Close", Price_Header,0))): INDIRECT(ADDRESS(ROW($F32),MATCH("Adj Close", Price_Header,0)))))</f>
        <v>5.9262535397959688</v>
      </c>
    </row>
    <row r="33" spans="1:19" x14ac:dyDescent="0.25">
      <c r="A33" t="s">
        <v>162</v>
      </c>
      <c r="H33" s="61"/>
      <c r="J33" s="61"/>
      <c r="K33" s="61"/>
      <c r="L33" s="61"/>
      <c r="S33" s="61">
        <f ca="1">SUBTOTAL(103,tbl_HD[BB_Stdev])</f>
        <v>28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opLeftCell="A10" workbookViewId="0">
      <selection activeCell="L6" sqref="L6"/>
    </sheetView>
  </sheetViews>
  <sheetFormatPr defaultRowHeight="15" x14ac:dyDescent="0.25"/>
  <cols>
    <col min="1" max="1" width="9.7109375" bestFit="1" customWidth="1"/>
    <col min="6" max="6" width="11.42578125" customWidth="1"/>
    <col min="7" max="7" width="12" customWidth="1"/>
    <col min="11" max="11" width="11.140625" customWidth="1"/>
    <col min="12" max="12" width="12.28515625" customWidth="1"/>
    <col min="14" max="14" width="10.7109375" customWidth="1"/>
    <col min="15" max="15" width="9.7109375" customWidth="1"/>
    <col min="16" max="16" width="11.140625" customWidth="1"/>
    <col min="17" max="17" width="10.5703125" customWidth="1"/>
    <col min="19" max="19" width="10.42578125" customWidth="1"/>
  </cols>
  <sheetData>
    <row r="1" spans="1:19" ht="21" x14ac:dyDescent="0.35">
      <c r="A1" s="41" t="s">
        <v>166</v>
      </c>
      <c r="B1" s="41"/>
      <c r="C1" s="41"/>
      <c r="D1" s="41"/>
      <c r="E1" s="41"/>
      <c r="F1" s="41"/>
    </row>
    <row r="2" spans="1:19" x14ac:dyDescent="0.25">
      <c r="A2" t="s">
        <v>164</v>
      </c>
    </row>
    <row r="4" spans="1:19" x14ac:dyDescent="0.2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25">
      <c r="A5" s="8">
        <v>44053</v>
      </c>
      <c r="B5" s="10">
        <v>112.599998</v>
      </c>
      <c r="C5" s="10">
        <v>113.775002</v>
      </c>
      <c r="D5" s="10">
        <v>110</v>
      </c>
      <c r="E5" s="10">
        <v>112.727501</v>
      </c>
      <c r="F5" s="10">
        <v>112.727501</v>
      </c>
      <c r="G5">
        <v>212403600</v>
      </c>
      <c r="H5" s="10">
        <f>IF(tbl_AAPL[[#This Row],[Date]]=$A$5, $F5, EMA_Beta*$H4 + (1-EMA_Beta)*$F5)</f>
        <v>112.727501</v>
      </c>
      <c r="I5" s="50" t="str">
        <f ca="1">IF(tbl_AAPL[[#This Row],[RS]]= "", "", 100-(100/(1+tbl_AAPL[[#This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IF(tbl_AAPL[[#This Row],[BB_Mean]]="", "", tbl_AAPL[[#This Row],[BB_Mean]]+(BB_Width*tbl_AAPL[[#This Row],[BB_Stdev]]))</f>
        <v/>
      </c>
      <c r="L5" s="10" t="str">
        <f ca="1">IF(tbl_AAPL[[#This Row],[BB_Mean]]="", "", tbl_AAPL[[#This Row],[BB_Mean]]-(BB_Width*tbl_AAPL[[#This Row],[BB_Stdev]]))</f>
        <v/>
      </c>
      <c r="M5" s="50">
        <f>IF(ROW(tbl_AAPL[[#This Row],[Adj Close]])=5, 0, $F5-$F4)</f>
        <v>0</v>
      </c>
      <c r="N5" s="50">
        <f>MAX(tbl_AAPL[[#This Row],[Move]],0)</f>
        <v>0</v>
      </c>
      <c r="O5" s="50">
        <f>MAX(-tbl_AAPL[[#This Row],[Move]],0)</f>
        <v>0</v>
      </c>
      <c r="P5" s="50" t="str">
        <f ca="1">IF(ROW($N5)-5&lt;RSI_Periods, "", AVERAGE(INDIRECT(ADDRESS(ROW($N5)-RSI_Periods +1, MATCH("Upmove", Price_Header,0))): INDIRECT(ADDRESS(ROW($N5),MATCH("Upmove", Price_Header,0)))))</f>
        <v/>
      </c>
      <c r="Q5" s="50" t="str">
        <f ca="1">IF(ROW($O5)-5&lt;RSI_Periods, "", AVERAGE(INDIRECT(ADDRESS(ROW($O5)-RSI_Periods +1, MATCH("Downmove", Price_Header,0))): INDIRECT(ADDRESS(ROW($O5),MATCH("Downmove", Price_Header,0)))))</f>
        <v/>
      </c>
      <c r="R5" s="50" t="str">
        <f ca="1">IF(tbl_AAPL[[#This Row],[Avg_Upmove]]="", "", tbl_AAPL[[#This Row],[Avg_Upmove]]/tbl_AAPL[[#This Row],[Avg_Downmove]])</f>
        <v/>
      </c>
      <c r="S5" s="5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25">
      <c r="A6" s="8">
        <v>44054</v>
      </c>
      <c r="B6" s="10">
        <v>111.970001</v>
      </c>
      <c r="C6" s="10">
        <v>112.48249800000001</v>
      </c>
      <c r="D6" s="10">
        <v>109.10749800000001</v>
      </c>
      <c r="E6" s="10">
        <v>109.375</v>
      </c>
      <c r="F6" s="10">
        <v>109.375</v>
      </c>
      <c r="G6">
        <v>187902400</v>
      </c>
      <c r="H6" s="10">
        <f>IF(tbl_AAPL[[#This Row],[Date]]=$A$5, $F6, EMA_Beta*$H5 + (1-EMA_Beta)*$F6)</f>
        <v>112.39225090000001</v>
      </c>
      <c r="I6" s="50" t="str">
        <f ca="1">IF(tbl_AAPL[[#This Row],[RS]]= "", "", 100-(100/(1+tbl_AAPL[[#This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IF(tbl_AAPL[[#This Row],[BB_Mean]]="", "", tbl_AAPL[[#This Row],[BB_Mean]]+(BB_Width*tbl_AAPL[[#This Row],[BB_Stdev]]))</f>
        <v/>
      </c>
      <c r="L6" s="10" t="str">
        <f ca="1">IF(tbl_AAPL[[#This Row],[BB_Mean]]="", "", tbl_AAPL[[#This Row],[BB_Mean]]-(BB_Width*tbl_AAPL[[#This Row],[BB_Stdev]]))</f>
        <v/>
      </c>
      <c r="M6" s="50">
        <f>IF(ROW(tbl_AAPL[[#This Row],[Adj Close]])=5, 0, $F6-$F5)</f>
        <v>-3.3525010000000037</v>
      </c>
      <c r="N6" s="50">
        <f>MAX(tbl_AAPL[[#This Row],[Move]],0)</f>
        <v>0</v>
      </c>
      <c r="O6" s="50">
        <f>MAX(-tbl_AAPL[[#This Row],[Move]],0)</f>
        <v>3.3525010000000037</v>
      </c>
      <c r="P6" s="50" t="str">
        <f ca="1">IF(ROW($N6)-5&lt;RSI_Periods, "", AVERAGE(INDIRECT(ADDRESS(ROW($N6)-RSI_Periods +1, MATCH("Upmove", Price_Header,0))): INDIRECT(ADDRESS(ROW($N6),MATCH("Upmove", Price_Header,0)))))</f>
        <v/>
      </c>
      <c r="Q6" s="50" t="str">
        <f ca="1">IF(ROW($O6)-5&lt;RSI_Periods, "", AVERAGE(INDIRECT(ADDRESS(ROW($O6)-RSI_Periods +1, MATCH("Downmove", Price_Header,0))): INDIRECT(ADDRESS(ROW($O6),MATCH("Downmove", Price_Header,0)))))</f>
        <v/>
      </c>
      <c r="R6" s="50" t="str">
        <f ca="1">IF(tbl_AAPL[[#This Row],[Avg_Upmove]]="", "", tbl_AAPL[[#This Row],[Avg_Upmove]]/tbl_AAPL[[#This Row],[Avg_Downmove]])</f>
        <v/>
      </c>
      <c r="S6" s="5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25">
      <c r="A7" s="8">
        <v>44055</v>
      </c>
      <c r="B7" s="10">
        <v>110.49749799999999</v>
      </c>
      <c r="C7" s="10">
        <v>113.275002</v>
      </c>
      <c r="D7" s="10">
        <v>110.297501</v>
      </c>
      <c r="E7" s="10">
        <v>113.010002</v>
      </c>
      <c r="F7" s="10">
        <v>113.010002</v>
      </c>
      <c r="G7">
        <v>165944800</v>
      </c>
      <c r="H7" s="10">
        <f>IF(tbl_AAPL[[#This Row],[Date]]=$A$5, $F7, EMA_Beta*$H6 + (1-EMA_Beta)*$F7)</f>
        <v>112.45402601000001</v>
      </c>
      <c r="I7" s="50" t="str">
        <f ca="1">IF(tbl_AAPL[[#This Row],[RS]]= "", "", 100-(100/(1+tbl_AAPL[[#This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IF(tbl_AAPL[[#This Row],[BB_Mean]]="", "", tbl_AAPL[[#This Row],[BB_Mean]]+(BB_Width*tbl_AAPL[[#This Row],[BB_Stdev]]))</f>
        <v/>
      </c>
      <c r="L7" s="10" t="str">
        <f ca="1">IF(tbl_AAPL[[#This Row],[BB_Mean]]="", "", tbl_AAPL[[#This Row],[BB_Mean]]-(BB_Width*tbl_AAPL[[#This Row],[BB_Stdev]]))</f>
        <v/>
      </c>
      <c r="M7" s="50">
        <f>IF(ROW(tbl_AAPL[[#This Row],[Adj Close]])=5, 0, $F7-$F6)</f>
        <v>3.6350020000000001</v>
      </c>
      <c r="N7" s="50">
        <f>MAX(tbl_AAPL[[#This Row],[Move]],0)</f>
        <v>3.6350020000000001</v>
      </c>
      <c r="O7" s="50">
        <f>MAX(-tbl_AAPL[[#This Row],[Move]],0)</f>
        <v>0</v>
      </c>
      <c r="P7" s="50" t="str">
        <f ca="1">IF(ROW($N7)-5&lt;RSI_Periods, "", AVERAGE(INDIRECT(ADDRESS(ROW($N7)-RSI_Periods +1, MATCH("Upmove", Price_Header,0))): INDIRECT(ADDRESS(ROW($N7),MATCH("Upmove", Price_Header,0)))))</f>
        <v/>
      </c>
      <c r="Q7" s="50" t="str">
        <f ca="1">IF(ROW($O7)-5&lt;RSI_Periods, "", AVERAGE(INDIRECT(ADDRESS(ROW($O7)-RSI_Periods +1, MATCH("Downmove", Price_Header,0))): INDIRECT(ADDRESS(ROW($O7),MATCH("Downmove", Price_Header,0)))))</f>
        <v/>
      </c>
      <c r="R7" s="50" t="str">
        <f ca="1">IF(tbl_AAPL[[#This Row],[Avg_Upmove]]="", "", tbl_AAPL[[#This Row],[Avg_Upmove]]/tbl_AAPL[[#This Row],[Avg_Downmove]])</f>
        <v/>
      </c>
      <c r="S7" s="5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25">
      <c r="A8" s="8">
        <v>44056</v>
      </c>
      <c r="B8" s="10">
        <v>114.43</v>
      </c>
      <c r="C8" s="10">
        <v>116.042503</v>
      </c>
      <c r="D8" s="10">
        <v>113.927498</v>
      </c>
      <c r="E8" s="10">
        <v>115.010002</v>
      </c>
      <c r="F8" s="10">
        <v>115.010002</v>
      </c>
      <c r="G8">
        <v>210082000</v>
      </c>
      <c r="H8" s="10">
        <f>IF(tbl_AAPL[[#This Row],[Date]]=$A$5, $F8, EMA_Beta*$H7 + (1-EMA_Beta)*$F8)</f>
        <v>112.709623609</v>
      </c>
      <c r="I8" s="50" t="str">
        <f ca="1">IF(tbl_AAPL[[#This Row],[RS]]= "", "", 100-(100/(1+tbl_AAPL[[#This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IF(tbl_AAPL[[#This Row],[BB_Mean]]="", "", tbl_AAPL[[#This Row],[BB_Mean]]+(BB_Width*tbl_AAPL[[#This Row],[BB_Stdev]]))</f>
        <v/>
      </c>
      <c r="L8" s="10" t="str">
        <f ca="1">IF(tbl_AAPL[[#This Row],[BB_Mean]]="", "", tbl_AAPL[[#This Row],[BB_Mean]]-(BB_Width*tbl_AAPL[[#This Row],[BB_Stdev]]))</f>
        <v/>
      </c>
      <c r="M8" s="50">
        <f>IF(ROW(tbl_AAPL[[#This Row],[Adj Close]])=5, 0, $F8-$F7)</f>
        <v>2</v>
      </c>
      <c r="N8" s="50">
        <f>MAX(tbl_AAPL[[#This Row],[Move]],0)</f>
        <v>2</v>
      </c>
      <c r="O8" s="50">
        <f>MAX(-tbl_AAPL[[#This Row],[Move]],0)</f>
        <v>0</v>
      </c>
      <c r="P8" s="50" t="str">
        <f ca="1">IF(ROW($N8)-5&lt;RSI_Periods, "", AVERAGE(INDIRECT(ADDRESS(ROW($N8)-RSI_Periods +1, MATCH("Upmove", Price_Header,0))): INDIRECT(ADDRESS(ROW($N8),MATCH("Upmove", Price_Header,0)))))</f>
        <v/>
      </c>
      <c r="Q8" s="50" t="str">
        <f ca="1">IF(ROW($O8)-5&lt;RSI_Periods, "", AVERAGE(INDIRECT(ADDRESS(ROW($O8)-RSI_Periods +1, MATCH("Downmove", Price_Header,0))): INDIRECT(ADDRESS(ROW($O8),MATCH("Downmove", Price_Header,0)))))</f>
        <v/>
      </c>
      <c r="R8" s="50" t="str">
        <f ca="1">IF(tbl_AAPL[[#This Row],[Avg_Upmove]]="", "", tbl_AAPL[[#This Row],[Avg_Upmove]]/tbl_AAPL[[#This Row],[Avg_Downmove]])</f>
        <v/>
      </c>
      <c r="S8" s="5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25">
      <c r="A9" s="8">
        <v>44057</v>
      </c>
      <c r="B9" s="10">
        <v>114.83000199999999</v>
      </c>
      <c r="C9" s="10">
        <v>115</v>
      </c>
      <c r="D9" s="10">
        <v>113.04499800000001</v>
      </c>
      <c r="E9" s="10">
        <v>114.907501</v>
      </c>
      <c r="F9" s="10">
        <v>114.907501</v>
      </c>
      <c r="G9">
        <v>165565200</v>
      </c>
      <c r="H9" s="10">
        <f>IF(tbl_AAPL[[#This Row],[Date]]=$A$5, $F9, EMA_Beta*$H8 + (1-EMA_Beta)*$F9)</f>
        <v>112.9294113481</v>
      </c>
      <c r="I9" s="50" t="str">
        <f ca="1">IF(tbl_AAPL[[#This Row],[RS]]= "", "", 100-(100/(1+tbl_AAPL[[#This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IF(tbl_AAPL[[#This Row],[BB_Mean]]="", "", tbl_AAPL[[#This Row],[BB_Mean]]+(BB_Width*tbl_AAPL[[#This Row],[BB_Stdev]]))</f>
        <v/>
      </c>
      <c r="L9" s="10" t="str">
        <f ca="1">IF(tbl_AAPL[[#This Row],[BB_Mean]]="", "", tbl_AAPL[[#This Row],[BB_Mean]]-(BB_Width*tbl_AAPL[[#This Row],[BB_Stdev]]))</f>
        <v/>
      </c>
      <c r="M9" s="50">
        <f>IF(ROW(tbl_AAPL[[#This Row],[Adj Close]])=5, 0, $F9-$F8)</f>
        <v>-0.10250100000000373</v>
      </c>
      <c r="N9" s="50">
        <f>MAX(tbl_AAPL[[#This Row],[Move]],0)</f>
        <v>0</v>
      </c>
      <c r="O9" s="50">
        <f>MAX(-tbl_AAPL[[#This Row],[Move]],0)</f>
        <v>0.10250100000000373</v>
      </c>
      <c r="P9" s="50" t="str">
        <f ca="1">IF(ROW($N9)-5&lt;RSI_Periods, "", AVERAGE(INDIRECT(ADDRESS(ROW($N9)-RSI_Periods +1, MATCH("Upmove", Price_Header,0))): INDIRECT(ADDRESS(ROW($N9),MATCH("Upmove", Price_Header,0)))))</f>
        <v/>
      </c>
      <c r="Q9" s="50" t="str">
        <f ca="1">IF(ROW($O9)-5&lt;RSI_Periods, "", AVERAGE(INDIRECT(ADDRESS(ROW($O9)-RSI_Periods +1, MATCH("Downmove", Price_Header,0))): INDIRECT(ADDRESS(ROW($O9),MATCH("Downmove", Price_Header,0)))))</f>
        <v/>
      </c>
      <c r="R9" s="50" t="str">
        <f ca="1">IF(tbl_AAPL[[#This Row],[Avg_Upmove]]="", "", tbl_AAPL[[#This Row],[Avg_Upmove]]/tbl_AAPL[[#This Row],[Avg_Downmove]])</f>
        <v/>
      </c>
      <c r="S9" s="5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25">
      <c r="A10" s="8">
        <v>44060</v>
      </c>
      <c r="B10" s="10">
        <v>116.0625</v>
      </c>
      <c r="C10" s="10">
        <v>116.087502</v>
      </c>
      <c r="D10" s="10">
        <v>113.962502</v>
      </c>
      <c r="E10" s="10">
        <v>114.60749800000001</v>
      </c>
      <c r="F10" s="10">
        <v>114.60749800000001</v>
      </c>
      <c r="G10">
        <v>119561600</v>
      </c>
      <c r="H10" s="10">
        <f>IF(tbl_AAPL[[#This Row],[Date]]=$A$5, $F10, EMA_Beta*$H9 + (1-EMA_Beta)*$F10)</f>
        <v>113.09722001329001</v>
      </c>
      <c r="I10" s="50" t="str">
        <f ca="1">IF(tbl_AAPL[[#This Row],[RS]]= "", "", 100-(100/(1+tbl_AAPL[[#This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IF(tbl_AAPL[[#This Row],[BB_Mean]]="", "", tbl_AAPL[[#This Row],[BB_Mean]]+(BB_Width*tbl_AAPL[[#This Row],[BB_Stdev]]))</f>
        <v/>
      </c>
      <c r="L10" s="10" t="str">
        <f ca="1">IF(tbl_AAPL[[#This Row],[BB_Mean]]="", "", tbl_AAPL[[#This Row],[BB_Mean]]-(BB_Width*tbl_AAPL[[#This Row],[BB_Stdev]]))</f>
        <v/>
      </c>
      <c r="M10" s="50">
        <f>IF(ROW(tbl_AAPL[[#This Row],[Adj Close]])=5, 0, $F10-$F9)</f>
        <v>-0.30000299999998958</v>
      </c>
      <c r="N10" s="50">
        <f>MAX(tbl_AAPL[[#This Row],[Move]],0)</f>
        <v>0</v>
      </c>
      <c r="O10" s="50">
        <f>MAX(-tbl_AAPL[[#This Row],[Move]],0)</f>
        <v>0.30000299999998958</v>
      </c>
      <c r="P10" s="50" t="str">
        <f ca="1">IF(ROW($N10)-5&lt;RSI_Periods, "", AVERAGE(INDIRECT(ADDRESS(ROW($N10)-RSI_Periods +1, MATCH("Upmove", Price_Header,0))): INDIRECT(ADDRESS(ROW($N10),MATCH("Upmove", Price_Header,0)))))</f>
        <v/>
      </c>
      <c r="Q10" s="50" t="str">
        <f ca="1">IF(ROW($O10)-5&lt;RSI_Periods, "", AVERAGE(INDIRECT(ADDRESS(ROW($O10)-RSI_Periods +1, MATCH("Downmove", Price_Header,0))): INDIRECT(ADDRESS(ROW($O10),MATCH("Downmove", Price_Header,0)))))</f>
        <v/>
      </c>
      <c r="R10" s="50" t="str">
        <f ca="1">IF(tbl_AAPL[[#This Row],[Avg_Upmove]]="", "", tbl_AAPL[[#This Row],[Avg_Upmove]]/tbl_AAPL[[#This Row],[Avg_Downmove]])</f>
        <v/>
      </c>
      <c r="S10" s="5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25">
      <c r="A11" s="8">
        <v>44061</v>
      </c>
      <c r="B11" s="10">
        <v>114.352501</v>
      </c>
      <c r="C11" s="10">
        <v>116</v>
      </c>
      <c r="D11" s="10">
        <v>114.00749999999999</v>
      </c>
      <c r="E11" s="10">
        <v>115.5625</v>
      </c>
      <c r="F11" s="10">
        <v>115.5625</v>
      </c>
      <c r="G11">
        <v>105633600</v>
      </c>
      <c r="H11" s="10">
        <f>IF(tbl_AAPL[[#This Row],[Date]]=$A$5, $F11, EMA_Beta*$H10 + (1-EMA_Beta)*$F11)</f>
        <v>113.34374801196101</v>
      </c>
      <c r="I11" s="50" t="str">
        <f ca="1">IF(tbl_AAPL[[#This Row],[RS]]= "", "", 100-(100/(1+tbl_AAPL[[#This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IF(tbl_AAPL[[#This Row],[BB_Mean]]="", "", tbl_AAPL[[#This Row],[BB_Mean]]+(BB_Width*tbl_AAPL[[#This Row],[BB_Stdev]]))</f>
        <v/>
      </c>
      <c r="L11" s="10" t="str">
        <f ca="1">IF(tbl_AAPL[[#This Row],[BB_Mean]]="", "", tbl_AAPL[[#This Row],[BB_Mean]]-(BB_Width*tbl_AAPL[[#This Row],[BB_Stdev]]))</f>
        <v/>
      </c>
      <c r="M11" s="50">
        <f>IF(ROW(tbl_AAPL[[#This Row],[Adj Close]])=5, 0, $F11-$F10)</f>
        <v>0.95500199999999325</v>
      </c>
      <c r="N11" s="50">
        <f>MAX(tbl_AAPL[[#This Row],[Move]],0)</f>
        <v>0.95500199999999325</v>
      </c>
      <c r="O11" s="50">
        <f>MAX(-tbl_AAPL[[#This Row],[Move]],0)</f>
        <v>0</v>
      </c>
      <c r="P11" s="50" t="str">
        <f ca="1">IF(ROW($N11)-5&lt;RSI_Periods, "", AVERAGE(INDIRECT(ADDRESS(ROW($N11)-RSI_Periods +1, MATCH("Upmove", Price_Header,0))): INDIRECT(ADDRESS(ROW($N11),MATCH("Upmove", Price_Header,0)))))</f>
        <v/>
      </c>
      <c r="Q11" s="50" t="str">
        <f ca="1">IF(ROW($O11)-5&lt;RSI_Periods, "", AVERAGE(INDIRECT(ADDRESS(ROW($O11)-RSI_Periods +1, MATCH("Downmove", Price_Header,0))): INDIRECT(ADDRESS(ROW($O11),MATCH("Downmove", Price_Header,0)))))</f>
        <v/>
      </c>
      <c r="R11" s="50" t="str">
        <f ca="1">IF(tbl_AAPL[[#This Row],[Avg_Upmove]]="", "", tbl_AAPL[[#This Row],[Avg_Upmove]]/tbl_AAPL[[#This Row],[Avg_Downmove]])</f>
        <v/>
      </c>
      <c r="S11" s="5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25">
      <c r="A12" s="8">
        <v>44062</v>
      </c>
      <c r="B12" s="10">
        <v>115.98249800000001</v>
      </c>
      <c r="C12" s="10">
        <v>117.162498</v>
      </c>
      <c r="D12" s="10">
        <v>115.610001</v>
      </c>
      <c r="E12" s="10">
        <v>115.707497</v>
      </c>
      <c r="F12" s="10">
        <v>115.707497</v>
      </c>
      <c r="G12">
        <v>145538000</v>
      </c>
      <c r="H12" s="10">
        <f>IF(tbl_AAPL[[#This Row],[Date]]=$A$5, $F12, EMA_Beta*$H11 + (1-EMA_Beta)*$F12)</f>
        <v>113.5801229107649</v>
      </c>
      <c r="I12" s="50" t="str">
        <f ca="1">IF(tbl_AAPL[[#This Row],[RS]]= "", "", 100-(100/(1+tbl_AAPL[[#This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IF(tbl_AAPL[[#This Row],[BB_Mean]]="", "", tbl_AAPL[[#This Row],[BB_Mean]]+(BB_Width*tbl_AAPL[[#This Row],[BB_Stdev]]))</f>
        <v/>
      </c>
      <c r="L12" s="10" t="str">
        <f ca="1">IF(tbl_AAPL[[#This Row],[BB_Mean]]="", "", tbl_AAPL[[#This Row],[BB_Mean]]-(BB_Width*tbl_AAPL[[#This Row],[BB_Stdev]]))</f>
        <v/>
      </c>
      <c r="M12" s="50">
        <f>IF(ROW(tbl_AAPL[[#This Row],[Adj Close]])=5, 0, $F12-$F11)</f>
        <v>0.1449970000000036</v>
      </c>
      <c r="N12" s="50">
        <f>MAX(tbl_AAPL[[#This Row],[Move]],0)</f>
        <v>0.1449970000000036</v>
      </c>
      <c r="O12" s="50">
        <f>MAX(-tbl_AAPL[[#This Row],[Move]],0)</f>
        <v>0</v>
      </c>
      <c r="P12" s="50" t="str">
        <f ca="1">IF(ROW($N12)-5&lt;RSI_Periods, "", AVERAGE(INDIRECT(ADDRESS(ROW($N12)-RSI_Periods +1, MATCH("Upmove", Price_Header,0))): INDIRECT(ADDRESS(ROW($N12),MATCH("Upmove", Price_Header,0)))))</f>
        <v/>
      </c>
      <c r="Q12" s="50" t="str">
        <f ca="1">IF(ROW($O12)-5&lt;RSI_Periods, "", AVERAGE(INDIRECT(ADDRESS(ROW($O12)-RSI_Periods +1, MATCH("Downmove", Price_Header,0))): INDIRECT(ADDRESS(ROW($O12),MATCH("Downmove", Price_Header,0)))))</f>
        <v/>
      </c>
      <c r="R12" s="50" t="str">
        <f ca="1">IF(tbl_AAPL[[#This Row],[Avg_Upmove]]="", "", tbl_AAPL[[#This Row],[Avg_Upmove]]/tbl_AAPL[[#This Row],[Avg_Downmove]])</f>
        <v/>
      </c>
      <c r="S12" s="5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25">
      <c r="A13" s="8">
        <v>44063</v>
      </c>
      <c r="B13" s="10">
        <v>115.75</v>
      </c>
      <c r="C13" s="10">
        <v>118.39250199999999</v>
      </c>
      <c r="D13" s="10">
        <v>115.73249800000001</v>
      </c>
      <c r="E13" s="10">
        <v>118.275002</v>
      </c>
      <c r="F13" s="10">
        <v>118.275002</v>
      </c>
      <c r="G13">
        <v>126907200</v>
      </c>
      <c r="H13" s="10">
        <f>IF(tbl_AAPL[[#This Row],[Date]]=$A$5, $F13, EMA_Beta*$H12 + (1-EMA_Beta)*$F13)</f>
        <v>114.04961081968841</v>
      </c>
      <c r="I13" s="50" t="str">
        <f ca="1">IF(tbl_AAPL[[#This Row],[RS]]= "", "", 100-(100/(1+tbl_AAPL[[#This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IF(tbl_AAPL[[#This Row],[BB_Mean]]="", "", tbl_AAPL[[#This Row],[BB_Mean]]+(BB_Width*tbl_AAPL[[#This Row],[BB_Stdev]]))</f>
        <v/>
      </c>
      <c r="L13" s="10" t="str">
        <f ca="1">IF(tbl_AAPL[[#This Row],[BB_Mean]]="", "", tbl_AAPL[[#This Row],[BB_Mean]]-(BB_Width*tbl_AAPL[[#This Row],[BB_Stdev]]))</f>
        <v/>
      </c>
      <c r="M13" s="50">
        <f>IF(ROW(tbl_AAPL[[#This Row],[Adj Close]])=5, 0, $F13-$F12)</f>
        <v>2.567504999999997</v>
      </c>
      <c r="N13" s="50">
        <f>MAX(tbl_AAPL[[#This Row],[Move]],0)</f>
        <v>2.567504999999997</v>
      </c>
      <c r="O13" s="50">
        <f>MAX(-tbl_AAPL[[#This Row],[Move]],0)</f>
        <v>0</v>
      </c>
      <c r="P13" s="50" t="str">
        <f ca="1">IF(ROW($N13)-5&lt;RSI_Periods, "", AVERAGE(INDIRECT(ADDRESS(ROW($N13)-RSI_Periods +1, MATCH("Upmove", Price_Header,0))): INDIRECT(ADDRESS(ROW($N13),MATCH("Upmove", Price_Header,0)))))</f>
        <v/>
      </c>
      <c r="Q13" s="50" t="str">
        <f ca="1">IF(ROW($O13)-5&lt;RSI_Periods, "", AVERAGE(INDIRECT(ADDRESS(ROW($O13)-RSI_Periods +1, MATCH("Downmove", Price_Header,0))): INDIRECT(ADDRESS(ROW($O13),MATCH("Downmove", Price_Header,0)))))</f>
        <v/>
      </c>
      <c r="R13" s="50" t="str">
        <f ca="1">IF(tbl_AAPL[[#This Row],[Avg_Upmove]]="", "", tbl_AAPL[[#This Row],[Avg_Upmove]]/tbl_AAPL[[#This Row],[Avg_Downmove]])</f>
        <v/>
      </c>
      <c r="S13" s="5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25">
      <c r="A14" s="8">
        <v>44064</v>
      </c>
      <c r="B14" s="10">
        <v>119.262497</v>
      </c>
      <c r="C14" s="10">
        <v>124.86750000000001</v>
      </c>
      <c r="D14" s="10">
        <v>119.25</v>
      </c>
      <c r="E14" s="10">
        <v>124.370003</v>
      </c>
      <c r="F14" s="10">
        <v>124.370003</v>
      </c>
      <c r="G14">
        <v>338054800</v>
      </c>
      <c r="H14" s="10">
        <f>IF(tbl_AAPL[[#This Row],[Date]]=$A$5, $F14, EMA_Beta*$H13 + (1-EMA_Beta)*$F14)</f>
        <v>115.08165003771957</v>
      </c>
      <c r="I14" s="50" t="str">
        <f ca="1">IF(tbl_AAPL[[#This Row],[RS]]= "", "", 100-(100/(1+tbl_AAPL[[#This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IF(tbl_AAPL[[#This Row],[BB_Mean]]="", "", tbl_AAPL[[#This Row],[BB_Mean]]+(BB_Width*tbl_AAPL[[#This Row],[BB_Stdev]]))</f>
        <v/>
      </c>
      <c r="L14" s="10" t="str">
        <f ca="1">IF(tbl_AAPL[[#This Row],[BB_Mean]]="", "", tbl_AAPL[[#This Row],[BB_Mean]]-(BB_Width*tbl_AAPL[[#This Row],[BB_Stdev]]))</f>
        <v/>
      </c>
      <c r="M14" s="50">
        <f>IF(ROW(tbl_AAPL[[#This Row],[Adj Close]])=5, 0, $F14-$F13)</f>
        <v>6.0950009999999963</v>
      </c>
      <c r="N14" s="50">
        <f>MAX(tbl_AAPL[[#This Row],[Move]],0)</f>
        <v>6.0950009999999963</v>
      </c>
      <c r="O14" s="50">
        <f>MAX(-tbl_AAPL[[#This Row],[Move]],0)</f>
        <v>0</v>
      </c>
      <c r="P14" s="50" t="str">
        <f ca="1">IF(ROW($N14)-5&lt;RSI_Periods, "", AVERAGE(INDIRECT(ADDRESS(ROW($N14)-RSI_Periods +1, MATCH("Upmove", Price_Header,0))): INDIRECT(ADDRESS(ROW($N14),MATCH("Upmove", Price_Header,0)))))</f>
        <v/>
      </c>
      <c r="Q14" s="50" t="str">
        <f ca="1">IF(ROW($O14)-5&lt;RSI_Periods, "", AVERAGE(INDIRECT(ADDRESS(ROW($O14)-RSI_Periods +1, MATCH("Downmove", Price_Header,0))): INDIRECT(ADDRESS(ROW($O14),MATCH("Downmove", Price_Header,0)))))</f>
        <v/>
      </c>
      <c r="R14" s="50" t="str">
        <f ca="1">IF(tbl_AAPL[[#This Row],[Avg_Upmove]]="", "", tbl_AAPL[[#This Row],[Avg_Upmove]]/tbl_AAPL[[#This Row],[Avg_Downmove]])</f>
        <v/>
      </c>
      <c r="S14" s="5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25">
      <c r="A15" s="8">
        <v>44067</v>
      </c>
      <c r="B15" s="10">
        <v>128.697495</v>
      </c>
      <c r="C15" s="10">
        <v>128.78500399999999</v>
      </c>
      <c r="D15" s="10">
        <v>123.9375</v>
      </c>
      <c r="E15" s="10">
        <v>125.85749800000001</v>
      </c>
      <c r="F15" s="10">
        <v>125.85749800000001</v>
      </c>
      <c r="G15">
        <v>345937600</v>
      </c>
      <c r="H15" s="10">
        <f>IF(tbl_AAPL[[#This Row],[Date]]=$A$5, $F15, EMA_Beta*$H14 + (1-EMA_Beta)*$F15)</f>
        <v>116.15923483394762</v>
      </c>
      <c r="I15" s="50" t="str">
        <f ca="1">IF(tbl_AAPL[[#This Row],[RS]]= "", "", 100-(100/(1+tbl_AAPL[[#This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IF(tbl_AAPL[[#This Row],[BB_Mean]]="", "", tbl_AAPL[[#This Row],[BB_Mean]]+(BB_Width*tbl_AAPL[[#This Row],[BB_Stdev]]))</f>
        <v/>
      </c>
      <c r="L15" s="10" t="str">
        <f ca="1">IF(tbl_AAPL[[#This Row],[BB_Mean]]="", "", tbl_AAPL[[#This Row],[BB_Mean]]-(BB_Width*tbl_AAPL[[#This Row],[BB_Stdev]]))</f>
        <v/>
      </c>
      <c r="M15" s="50">
        <f>IF(ROW(tbl_AAPL[[#This Row],[Adj Close]])=5, 0, $F15-$F14)</f>
        <v>1.4874950000000098</v>
      </c>
      <c r="N15" s="50">
        <f>MAX(tbl_AAPL[[#This Row],[Move]],0)</f>
        <v>1.4874950000000098</v>
      </c>
      <c r="O15" s="50">
        <f>MAX(-tbl_AAPL[[#This Row],[Move]],0)</f>
        <v>0</v>
      </c>
      <c r="P15" s="50" t="str">
        <f ca="1">IF(ROW($N15)-5&lt;RSI_Periods, "", AVERAGE(INDIRECT(ADDRESS(ROW($N15)-RSI_Periods +1, MATCH("Upmove", Price_Header,0))): INDIRECT(ADDRESS(ROW($N15),MATCH("Upmove", Price_Header,0)))))</f>
        <v/>
      </c>
      <c r="Q15" s="50" t="str">
        <f ca="1">IF(ROW($O15)-5&lt;RSI_Periods, "", AVERAGE(INDIRECT(ADDRESS(ROW($O15)-RSI_Periods +1, MATCH("Downmove", Price_Header,0))): INDIRECT(ADDRESS(ROW($O15),MATCH("Downmove", Price_Header,0)))))</f>
        <v/>
      </c>
      <c r="R15" s="50" t="str">
        <f ca="1">IF(tbl_AAPL[[#This Row],[Avg_Upmove]]="", "", tbl_AAPL[[#This Row],[Avg_Upmove]]/tbl_AAPL[[#This Row],[Avg_Downmove]])</f>
        <v/>
      </c>
      <c r="S15" s="5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25">
      <c r="A16" s="8">
        <v>44068</v>
      </c>
      <c r="B16" s="10">
        <v>124.697502</v>
      </c>
      <c r="C16" s="10">
        <v>125.18</v>
      </c>
      <c r="D16" s="10">
        <v>123.052498</v>
      </c>
      <c r="E16" s="10">
        <v>124.824997</v>
      </c>
      <c r="F16" s="10">
        <v>124.824997</v>
      </c>
      <c r="G16">
        <v>211495600</v>
      </c>
      <c r="H16" s="10">
        <f>IF(tbl_AAPL[[#This Row],[Date]]=$A$5, $F16, EMA_Beta*$H15 + (1-EMA_Beta)*$F16)</f>
        <v>117.02581105055285</v>
      </c>
      <c r="I16" s="50" t="str">
        <f ca="1">IF(tbl_AAPL[[#This Row],[RS]]= "", "", 100-(100/(1+tbl_AAPL[[#This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IF(tbl_AAPL[[#This Row],[BB_Mean]]="", "", tbl_AAPL[[#This Row],[BB_Mean]]+(BB_Width*tbl_AAPL[[#This Row],[BB_Stdev]]))</f>
        <v/>
      </c>
      <c r="L16" s="10" t="str">
        <f ca="1">IF(tbl_AAPL[[#This Row],[BB_Mean]]="", "", tbl_AAPL[[#This Row],[BB_Mean]]-(BB_Width*tbl_AAPL[[#This Row],[BB_Stdev]]))</f>
        <v/>
      </c>
      <c r="M16" s="50">
        <f>IF(ROW(tbl_AAPL[[#This Row],[Adj Close]])=5, 0, $F16-$F15)</f>
        <v>-1.0325010000000105</v>
      </c>
      <c r="N16" s="50">
        <f>MAX(tbl_AAPL[[#This Row],[Move]],0)</f>
        <v>0</v>
      </c>
      <c r="O16" s="50">
        <f>MAX(-tbl_AAPL[[#This Row],[Move]],0)</f>
        <v>1.0325010000000105</v>
      </c>
      <c r="P16" s="50" t="str">
        <f ca="1">IF(ROW($N16)-5&lt;RSI_Periods, "", AVERAGE(INDIRECT(ADDRESS(ROW($N16)-RSI_Periods +1, MATCH("Upmove", Price_Header,0))): INDIRECT(ADDRESS(ROW($N16),MATCH("Upmove", Price_Header,0)))))</f>
        <v/>
      </c>
      <c r="Q16" s="50" t="str">
        <f ca="1">IF(ROW($O16)-5&lt;RSI_Periods, "", AVERAGE(INDIRECT(ADDRESS(ROW($O16)-RSI_Periods +1, MATCH("Downmove", Price_Header,0))): INDIRECT(ADDRESS(ROW($O16),MATCH("Downmove", Price_Header,0)))))</f>
        <v/>
      </c>
      <c r="R16" s="50" t="str">
        <f ca="1">IF(tbl_AAPL[[#This Row],[Avg_Upmove]]="", "", tbl_AAPL[[#This Row],[Avg_Upmove]]/tbl_AAPL[[#This Row],[Avg_Downmove]])</f>
        <v/>
      </c>
      <c r="S16" s="5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25">
      <c r="A17" s="8">
        <v>44069</v>
      </c>
      <c r="B17" s="10">
        <v>126.18</v>
      </c>
      <c r="C17" s="10">
        <v>126.99250000000001</v>
      </c>
      <c r="D17" s="10">
        <v>125.082497</v>
      </c>
      <c r="E17" s="10">
        <v>126.522499</v>
      </c>
      <c r="F17" s="10">
        <v>126.522499</v>
      </c>
      <c r="G17">
        <v>163022400</v>
      </c>
      <c r="H17" s="10">
        <f>IF(tbl_AAPL[[#This Row],[Date]]=$A$5, $F17, EMA_Beta*$H16 + (1-EMA_Beta)*$F17)</f>
        <v>117.97547984549756</v>
      </c>
      <c r="I17" s="50" t="str">
        <f ca="1">IF(tbl_AAPL[[#This Row],[RS]]= "", "", 100-(100/(1+tbl_AAPL[[#This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IF(tbl_AAPL[[#This Row],[BB_Mean]]="", "", tbl_AAPL[[#This Row],[BB_Mean]]+(BB_Width*tbl_AAPL[[#This Row],[BB_Stdev]]))</f>
        <v/>
      </c>
      <c r="L17" s="10" t="str">
        <f ca="1">IF(tbl_AAPL[[#This Row],[BB_Mean]]="", "", tbl_AAPL[[#This Row],[BB_Mean]]-(BB_Width*tbl_AAPL[[#This Row],[BB_Stdev]]))</f>
        <v/>
      </c>
      <c r="M17" s="50">
        <f>IF(ROW(tbl_AAPL[[#This Row],[Adj Close]])=5, 0, $F17-$F16)</f>
        <v>1.6975020000000001</v>
      </c>
      <c r="N17" s="50">
        <f>MAX(tbl_AAPL[[#This Row],[Move]],0)</f>
        <v>1.6975020000000001</v>
      </c>
      <c r="O17" s="50">
        <f>MAX(-tbl_AAPL[[#This Row],[Move]],0)</f>
        <v>0</v>
      </c>
      <c r="P17" s="50" t="str">
        <f ca="1">IF(ROW($N17)-5&lt;RSI_Periods, "", AVERAGE(INDIRECT(ADDRESS(ROW($N17)-RSI_Periods +1, MATCH("Upmove", Price_Header,0))): INDIRECT(ADDRESS(ROW($N17),MATCH("Upmove", Price_Header,0)))))</f>
        <v/>
      </c>
      <c r="Q17" s="50" t="str">
        <f ca="1">IF(ROW($O17)-5&lt;RSI_Periods, "", AVERAGE(INDIRECT(ADDRESS(ROW($O17)-RSI_Periods +1, MATCH("Downmove", Price_Header,0))): INDIRECT(ADDRESS(ROW($O17),MATCH("Downmove", Price_Header,0)))))</f>
        <v/>
      </c>
      <c r="R17" s="50" t="str">
        <f ca="1">IF(tbl_AAPL[[#This Row],[Avg_Upmove]]="", "", tbl_AAPL[[#This Row],[Avg_Upmove]]/tbl_AAPL[[#This Row],[Avg_Downmove]])</f>
        <v/>
      </c>
      <c r="S17" s="5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25">
      <c r="A18" s="8">
        <v>44070</v>
      </c>
      <c r="B18" s="10">
        <v>127.14250199999999</v>
      </c>
      <c r="C18" s="10">
        <v>127.485001</v>
      </c>
      <c r="D18" s="10">
        <v>123.832497</v>
      </c>
      <c r="E18" s="10">
        <v>125.010002</v>
      </c>
      <c r="F18" s="10">
        <v>125.010002</v>
      </c>
      <c r="G18">
        <v>155552400</v>
      </c>
      <c r="H18" s="10">
        <f>IF(tbl_AAPL[[#This Row],[Date]]=$A$5, $F18, EMA_Beta*$H17 + (1-EMA_Beta)*$F18)</f>
        <v>118.6789320609478</v>
      </c>
      <c r="I18" s="50" t="str">
        <f ca="1">IF(tbl_AAPL[[#This Row],[RS]]= "", "", 100-(100/(1+tbl_AAPL[[#This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118.26910728571428</v>
      </c>
      <c r="K18" s="10">
        <f ca="1">IF(tbl_AAPL[[#This Row],[BB_Mean]]="", "", tbl_AAPL[[#This Row],[BB_Mean]]+(BB_Width*tbl_AAPL[[#This Row],[BB_Stdev]]))</f>
        <v>129.87855056558726</v>
      </c>
      <c r="L18" s="10">
        <f ca="1">IF(tbl_AAPL[[#This Row],[BB_Mean]]="", "", tbl_AAPL[[#This Row],[BB_Mean]]-(BB_Width*tbl_AAPL[[#This Row],[BB_Stdev]]))</f>
        <v>106.65966400584131</v>
      </c>
      <c r="M18" s="50">
        <f>IF(ROW(tbl_AAPL[[#This Row],[Adj Close]])=5, 0, $F18-$F17)</f>
        <v>-1.5124969999999962</v>
      </c>
      <c r="N18" s="50">
        <f>MAX(tbl_AAPL[[#This Row],[Move]],0)</f>
        <v>0</v>
      </c>
      <c r="O18" s="50">
        <f>MAX(-tbl_AAPL[[#This Row],[Move]],0)</f>
        <v>1.5124969999999962</v>
      </c>
      <c r="P18" s="50" t="str">
        <f ca="1">IF(ROW($N18)-5&lt;RSI_Periods, "", AVERAGE(INDIRECT(ADDRESS(ROW($N18)-RSI_Periods +1, MATCH("Upmove", Price_Header,0))): INDIRECT(ADDRESS(ROW($N18),MATCH("Upmove", Price_Header,0)))))</f>
        <v/>
      </c>
      <c r="Q18" s="50" t="str">
        <f ca="1">IF(ROW($O18)-5&lt;RSI_Periods, "", AVERAGE(INDIRECT(ADDRESS(ROW($O18)-RSI_Periods +1, MATCH("Downmove", Price_Header,0))): INDIRECT(ADDRESS(ROW($O18),MATCH("Downmove", Price_Header,0)))))</f>
        <v/>
      </c>
      <c r="R18" s="50" t="str">
        <f ca="1">IF(tbl_AAPL[[#This Row],[Avg_Upmove]]="", "", tbl_AAPL[[#This Row],[Avg_Upmove]]/tbl_AAPL[[#This Row],[Avg_Downmove]])</f>
        <v/>
      </c>
      <c r="S18" s="50">
        <f ca="1">IF(ROW($N18)-4&lt;BB_Periods, "", _xlfn.STDEV.S(INDIRECT(ADDRESS(ROW($F18)-RSI_Periods +1, MATCH("Adj Close", Price_Header,0))): INDIRECT(ADDRESS(ROW($F18),MATCH("Adj Close", Price_Header,0)))))</f>
        <v>5.8047216399364903</v>
      </c>
    </row>
    <row r="19" spans="1:19" x14ac:dyDescent="0.25">
      <c r="A19" s="8">
        <v>44071</v>
      </c>
      <c r="B19" s="10">
        <v>126.012497</v>
      </c>
      <c r="C19" s="10">
        <v>126.442497</v>
      </c>
      <c r="D19" s="10">
        <v>124.577499</v>
      </c>
      <c r="E19" s="10">
        <v>124.807503</v>
      </c>
      <c r="F19" s="10">
        <v>124.807503</v>
      </c>
      <c r="G19">
        <v>187630000</v>
      </c>
      <c r="H19" s="10">
        <f>IF(tbl_AAPL[[#This Row],[Date]]=$A$5, $F19, EMA_Beta*$H18 + (1-EMA_Beta)*$F19)</f>
        <v>119.29178915485302</v>
      </c>
      <c r="I19" s="50">
        <f ca="1">IF(tbl_AAPL[[#This Row],[RS]]= "", "", 100-(100/(1+tbl_AAPL[[#This Row],[RS]])))</f>
        <v>74.07813257050843</v>
      </c>
      <c r="J19" s="10">
        <f ca="1">IF(ROW($N19)-4&lt;BB_Periods, "", AVERAGE(INDIRECT(ADDRESS(ROW($F19)-RSI_Periods +1, MATCH("Adj Close", Price_Header,0))): INDIRECT(ADDRESS(ROW($F19),MATCH("Adj Close", Price_Header,0)))))</f>
        <v>119.13196457142855</v>
      </c>
      <c r="K19" s="10">
        <f ca="1">IF(tbl_AAPL[[#This Row],[BB_Mean]]="", "", tbl_AAPL[[#This Row],[BB_Mean]]+(BB_Width*tbl_AAPL[[#This Row],[BB_Stdev]]))</f>
        <v>130.76282820331485</v>
      </c>
      <c r="L19" s="10">
        <f ca="1">IF(tbl_AAPL[[#This Row],[BB_Mean]]="", "", tbl_AAPL[[#This Row],[BB_Mean]]-(BB_Width*tbl_AAPL[[#This Row],[BB_Stdev]]))</f>
        <v>107.50110093954227</v>
      </c>
      <c r="M19" s="50">
        <f>IF(ROW(tbl_AAPL[[#This Row],[Adj Close]])=5, 0, $F19-$F18)</f>
        <v>-0.20249900000000309</v>
      </c>
      <c r="N19" s="50">
        <f>MAX(tbl_AAPL[[#This Row],[Move]],0)</f>
        <v>0</v>
      </c>
      <c r="O19" s="50">
        <f>MAX(-tbl_AAPL[[#This Row],[Move]],0)</f>
        <v>0.20249900000000309</v>
      </c>
      <c r="P19" s="50">
        <f ca="1">IF(ROW($N19)-5&lt;RSI_Periods, "", AVERAGE(INDIRECT(ADDRESS(ROW($N19)-RSI_Periods +1, MATCH("Upmove", Price_Header,0))): INDIRECT(ADDRESS(ROW($N19),MATCH("Upmove", Price_Header,0)))))</f>
        <v>1.3273217142857143</v>
      </c>
      <c r="Q19" s="50">
        <f ca="1">IF(ROW($O19)-5&lt;RSI_Periods, "", AVERAGE(INDIRECT(ADDRESS(ROW($O19)-RSI_Periods +1, MATCH("Downmove", Price_Header,0))): INDIRECT(ADDRESS(ROW($O19),MATCH("Downmove", Price_Header,0)))))</f>
        <v>0.46446442857142906</v>
      </c>
      <c r="R19" s="50">
        <f ca="1">IF(tbl_AAPL[[#This Row],[Avg_Upmove]]="", "", tbl_AAPL[[#This Row],[Avg_Upmove]]/tbl_AAPL[[#This Row],[Avg_Downmove]])</f>
        <v>2.8577467565561658</v>
      </c>
      <c r="S19" s="50">
        <f ca="1">IF(ROW($N19)-4&lt;BB_Periods, "", _xlfn.STDEV.S(INDIRECT(ADDRESS(ROW($F19)-RSI_Periods +1, MATCH("Adj Close", Price_Header,0))): INDIRECT(ADDRESS(ROW($F19),MATCH("Adj Close", Price_Header,0)))))</f>
        <v>5.8154318159431453</v>
      </c>
    </row>
    <row r="20" spans="1:19" x14ac:dyDescent="0.25">
      <c r="A20" s="8">
        <v>44074</v>
      </c>
      <c r="B20" s="10">
        <v>127.58000199999999</v>
      </c>
      <c r="C20" s="10">
        <v>131</v>
      </c>
      <c r="D20" s="10">
        <v>126</v>
      </c>
      <c r="E20" s="10">
        <v>129.03999300000001</v>
      </c>
      <c r="F20" s="10">
        <v>129.03999300000001</v>
      </c>
      <c r="G20">
        <v>225702700</v>
      </c>
      <c r="H20" s="10">
        <f>IF(tbl_AAPL[[#This Row],[Date]]=$A$5, $F20, EMA_Beta*$H19 + (1-EMA_Beta)*$F20)</f>
        <v>120.26660953936772</v>
      </c>
      <c r="I20" s="50">
        <f ca="1">IF(tbl_AAPL[[#This Row],[RS]]= "", "", 100-(100/(1+tbl_AAPL[[#This Row],[RS]])))</f>
        <v>87.868278041262855</v>
      </c>
      <c r="J20" s="10">
        <f ca="1">IF(ROW($N20)-4&lt;BB_Periods, "", AVERAGE(INDIRECT(ADDRESS(ROW($F20)-RSI_Periods +1, MATCH("Adj Close", Price_Header,0))): INDIRECT(ADDRESS(ROW($F20),MATCH("Adj Close", Price_Header,0)))))</f>
        <v>120.53660692857143</v>
      </c>
      <c r="K20" s="10">
        <f ca="1">IF(tbl_AAPL[[#This Row],[BB_Mean]]="", "", tbl_AAPL[[#This Row],[BB_Mean]]+(BB_Width*tbl_AAPL[[#This Row],[BB_Stdev]]))</f>
        <v>131.83668999496507</v>
      </c>
      <c r="L20" s="10">
        <f ca="1">IF(tbl_AAPL[[#This Row],[BB_Mean]]="", "", tbl_AAPL[[#This Row],[BB_Mean]]-(BB_Width*tbl_AAPL[[#This Row],[BB_Stdev]]))</f>
        <v>109.23652386217778</v>
      </c>
      <c r="M20" s="50">
        <f>IF(ROW(tbl_AAPL[[#This Row],[Adj Close]])=5, 0, $F20-$F19)</f>
        <v>4.2324900000000127</v>
      </c>
      <c r="N20" s="50">
        <f>MAX(tbl_AAPL[[#This Row],[Move]],0)</f>
        <v>4.2324900000000127</v>
      </c>
      <c r="O20" s="50">
        <f>MAX(-tbl_AAPL[[#This Row],[Move]],0)</f>
        <v>0</v>
      </c>
      <c r="P20" s="50">
        <f ca="1">IF(ROW($N20)-5&lt;RSI_Periods, "", AVERAGE(INDIRECT(ADDRESS(ROW($N20)-RSI_Periods +1, MATCH("Upmove", Price_Header,0))): INDIRECT(ADDRESS(ROW($N20),MATCH("Upmove", Price_Header,0)))))</f>
        <v>1.6296424285714295</v>
      </c>
      <c r="Q20" s="50">
        <f ca="1">IF(ROW($O20)-5&lt;RSI_Periods, "", AVERAGE(INDIRECT(ADDRESS(ROW($O20)-RSI_Periods +1, MATCH("Downmove", Price_Header,0))): INDIRECT(ADDRESS(ROW($O20),MATCH("Downmove", Price_Header,0)))))</f>
        <v>0.22500007142857165</v>
      </c>
      <c r="R20" s="50">
        <f ca="1">IF(tbl_AAPL[[#This Row],[Avg_Upmove]]="", "", tbl_AAPL[[#This Row],[Avg_Upmove]]/tbl_AAPL[[#This Row],[Avg_Downmove]])</f>
        <v>7.2428529387768421</v>
      </c>
      <c r="S20" s="50">
        <f ca="1">IF(ROW($N20)-4&lt;BB_Periods, "", _xlfn.STDEV.S(INDIRECT(ADDRESS(ROW($F20)-RSI_Periods +1, MATCH("Adj Close", Price_Header,0))): INDIRECT(ADDRESS(ROW($F20),MATCH("Adj Close", Price_Header,0)))))</f>
        <v>5.650041533196827</v>
      </c>
    </row>
    <row r="21" spans="1:19" x14ac:dyDescent="0.25">
      <c r="A21" s="8">
        <v>44075</v>
      </c>
      <c r="B21" s="10">
        <v>132.759995</v>
      </c>
      <c r="C21" s="10">
        <v>134.800003</v>
      </c>
      <c r="D21" s="10">
        <v>130.529999</v>
      </c>
      <c r="E21" s="10">
        <v>134.179993</v>
      </c>
      <c r="F21" s="10">
        <v>134.179993</v>
      </c>
      <c r="G21">
        <v>152470100</v>
      </c>
      <c r="H21" s="10">
        <f>IF(tbl_AAPL[[#This Row],[Date]]=$A$5, $F21, EMA_Beta*$H20 + (1-EMA_Beta)*$F21)</f>
        <v>121.65794788543094</v>
      </c>
      <c r="I21" s="50">
        <f ca="1">IF(tbl_AAPL[[#This Row],[RS]]= "", "", 100-(100/(1+tbl_AAPL[[#This Row],[RS]])))</f>
        <v>88.532938468531825</v>
      </c>
      <c r="J21" s="10">
        <f ca="1">IF(ROW($N21)-4&lt;BB_Periods, "", AVERAGE(INDIRECT(ADDRESS(ROW($F21)-RSI_Periods +1, MATCH("Adj Close", Price_Header,0))): INDIRECT(ADDRESS(ROW($F21),MATCH("Adj Close", Price_Header,0)))))</f>
        <v>122.04874914285713</v>
      </c>
      <c r="K21" s="10">
        <f ca="1">IF(tbl_AAPL[[#This Row],[BB_Mean]]="", "", tbl_AAPL[[#This Row],[BB_Mean]]+(BB_Width*tbl_AAPL[[#This Row],[BB_Stdev]]))</f>
        <v>134.60604877816147</v>
      </c>
      <c r="L21" s="10">
        <f ca="1">IF(tbl_AAPL[[#This Row],[BB_Mean]]="", "", tbl_AAPL[[#This Row],[BB_Mean]]-(BB_Width*tbl_AAPL[[#This Row],[BB_Stdev]]))</f>
        <v>109.49144950755282</v>
      </c>
      <c r="M21" s="50">
        <f>IF(ROW(tbl_AAPL[[#This Row],[Adj Close]])=5, 0, $F21-$F20)</f>
        <v>5.1399999999999864</v>
      </c>
      <c r="N21" s="50">
        <f>MAX(tbl_AAPL[[#This Row],[Move]],0)</f>
        <v>5.1399999999999864</v>
      </c>
      <c r="O21" s="50">
        <f>MAX(-tbl_AAPL[[#This Row],[Move]],0)</f>
        <v>0</v>
      </c>
      <c r="P21" s="50">
        <f ca="1">IF(ROW($N21)-5&lt;RSI_Periods, "", AVERAGE(INDIRECT(ADDRESS(ROW($N21)-RSI_Periods +1, MATCH("Upmove", Price_Header,0))): INDIRECT(ADDRESS(ROW($N21),MATCH("Upmove", Price_Header,0)))))</f>
        <v>1.7371422857142857</v>
      </c>
      <c r="Q21" s="50">
        <f ca="1">IF(ROW($O21)-5&lt;RSI_Periods, "", AVERAGE(INDIRECT(ADDRESS(ROW($O21)-RSI_Periods +1, MATCH("Downmove", Price_Header,0))): INDIRECT(ADDRESS(ROW($O21),MATCH("Downmove", Price_Header,0)))))</f>
        <v>0.22500007142857165</v>
      </c>
      <c r="R21" s="50">
        <f ca="1">IF(tbl_AAPL[[#This Row],[Avg_Upmove]]="", "", tbl_AAPL[[#This Row],[Avg_Upmove]]/tbl_AAPL[[#This Row],[Avg_Downmove]])</f>
        <v>7.7206299299587453</v>
      </c>
      <c r="S21" s="50">
        <f ca="1">IF(ROW($N21)-4&lt;BB_Periods, "", _xlfn.STDEV.S(INDIRECT(ADDRESS(ROW($F21)-RSI_Periods +1, MATCH("Adj Close", Price_Header,0))): INDIRECT(ADDRESS(ROW($F21),MATCH("Adj Close", Price_Header,0)))))</f>
        <v>6.2786498176521608</v>
      </c>
    </row>
    <row r="22" spans="1:19" x14ac:dyDescent="0.25">
      <c r="A22" s="8">
        <v>44076</v>
      </c>
      <c r="B22" s="10">
        <v>137.58999600000001</v>
      </c>
      <c r="C22" s="10">
        <v>137.979996</v>
      </c>
      <c r="D22" s="10">
        <v>127</v>
      </c>
      <c r="E22" s="10">
        <v>131.39999399999999</v>
      </c>
      <c r="F22" s="10">
        <v>131.39999399999999</v>
      </c>
      <c r="G22">
        <v>200119000</v>
      </c>
      <c r="H22" s="10">
        <f>IF(tbl_AAPL[[#This Row],[Date]]=$A$5, $F22, EMA_Beta*$H21 + (1-EMA_Beta)*$F22)</f>
        <v>122.63215249688784</v>
      </c>
      <c r="I22" s="50">
        <f ca="1">IF(tbl_AAPL[[#This Row],[RS]]= "", "", 100-(100/(1+tbl_AAPL[[#This Row],[RS]])))</f>
        <v>79.008843613123844</v>
      </c>
      <c r="J22" s="10">
        <f ca="1">IF(ROW($N22)-4&lt;BB_Periods, "", AVERAGE(INDIRECT(ADDRESS(ROW($F22)-RSI_Periods +1, MATCH("Adj Close", Price_Header,0))): INDIRECT(ADDRESS(ROW($F22),MATCH("Adj Close", Price_Header,0)))))</f>
        <v>123.21946285714284</v>
      </c>
      <c r="K22" s="10">
        <f ca="1">IF(tbl_AAPL[[#This Row],[BB_Mean]]="", "", tbl_AAPL[[#This Row],[BB_Mean]]+(BB_Width*tbl_AAPL[[#This Row],[BB_Stdev]]))</f>
        <v>136.00397989384811</v>
      </c>
      <c r="L22" s="10">
        <f ca="1">IF(tbl_AAPL[[#This Row],[BB_Mean]]="", "", tbl_AAPL[[#This Row],[BB_Mean]]-(BB_Width*tbl_AAPL[[#This Row],[BB_Stdev]]))</f>
        <v>110.43494582043758</v>
      </c>
      <c r="M22" s="50">
        <f>IF(ROW(tbl_AAPL[[#This Row],[Adj Close]])=5, 0, $F22-$F21)</f>
        <v>-2.7799990000000037</v>
      </c>
      <c r="N22" s="50">
        <f>MAX(tbl_AAPL[[#This Row],[Move]],0)</f>
        <v>0</v>
      </c>
      <c r="O22" s="50">
        <f>MAX(-tbl_AAPL[[#This Row],[Move]],0)</f>
        <v>2.7799990000000037</v>
      </c>
      <c r="P22" s="50">
        <f ca="1">IF(ROW($N22)-5&lt;RSI_Periods, "", AVERAGE(INDIRECT(ADDRESS(ROW($N22)-RSI_Periods +1, MATCH("Upmove", Price_Header,0))): INDIRECT(ADDRESS(ROW($N22),MATCH("Upmove", Price_Header,0)))))</f>
        <v>1.5942851428571427</v>
      </c>
      <c r="Q22" s="50">
        <f ca="1">IF(ROW($O22)-5&lt;RSI_Periods, "", AVERAGE(INDIRECT(ADDRESS(ROW($O22)-RSI_Periods +1, MATCH("Downmove", Price_Header,0))): INDIRECT(ADDRESS(ROW($O22),MATCH("Downmove", Price_Header,0)))))</f>
        <v>0.42357142857142904</v>
      </c>
      <c r="R22" s="50">
        <f ca="1">IF(tbl_AAPL[[#This Row],[Avg_Upmove]]="", "", tbl_AAPL[[#This Row],[Avg_Upmove]]/tbl_AAPL[[#This Row],[Avg_Downmove]])</f>
        <v>3.7639109612141608</v>
      </c>
      <c r="S22" s="50">
        <f ca="1">IF(ROW($N22)-4&lt;BB_Periods, "", _xlfn.STDEV.S(INDIRECT(ADDRESS(ROW($F22)-RSI_Periods +1, MATCH("Adj Close", Price_Header,0))): INDIRECT(ADDRESS(ROW($F22),MATCH("Adj Close", Price_Header,0)))))</f>
        <v>6.3922585183526337</v>
      </c>
    </row>
    <row r="23" spans="1:19" x14ac:dyDescent="0.25">
      <c r="A23" s="8">
        <v>44077</v>
      </c>
      <c r="B23" s="10">
        <v>126.910004</v>
      </c>
      <c r="C23" s="10">
        <v>128.83999600000001</v>
      </c>
      <c r="D23" s="10">
        <v>120.5</v>
      </c>
      <c r="E23" s="10">
        <v>120.879997</v>
      </c>
      <c r="F23" s="10">
        <v>120.879997</v>
      </c>
      <c r="G23">
        <v>257599600</v>
      </c>
      <c r="H23" s="10">
        <f>IF(tbl_AAPL[[#This Row],[Date]]=$A$5, $F23, EMA_Beta*$H22 + (1-EMA_Beta)*$F23)</f>
        <v>122.45693694719905</v>
      </c>
      <c r="I23" s="50">
        <f ca="1">IF(tbl_AAPL[[#This Row],[RS]]= "", "", 100-(100/(1+tbl_AAPL[[#This Row],[RS]])))</f>
        <v>57.722891127553993</v>
      </c>
      <c r="J23" s="10">
        <f ca="1">IF(ROW($N23)-4&lt;BB_Periods, "", AVERAGE(INDIRECT(ADDRESS(ROW($F23)-RSI_Periods +1, MATCH("Adj Close", Price_Header,0))): INDIRECT(ADDRESS(ROW($F23),MATCH("Adj Close", Price_Header,0)))))</f>
        <v>123.64606971428573</v>
      </c>
      <c r="K23" s="10">
        <f ca="1">IF(tbl_AAPL[[#This Row],[BB_Mean]]="", "", tbl_AAPL[[#This Row],[BB_Mean]]+(BB_Width*tbl_AAPL[[#This Row],[BB_Stdev]]))</f>
        <v>135.60792034786445</v>
      </c>
      <c r="L23" s="10">
        <f ca="1">IF(tbl_AAPL[[#This Row],[BB_Mean]]="", "", tbl_AAPL[[#This Row],[BB_Mean]]-(BB_Width*tbl_AAPL[[#This Row],[BB_Stdev]]))</f>
        <v>111.68421908070701</v>
      </c>
      <c r="M23" s="50">
        <f>IF(ROW(tbl_AAPL[[#This Row],[Adj Close]])=5, 0, $F23-$F22)</f>
        <v>-10.519996999999989</v>
      </c>
      <c r="N23" s="50">
        <f>MAX(tbl_AAPL[[#This Row],[Move]],0)</f>
        <v>0</v>
      </c>
      <c r="O23" s="50">
        <f>MAX(-tbl_AAPL[[#This Row],[Move]],0)</f>
        <v>10.519996999999989</v>
      </c>
      <c r="P23" s="50">
        <f ca="1">IF(ROW($N23)-5&lt;RSI_Periods, "", AVERAGE(INDIRECT(ADDRESS(ROW($N23)-RSI_Periods +1, MATCH("Upmove", Price_Header,0))): INDIRECT(ADDRESS(ROW($N23),MATCH("Upmove", Price_Header,0)))))</f>
        <v>1.5942851428571427</v>
      </c>
      <c r="Q23" s="50">
        <f ca="1">IF(ROW($O23)-5&lt;RSI_Periods, "", AVERAGE(INDIRECT(ADDRESS(ROW($O23)-RSI_Periods +1, MATCH("Downmove", Price_Header,0))): INDIRECT(ADDRESS(ROW($O23),MATCH("Downmove", Price_Header,0)))))</f>
        <v>1.1676782857142851</v>
      </c>
      <c r="R23" s="50">
        <f ca="1">IF(tbl_AAPL[[#This Row],[Avg_Upmove]]="", "", tbl_AAPL[[#This Row],[Avg_Upmove]]/tbl_AAPL[[#This Row],[Avg_Downmove]])</f>
        <v>1.3653462279483053</v>
      </c>
      <c r="S23" s="50">
        <f ca="1">IF(ROW($N23)-4&lt;BB_Periods, "", _xlfn.STDEV.S(INDIRECT(ADDRESS(ROW($F23)-RSI_Periods +1, MATCH("Adj Close", Price_Header,0))): INDIRECT(ADDRESS(ROW($F23),MATCH("Adj Close", Price_Header,0)))))</f>
        <v>5.9809253167893583</v>
      </c>
    </row>
    <row r="24" spans="1:19" x14ac:dyDescent="0.25">
      <c r="A24" s="8">
        <v>44078</v>
      </c>
      <c r="B24" s="10">
        <v>120.07</v>
      </c>
      <c r="C24" s="10">
        <v>123.699997</v>
      </c>
      <c r="D24" s="10">
        <v>110.889999</v>
      </c>
      <c r="E24" s="10">
        <v>120.959999</v>
      </c>
      <c r="F24" s="10">
        <v>120.959999</v>
      </c>
      <c r="G24">
        <v>332607200</v>
      </c>
      <c r="H24" s="10">
        <f>IF(tbl_AAPL[[#This Row],[Date]]=$A$5, $F24, EMA_Beta*$H23 + (1-EMA_Beta)*$F24)</f>
        <v>122.30724315247915</v>
      </c>
      <c r="I24" s="50">
        <f ca="1">IF(tbl_AAPL[[#This Row],[RS]]= "", "", 100-(100/(1+tbl_AAPL[[#This Row],[RS]])))</f>
        <v>58.261269455660376</v>
      </c>
      <c r="J24" s="10">
        <f ca="1">IF(ROW($N24)-4&lt;BB_Periods, "", AVERAGE(INDIRECT(ADDRESS(ROW($F24)-RSI_Periods +1, MATCH("Adj Close", Price_Header,0))): INDIRECT(ADDRESS(ROW($F24),MATCH("Adj Close", Price_Header,0)))))</f>
        <v>124.09981978571427</v>
      </c>
      <c r="K24" s="10">
        <f ca="1">IF(tbl_AAPL[[#This Row],[BB_Mean]]="", "", tbl_AAPL[[#This Row],[BB_Mean]]+(BB_Width*tbl_AAPL[[#This Row],[BB_Stdev]]))</f>
        <v>135.02144024663789</v>
      </c>
      <c r="L24" s="10">
        <f ca="1">IF(tbl_AAPL[[#This Row],[BB_Mean]]="", "", tbl_AAPL[[#This Row],[BB_Mean]]-(BB_Width*tbl_AAPL[[#This Row],[BB_Stdev]]))</f>
        <v>113.17819932479067</v>
      </c>
      <c r="M24" s="50">
        <f>IF(ROW(tbl_AAPL[[#This Row],[Adj Close]])=5, 0, $F24-$F23)</f>
        <v>8.0001999999993245E-2</v>
      </c>
      <c r="N24" s="50">
        <f>MAX(tbl_AAPL[[#This Row],[Move]],0)</f>
        <v>8.0001999999993245E-2</v>
      </c>
      <c r="O24" s="50">
        <f>MAX(-tbl_AAPL[[#This Row],[Move]],0)</f>
        <v>0</v>
      </c>
      <c r="P24" s="50">
        <f ca="1">IF(ROW($N24)-5&lt;RSI_Periods, "", AVERAGE(INDIRECT(ADDRESS(ROW($N24)-RSI_Periods +1, MATCH("Upmove", Price_Header,0))): INDIRECT(ADDRESS(ROW($N24),MATCH("Upmove", Price_Header,0)))))</f>
        <v>1.5999995714285709</v>
      </c>
      <c r="Q24" s="50">
        <f ca="1">IF(ROW($O24)-5&lt;RSI_Periods, "", AVERAGE(INDIRECT(ADDRESS(ROW($O24)-RSI_Periods +1, MATCH("Downmove", Price_Header,0))): INDIRECT(ADDRESS(ROW($O24),MATCH("Downmove", Price_Header,0)))))</f>
        <v>1.1462495000000001</v>
      </c>
      <c r="R24" s="50">
        <f ca="1">IF(tbl_AAPL[[#This Row],[Avg_Upmove]]="", "", tbl_AAPL[[#This Row],[Avg_Upmove]]/tbl_AAPL[[#This Row],[Avg_Downmove]])</f>
        <v>1.3958562873341018</v>
      </c>
      <c r="S24" s="50">
        <f ca="1">IF(ROW($N24)-4&lt;BB_Periods, "", _xlfn.STDEV.S(INDIRECT(ADDRESS(ROW($F24)-RSI_Periods +1, MATCH("Adj Close", Price_Header,0))): INDIRECT(ADDRESS(ROW($F24),MATCH("Adj Close", Price_Header,0)))))</f>
        <v>5.4608102304618056</v>
      </c>
    </row>
    <row r="25" spans="1:19" x14ac:dyDescent="0.25">
      <c r="A25" s="8">
        <v>44082</v>
      </c>
      <c r="B25" s="10">
        <v>113.949997</v>
      </c>
      <c r="C25" s="10">
        <v>118.989998</v>
      </c>
      <c r="D25" s="10">
        <v>112.68</v>
      </c>
      <c r="E25" s="10">
        <v>112.82</v>
      </c>
      <c r="F25" s="10">
        <v>112.82</v>
      </c>
      <c r="G25">
        <v>231366600</v>
      </c>
      <c r="H25" s="10">
        <f>IF(tbl_AAPL[[#This Row],[Date]]=$A$5, $F25, EMA_Beta*$H24 + (1-EMA_Beta)*$F25)</f>
        <v>121.35851883723123</v>
      </c>
      <c r="I25" s="50">
        <f ca="1">IF(tbl_AAPL[[#This Row],[RS]]= "", "", 100-(100/(1+tbl_AAPL[[#This Row],[RS]])))</f>
        <v>46.995013464531091</v>
      </c>
      <c r="J25" s="10">
        <f ca="1">IF(ROW($N25)-4&lt;BB_Periods, "", AVERAGE(INDIRECT(ADDRESS(ROW($F25)-RSI_Periods +1, MATCH("Adj Close", Price_Header,0))): INDIRECT(ADDRESS(ROW($F25),MATCH("Adj Close", Price_Header,0)))))</f>
        <v>123.90392692857141</v>
      </c>
      <c r="K25" s="10">
        <f ca="1">IF(tbl_AAPL[[#This Row],[BB_Mean]]="", "", tbl_AAPL[[#This Row],[BB_Mean]]+(BB_Width*tbl_AAPL[[#This Row],[BB_Stdev]]))</f>
        <v>135.55893044920501</v>
      </c>
      <c r="L25" s="10">
        <f ca="1">IF(tbl_AAPL[[#This Row],[BB_Mean]]="", "", tbl_AAPL[[#This Row],[BB_Mean]]-(BB_Width*tbl_AAPL[[#This Row],[BB_Stdev]]))</f>
        <v>112.2489234079378</v>
      </c>
      <c r="M25" s="50">
        <f>IF(ROW(tbl_AAPL[[#This Row],[Adj Close]])=5, 0, $F25-$F24)</f>
        <v>-8.1399990000000031</v>
      </c>
      <c r="N25" s="50">
        <f>MAX(tbl_AAPL[[#This Row],[Move]],0)</f>
        <v>0</v>
      </c>
      <c r="O25" s="50">
        <f>MAX(-tbl_AAPL[[#This Row],[Move]],0)</f>
        <v>8.1399990000000031</v>
      </c>
      <c r="P25" s="50">
        <f ca="1">IF(ROW($N25)-5&lt;RSI_Periods, "", AVERAGE(INDIRECT(ADDRESS(ROW($N25)-RSI_Periods +1, MATCH("Upmove", Price_Header,0))): INDIRECT(ADDRESS(ROW($N25),MATCH("Upmove", Price_Header,0)))))</f>
        <v>1.5317851428571427</v>
      </c>
      <c r="Q25" s="50">
        <f ca="1">IF(ROW($O25)-5&lt;RSI_Periods, "", AVERAGE(INDIRECT(ADDRESS(ROW($O25)-RSI_Periods +1, MATCH("Downmove", Price_Header,0))): INDIRECT(ADDRESS(ROW($O25),MATCH("Downmove", Price_Header,0)))))</f>
        <v>1.7276780000000005</v>
      </c>
      <c r="R25" s="50">
        <f ca="1">IF(tbl_AAPL[[#This Row],[Avg_Upmove]]="", "", tbl_AAPL[[#This Row],[Avg_Upmove]]/tbl_AAPL[[#This Row],[Avg_Downmove]])</f>
        <v>0.88661494957807085</v>
      </c>
      <c r="S25" s="50">
        <f ca="1">IF(ROW($N25)-4&lt;BB_Periods, "", _xlfn.STDEV.S(INDIRECT(ADDRESS(ROW($F25)-RSI_Periods +1, MATCH("Adj Close", Price_Header,0))): INDIRECT(ADDRESS(ROW($F25),MATCH("Adj Close", Price_Header,0)))))</f>
        <v>5.8275017603168049</v>
      </c>
    </row>
    <row r="26" spans="1:19" x14ac:dyDescent="0.25">
      <c r="A26" s="8">
        <v>44083</v>
      </c>
      <c r="B26" s="10">
        <v>117.260002</v>
      </c>
      <c r="C26" s="10">
        <v>119.139999</v>
      </c>
      <c r="D26" s="10">
        <v>115.260002</v>
      </c>
      <c r="E26" s="10">
        <v>117.32</v>
      </c>
      <c r="F26" s="10">
        <v>117.32</v>
      </c>
      <c r="G26">
        <v>176940500</v>
      </c>
      <c r="H26" s="10">
        <f>IF(tbl_AAPL[[#This Row],[Date]]=$A$5, $F26, EMA_Beta*$H25 + (1-EMA_Beta)*$F26)</f>
        <v>120.95466695350811</v>
      </c>
      <c r="I26" s="50">
        <f ca="1">IF(tbl_AAPL[[#This Row],[RS]]= "", "", 100-(100/(1+tbl_AAPL[[#This Row],[RS]])))</f>
        <v>51.61290664601723</v>
      </c>
      <c r="J26" s="10">
        <f ca="1">IF(ROW($N26)-4&lt;BB_Periods, "", AVERAGE(INDIRECT(ADDRESS(ROW($F26)-RSI_Periods +1, MATCH("Adj Close", Price_Header,0))): INDIRECT(ADDRESS(ROW($F26),MATCH("Adj Close", Price_Header,0)))))</f>
        <v>124.0191057142857</v>
      </c>
      <c r="K26" s="10">
        <f ca="1">IF(tbl_AAPL[[#This Row],[BB_Mean]]="", "", tbl_AAPL[[#This Row],[BB_Mean]]+(BB_Width*tbl_AAPL[[#This Row],[BB_Stdev]]))</f>
        <v>135.35262308606977</v>
      </c>
      <c r="L26" s="10">
        <f ca="1">IF(tbl_AAPL[[#This Row],[BB_Mean]]="", "", tbl_AAPL[[#This Row],[BB_Mean]]-(BB_Width*tbl_AAPL[[#This Row],[BB_Stdev]]))</f>
        <v>112.68558834250163</v>
      </c>
      <c r="M26" s="50">
        <f>IF(ROW(tbl_AAPL[[#This Row],[Adj Close]])=5, 0, $F26-$F25)</f>
        <v>4.5</v>
      </c>
      <c r="N26" s="50">
        <f>MAX(tbl_AAPL[[#This Row],[Move]],0)</f>
        <v>4.5</v>
      </c>
      <c r="O26" s="50">
        <f>MAX(-tbl_AAPL[[#This Row],[Move]],0)</f>
        <v>0</v>
      </c>
      <c r="P26" s="50">
        <f ca="1">IF(ROW($N26)-5&lt;RSI_Periods, "", AVERAGE(INDIRECT(ADDRESS(ROW($N26)-RSI_Periods +1, MATCH("Upmove", Price_Header,0))): INDIRECT(ADDRESS(ROW($N26),MATCH("Upmove", Price_Header,0)))))</f>
        <v>1.8428567857142855</v>
      </c>
      <c r="Q26" s="50">
        <f ca="1">IF(ROW($O26)-5&lt;RSI_Periods, "", AVERAGE(INDIRECT(ADDRESS(ROW($O26)-RSI_Periods +1, MATCH("Downmove", Price_Header,0))): INDIRECT(ADDRESS(ROW($O26),MATCH("Downmove", Price_Header,0)))))</f>
        <v>1.7276780000000005</v>
      </c>
      <c r="R26" s="50">
        <f ca="1">IF(tbl_AAPL[[#This Row],[Avg_Upmove]]="", "", tbl_AAPL[[#This Row],[Avg_Upmove]]/tbl_AAPL[[#This Row],[Avg_Downmove]])</f>
        <v>1.0666668127476793</v>
      </c>
      <c r="S26" s="50">
        <f ca="1">IF(ROW($N26)-4&lt;BB_Periods, "", _xlfn.STDEV.S(INDIRECT(ADDRESS(ROW($F26)-RSI_Periods +1, MATCH("Adj Close", Price_Header,0))): INDIRECT(ADDRESS(ROW($F26),MATCH("Adj Close", Price_Header,0)))))</f>
        <v>5.6667586858920371</v>
      </c>
    </row>
    <row r="27" spans="1:19" x14ac:dyDescent="0.25">
      <c r="A27" s="8">
        <v>44084</v>
      </c>
      <c r="B27" s="10">
        <v>120.360001</v>
      </c>
      <c r="C27" s="10">
        <v>120.5</v>
      </c>
      <c r="D27" s="10">
        <v>112.5</v>
      </c>
      <c r="E27" s="10">
        <v>113.489998</v>
      </c>
      <c r="F27" s="10">
        <v>113.489998</v>
      </c>
      <c r="G27">
        <v>182274400</v>
      </c>
      <c r="H27" s="10">
        <f>IF(tbl_AAPL[[#This Row],[Date]]=$A$5, $F27, EMA_Beta*$H26 + (1-EMA_Beta)*$F27)</f>
        <v>120.2082000581573</v>
      </c>
      <c r="I27" s="50">
        <f ca="1">IF(tbl_AAPL[[#This Row],[RS]]= "", "", 100-(100/(1+tbl_AAPL[[#This Row],[RS]])))</f>
        <v>45.331701957214271</v>
      </c>
      <c r="J27" s="10">
        <f ca="1">IF(ROW($N27)-4&lt;BB_Periods, "", AVERAGE(INDIRECT(ADDRESS(ROW($F27)-RSI_Periods +1, MATCH("Adj Close", Price_Header,0))): INDIRECT(ADDRESS(ROW($F27),MATCH("Adj Close", Price_Header,0)))))</f>
        <v>123.6773197142857</v>
      </c>
      <c r="K27" s="10">
        <f ca="1">IF(tbl_AAPL[[#This Row],[BB_Mean]]="", "", tbl_AAPL[[#This Row],[BB_Mean]]+(BB_Width*tbl_AAPL[[#This Row],[BB_Stdev]]))</f>
        <v>136.00227796299194</v>
      </c>
      <c r="L27" s="10">
        <f ca="1">IF(tbl_AAPL[[#This Row],[BB_Mean]]="", "", tbl_AAPL[[#This Row],[BB_Mean]]-(BB_Width*tbl_AAPL[[#This Row],[BB_Stdev]]))</f>
        <v>111.35236146557948</v>
      </c>
      <c r="M27" s="50">
        <f>IF(ROW(tbl_AAPL[[#This Row],[Adj Close]])=5, 0, $F27-$F26)</f>
        <v>-3.8300019999999932</v>
      </c>
      <c r="N27" s="50">
        <f>MAX(tbl_AAPL[[#This Row],[Move]],0)</f>
        <v>0</v>
      </c>
      <c r="O27" s="50">
        <f>MAX(-tbl_AAPL[[#This Row],[Move]],0)</f>
        <v>3.8300019999999932</v>
      </c>
      <c r="P27" s="50">
        <f ca="1">IF(ROW($N27)-5&lt;RSI_Periods, "", AVERAGE(INDIRECT(ADDRESS(ROW($N27)-RSI_Periods +1, MATCH("Upmove", Price_Header,0))): INDIRECT(ADDRESS(ROW($N27),MATCH("Upmove", Price_Header,0)))))</f>
        <v>1.6594635714285713</v>
      </c>
      <c r="Q27" s="50">
        <f ca="1">IF(ROW($O27)-5&lt;RSI_Periods, "", AVERAGE(INDIRECT(ADDRESS(ROW($O27)-RSI_Periods +1, MATCH("Downmove", Price_Header,0))): INDIRECT(ADDRESS(ROW($O27),MATCH("Downmove", Price_Header,0)))))</f>
        <v>2.0012495714285712</v>
      </c>
      <c r="R27" s="50">
        <f ca="1">IF(tbl_AAPL[[#This Row],[Avg_Upmove]]="", "", tbl_AAPL[[#This Row],[Avg_Upmove]]/tbl_AAPL[[#This Row],[Avg_Downmove]])</f>
        <v>0.82921370483741341</v>
      </c>
      <c r="S27" s="50">
        <f ca="1">IF(ROW($N27)-4&lt;BB_Periods, "", _xlfn.STDEV.S(INDIRECT(ADDRESS(ROW($F27)-RSI_Periods +1, MATCH("Adj Close", Price_Header,0))): INDIRECT(ADDRESS(ROW($F27),MATCH("Adj Close", Price_Header,0)))))</f>
        <v>6.1624791243531138</v>
      </c>
    </row>
    <row r="28" spans="1:19" x14ac:dyDescent="0.25">
      <c r="A28" s="8">
        <v>44085</v>
      </c>
      <c r="B28" s="10">
        <v>114.57</v>
      </c>
      <c r="C28" s="10">
        <v>115.230003</v>
      </c>
      <c r="D28" s="10">
        <v>110</v>
      </c>
      <c r="E28" s="10">
        <v>112</v>
      </c>
      <c r="F28" s="10">
        <v>112</v>
      </c>
      <c r="G28">
        <v>180487500</v>
      </c>
      <c r="H28" s="10">
        <f>IF(tbl_AAPL[[#This Row],[Date]]=$A$5, $F28, EMA_Beta*$H27 + (1-EMA_Beta)*$F28)</f>
        <v>119.38738005234158</v>
      </c>
      <c r="I28" s="50">
        <f ca="1">IF(tbl_AAPL[[#This Row],[RS]]= "", "", 100-(100/(1+tbl_AAPL[[#This Row],[RS]])))</f>
        <v>36.740263652374516</v>
      </c>
      <c r="J28" s="10">
        <f ca="1">IF(ROW($N28)-4&lt;BB_Periods, "", AVERAGE(INDIRECT(ADDRESS(ROW($F28)-RSI_Periods +1, MATCH("Adj Close", Price_Header,0))): INDIRECT(ADDRESS(ROW($F28),MATCH("Adj Close", Price_Header,0)))))</f>
        <v>122.79374807142855</v>
      </c>
      <c r="K28" s="10">
        <f ca="1">IF(tbl_AAPL[[#This Row],[BB_Mean]]="", "", tbl_AAPL[[#This Row],[BB_Mean]]+(BB_Width*tbl_AAPL[[#This Row],[BB_Stdev]]))</f>
        <v>136.59051623432842</v>
      </c>
      <c r="L28" s="10">
        <f ca="1">IF(tbl_AAPL[[#This Row],[BB_Mean]]="", "", tbl_AAPL[[#This Row],[BB_Mean]]-(BB_Width*tbl_AAPL[[#This Row],[BB_Stdev]]))</f>
        <v>108.9969799085287</v>
      </c>
      <c r="M28" s="50">
        <f>IF(ROW(tbl_AAPL[[#This Row],[Adj Close]])=5, 0, $F28-$F27)</f>
        <v>-1.4899979999999999</v>
      </c>
      <c r="N28" s="50">
        <f>MAX(tbl_AAPL[[#This Row],[Move]],0)</f>
        <v>0</v>
      </c>
      <c r="O28" s="50">
        <f>MAX(-tbl_AAPL[[#This Row],[Move]],0)</f>
        <v>1.4899979999999999</v>
      </c>
      <c r="P28" s="50">
        <f ca="1">IF(ROW($N28)-5&lt;RSI_Periods, "", AVERAGE(INDIRECT(ADDRESS(ROW($N28)-RSI_Periods +1, MATCH("Upmove", Price_Header,0))): INDIRECT(ADDRESS(ROW($N28),MATCH("Upmove", Price_Header,0)))))</f>
        <v>1.2241063571428572</v>
      </c>
      <c r="Q28" s="50">
        <f ca="1">IF(ROW($O28)-5&lt;RSI_Periods, "", AVERAGE(INDIRECT(ADDRESS(ROW($O28)-RSI_Periods +1, MATCH("Downmove", Price_Header,0))): INDIRECT(ADDRESS(ROW($O28),MATCH("Downmove", Price_Header,0)))))</f>
        <v>2.1076779999999999</v>
      </c>
      <c r="R28" s="50">
        <f ca="1">IF(tbl_AAPL[[#This Row],[Avg_Upmove]]="", "", tbl_AAPL[[#This Row],[Avg_Upmove]]/tbl_AAPL[[#This Row],[Avg_Downmove]])</f>
        <v>0.58078433097601112</v>
      </c>
      <c r="S28" s="50">
        <f ca="1">IF(ROW($N28)-4&lt;BB_Periods, "", _xlfn.STDEV.S(INDIRECT(ADDRESS(ROW($F28)-RSI_Periods +1, MATCH("Adj Close", Price_Header,0))): INDIRECT(ADDRESS(ROW($F28),MATCH("Adj Close", Price_Header,0)))))</f>
        <v>6.8983840814499278</v>
      </c>
    </row>
    <row r="29" spans="1:19" x14ac:dyDescent="0.25">
      <c r="A29" s="8">
        <v>44088</v>
      </c>
      <c r="B29" s="10">
        <v>114.720001</v>
      </c>
      <c r="C29" s="10">
        <v>115.93</v>
      </c>
      <c r="D29" s="10">
        <v>112.800003</v>
      </c>
      <c r="E29" s="10">
        <v>115.360001</v>
      </c>
      <c r="F29" s="10">
        <v>115.360001</v>
      </c>
      <c r="G29">
        <v>140150100</v>
      </c>
      <c r="H29" s="10">
        <f>IF(tbl_AAPL[[#This Row],[Date]]=$A$5, $F29, EMA_Beta*$H28 + (1-EMA_Beta)*$F29)</f>
        <v>118.98464214710742</v>
      </c>
      <c r="I29" s="50">
        <f ca="1">IF(tbl_AAPL[[#This Row],[RS]]= "", "", 100-(100/(1+tbl_AAPL[[#This Row],[RS]])))</f>
        <v>39.181738740920345</v>
      </c>
      <c r="J29" s="10">
        <f ca="1">IF(ROW($N29)-4&lt;BB_Periods, "", AVERAGE(INDIRECT(ADDRESS(ROW($F29)-RSI_Periods +1, MATCH("Adj Close", Price_Header,0))): INDIRECT(ADDRESS(ROW($F29),MATCH("Adj Close", Price_Header,0)))))</f>
        <v>122.04392685714285</v>
      </c>
      <c r="K29" s="10">
        <f ca="1">IF(tbl_AAPL[[#This Row],[BB_Mean]]="", "", tbl_AAPL[[#This Row],[BB_Mean]]+(BB_Width*tbl_AAPL[[#This Row],[BB_Stdev]]))</f>
        <v>136.25814426959269</v>
      </c>
      <c r="L29" s="10">
        <f ca="1">IF(tbl_AAPL[[#This Row],[BB_Mean]]="", "", tbl_AAPL[[#This Row],[BB_Mean]]-(BB_Width*tbl_AAPL[[#This Row],[BB_Stdev]]))</f>
        <v>107.82970944469302</v>
      </c>
      <c r="M29" s="50">
        <f>IF(ROW(tbl_AAPL[[#This Row],[Adj Close]])=5, 0, $F29-$F28)</f>
        <v>3.3600009999999969</v>
      </c>
      <c r="N29" s="50">
        <f>MAX(tbl_AAPL[[#This Row],[Move]],0)</f>
        <v>3.3600009999999969</v>
      </c>
      <c r="O29" s="50">
        <f>MAX(-tbl_AAPL[[#This Row],[Move]],0)</f>
        <v>0</v>
      </c>
      <c r="P29" s="50">
        <f ca="1">IF(ROW($N29)-5&lt;RSI_Periods, "", AVERAGE(INDIRECT(ADDRESS(ROW($N29)-RSI_Periods +1, MATCH("Upmove", Price_Header,0))): INDIRECT(ADDRESS(ROW($N29),MATCH("Upmove", Price_Header,0)))))</f>
        <v>1.3578567857142849</v>
      </c>
      <c r="Q29" s="50">
        <f ca="1">IF(ROW($O29)-5&lt;RSI_Periods, "", AVERAGE(INDIRECT(ADDRESS(ROW($O29)-RSI_Periods +1, MATCH("Downmove", Price_Header,0))): INDIRECT(ADDRESS(ROW($O29),MATCH("Downmove", Price_Header,0)))))</f>
        <v>2.1076779999999999</v>
      </c>
      <c r="R29" s="50">
        <f ca="1">IF(tbl_AAPL[[#This Row],[Avg_Upmove]]="", "", tbl_AAPL[[#This Row],[Avg_Upmove]]/tbl_AAPL[[#This Row],[Avg_Downmove]])</f>
        <v>0.64424299428768761</v>
      </c>
      <c r="S29" s="50">
        <f ca="1">IF(ROW($N29)-4&lt;BB_Periods, "", _xlfn.STDEV.S(INDIRECT(ADDRESS(ROW($F29)-RSI_Periods +1, MATCH("Adj Close", Price_Header,0))): INDIRECT(ADDRESS(ROW($F29),MATCH("Adj Close", Price_Header,0)))))</f>
        <v>7.1071087062249143</v>
      </c>
    </row>
    <row r="30" spans="1:19" x14ac:dyDescent="0.25">
      <c r="A30" s="8">
        <v>44089</v>
      </c>
      <c r="B30" s="10">
        <v>118.33000199999999</v>
      </c>
      <c r="C30" s="10">
        <v>118.83000199999999</v>
      </c>
      <c r="D30" s="10">
        <v>113.610001</v>
      </c>
      <c r="E30" s="10">
        <v>115.540001</v>
      </c>
      <c r="F30" s="10">
        <v>115.540001</v>
      </c>
      <c r="G30">
        <v>184642000</v>
      </c>
      <c r="H30" s="10">
        <f>IF(tbl_AAPL[[#This Row],[Date]]=$A$5, $F30, EMA_Beta*$H29 + (1-EMA_Beta)*$F30)</f>
        <v>118.64017803239668</v>
      </c>
      <c r="I30" s="50">
        <f ca="1">IF(tbl_AAPL[[#This Row],[RS]]= "", "", 100-(100/(1+tbl_AAPL[[#This Row],[RS]])))</f>
        <v>40.260150291452945</v>
      </c>
      <c r="J30" s="10">
        <f ca="1">IF(ROW($N30)-4&lt;BB_Periods, "", AVERAGE(INDIRECT(ADDRESS(ROW($F30)-RSI_Periods +1, MATCH("Adj Close", Price_Header,0))): INDIRECT(ADDRESS(ROW($F30),MATCH("Adj Close", Price_Header,0)))))</f>
        <v>121.38071285714285</v>
      </c>
      <c r="K30" s="10">
        <f ca="1">IF(tbl_AAPL[[#This Row],[BB_Mean]]="", "", tbl_AAPL[[#This Row],[BB_Mean]]+(BB_Width*tbl_AAPL[[#This Row],[BB_Stdev]]))</f>
        <v>135.89915402358145</v>
      </c>
      <c r="L30" s="10">
        <f ca="1">IF(tbl_AAPL[[#This Row],[BB_Mean]]="", "", tbl_AAPL[[#This Row],[BB_Mean]]-(BB_Width*tbl_AAPL[[#This Row],[BB_Stdev]]))</f>
        <v>106.86227169070428</v>
      </c>
      <c r="M30" s="50">
        <f>IF(ROW(tbl_AAPL[[#This Row],[Adj Close]])=5, 0, $F30-$F29)</f>
        <v>0.18000000000000682</v>
      </c>
      <c r="N30" s="50">
        <f>MAX(tbl_AAPL[[#This Row],[Move]],0)</f>
        <v>0.18000000000000682</v>
      </c>
      <c r="O30" s="50">
        <f>MAX(-tbl_AAPL[[#This Row],[Move]],0)</f>
        <v>0</v>
      </c>
      <c r="P30" s="50">
        <f ca="1">IF(ROW($N30)-5&lt;RSI_Periods, "", AVERAGE(INDIRECT(ADDRESS(ROW($N30)-RSI_Periods +1, MATCH("Upmove", Price_Header,0))): INDIRECT(ADDRESS(ROW($N30),MATCH("Upmove", Price_Header,0)))))</f>
        <v>1.3707139285714283</v>
      </c>
      <c r="Q30" s="50">
        <f ca="1">IF(ROW($O30)-5&lt;RSI_Periods, "", AVERAGE(INDIRECT(ADDRESS(ROW($O30)-RSI_Periods +1, MATCH("Downmove", Price_Header,0))): INDIRECT(ADDRESS(ROW($O30),MATCH("Downmove", Price_Header,0)))))</f>
        <v>2.0339279285714276</v>
      </c>
      <c r="R30" s="50">
        <f ca="1">IF(tbl_AAPL[[#This Row],[Avg_Upmove]]="", "", tbl_AAPL[[#This Row],[Avg_Upmove]]/tbl_AAPL[[#This Row],[Avg_Downmove]])</f>
        <v>0.67392453258369789</v>
      </c>
      <c r="S30" s="50">
        <f ca="1">IF(ROW($N30)-4&lt;BB_Periods, "", _xlfn.STDEV.S(INDIRECT(ADDRESS(ROW($F30)-RSI_Periods +1, MATCH("Adj Close", Price_Header,0))): INDIRECT(ADDRESS(ROW($F30),MATCH("Adj Close", Price_Header,0)))))</f>
        <v>7.2592205832192889</v>
      </c>
    </row>
    <row r="31" spans="1:19" x14ac:dyDescent="0.25">
      <c r="A31" s="8">
        <v>44090</v>
      </c>
      <c r="B31" s="10">
        <v>115.230003</v>
      </c>
      <c r="C31" s="10">
        <v>116</v>
      </c>
      <c r="D31" s="10">
        <v>112.040001</v>
      </c>
      <c r="E31" s="10">
        <v>112.129997</v>
      </c>
      <c r="F31" s="10">
        <v>112.129997</v>
      </c>
      <c r="G31">
        <v>154679000</v>
      </c>
      <c r="H31" s="10">
        <f>IF(tbl_AAPL[[#This Row],[Date]]=$A$5, $F31, EMA_Beta*$H30 + (1-EMA_Beta)*$F31)</f>
        <v>117.98915992915701</v>
      </c>
      <c r="I31" s="50">
        <f ca="1">IF(tbl_AAPL[[#This Row],[RS]]= "", "", 100-(100/(1+tbl_AAPL[[#This Row],[RS]])))</f>
        <v>35.426048809935409</v>
      </c>
      <c r="J31" s="10">
        <f ca="1">IF(ROW($N31)-4&lt;BB_Periods, "", AVERAGE(INDIRECT(ADDRESS(ROW($F31)-RSI_Periods +1, MATCH("Adj Close", Price_Header,0))): INDIRECT(ADDRESS(ROW($F31),MATCH("Adj Close", Price_Header,0)))))</f>
        <v>120.352677</v>
      </c>
      <c r="K31" s="10">
        <f ca="1">IF(tbl_AAPL[[#This Row],[BB_Mean]]="", "", tbl_AAPL[[#This Row],[BB_Mean]]+(BB_Width*tbl_AAPL[[#This Row],[BB_Stdev]]))</f>
        <v>135.3336234236981</v>
      </c>
      <c r="L31" s="10">
        <f ca="1">IF(tbl_AAPL[[#This Row],[BB_Mean]]="", "", tbl_AAPL[[#This Row],[BB_Mean]]-(BB_Width*tbl_AAPL[[#This Row],[BB_Stdev]]))</f>
        <v>105.37173057630191</v>
      </c>
      <c r="M31" s="50">
        <f>IF(ROW(tbl_AAPL[[#This Row],[Adj Close]])=5, 0, $F31-$F30)</f>
        <v>-3.4100040000000007</v>
      </c>
      <c r="N31" s="50">
        <f>MAX(tbl_AAPL[[#This Row],[Move]],0)</f>
        <v>0</v>
      </c>
      <c r="O31" s="50">
        <f>MAX(-tbl_AAPL[[#This Row],[Move]],0)</f>
        <v>3.4100040000000007</v>
      </c>
      <c r="P31" s="50">
        <f ca="1">IF(ROW($N31)-5&lt;RSI_Periods, "", AVERAGE(INDIRECT(ADDRESS(ROW($N31)-RSI_Periods +1, MATCH("Upmove", Price_Header,0))): INDIRECT(ADDRESS(ROW($N31),MATCH("Upmove", Price_Header,0)))))</f>
        <v>1.2494637857142854</v>
      </c>
      <c r="Q31" s="50">
        <f ca="1">IF(ROW($O31)-5&lt;RSI_Periods, "", AVERAGE(INDIRECT(ADDRESS(ROW($O31)-RSI_Periods +1, MATCH("Downmove", Price_Header,0))): INDIRECT(ADDRESS(ROW($O31),MATCH("Downmove", Price_Header,0)))))</f>
        <v>2.2774996428571419</v>
      </c>
      <c r="R31" s="50">
        <f ca="1">IF(tbl_AAPL[[#This Row],[Avg_Upmove]]="", "", tbl_AAPL[[#This Row],[Avg_Upmove]]/tbl_AAPL[[#This Row],[Avg_Downmove]])</f>
        <v>0.54861206658492512</v>
      </c>
      <c r="S31" s="50">
        <f ca="1">IF(ROW($N31)-4&lt;BB_Periods, "", _xlfn.STDEV.S(INDIRECT(ADDRESS(ROW($F31)-RSI_Periods +1, MATCH("Adj Close", Price_Header,0))): INDIRECT(ADDRESS(ROW($F31),MATCH("Adj Close", Price_Header,0)))))</f>
        <v>7.4904732118490447</v>
      </c>
    </row>
    <row r="32" spans="1:19" x14ac:dyDescent="0.25">
      <c r="A32" s="8">
        <v>44091</v>
      </c>
      <c r="B32" s="10">
        <v>109.720001</v>
      </c>
      <c r="C32" s="10">
        <v>112.199997</v>
      </c>
      <c r="D32" s="10">
        <v>108.75</v>
      </c>
      <c r="E32" s="10">
        <v>110.339996</v>
      </c>
      <c r="F32" s="10">
        <v>110.339996</v>
      </c>
      <c r="G32">
        <v>173454846</v>
      </c>
      <c r="H32" s="10">
        <f>IF(tbl_AAPL[[#This Row],[Date]]=$A$5, $F32, EMA_Beta*$H31 + (1-EMA_Beta)*$F32)</f>
        <v>117.22424353624132</v>
      </c>
      <c r="I32" s="50">
        <f ca="1">IF(tbl_AAPL[[#This Row],[RS]]= "", "", 100-(100/(1+tbl_AAPL[[#This Row],[RS]])))</f>
        <v>35.228065286970534</v>
      </c>
      <c r="J32" s="10">
        <f ca="1">IF(ROW($N32)-4&lt;BB_Periods, "", AVERAGE(INDIRECT(ADDRESS(ROW($F32)-RSI_Periods +1, MATCH("Adj Close", Price_Header,0))): INDIRECT(ADDRESS(ROW($F32),MATCH("Adj Close", Price_Header,0)))))</f>
        <v>119.30481942857143</v>
      </c>
      <c r="K32" s="10">
        <f ca="1">IF(tbl_AAPL[[#This Row],[BB_Mean]]="", "", tbl_AAPL[[#This Row],[BB_Mean]]+(BB_Width*tbl_AAPL[[#This Row],[BB_Stdev]]))</f>
        <v>134.92122583070258</v>
      </c>
      <c r="L32" s="10">
        <f ca="1">IF(tbl_AAPL[[#This Row],[BB_Mean]]="", "", tbl_AAPL[[#This Row],[BB_Mean]]-(BB_Width*tbl_AAPL[[#This Row],[BB_Stdev]]))</f>
        <v>103.68841302644027</v>
      </c>
      <c r="M32" s="50">
        <f>IF(ROW(tbl_AAPL[[#This Row],[Adj Close]])=5, 0, $F32-$F31)</f>
        <v>-1.7900010000000037</v>
      </c>
      <c r="N32" s="50">
        <f>MAX(tbl_AAPL[[#This Row],[Move]],0)</f>
        <v>0</v>
      </c>
      <c r="O32" s="50">
        <f>MAX(-tbl_AAPL[[#This Row],[Move]],0)</f>
        <v>1.7900010000000037</v>
      </c>
      <c r="P32" s="50">
        <f ca="1">IF(ROW($N32)-5&lt;RSI_Periods, "", AVERAGE(INDIRECT(ADDRESS(ROW($N32)-RSI_Periods +1, MATCH("Upmove", Price_Header,0))): INDIRECT(ADDRESS(ROW($N32),MATCH("Upmove", Price_Header,0)))))</f>
        <v>1.2494637857142854</v>
      </c>
      <c r="Q32" s="50">
        <f ca="1">IF(ROW($O32)-5&lt;RSI_Periods, "", AVERAGE(INDIRECT(ADDRESS(ROW($O32)-RSI_Periods +1, MATCH("Downmove", Price_Header,0))): INDIRECT(ADDRESS(ROW($O32),MATCH("Downmove", Price_Header,0)))))</f>
        <v>2.2973213571428568</v>
      </c>
      <c r="R32" s="50">
        <f ca="1">IF(tbl_AAPL[[#This Row],[Avg_Upmove]]="", "", tbl_AAPL[[#This Row],[Avg_Upmove]]/tbl_AAPL[[#This Row],[Avg_Downmove]])</f>
        <v>0.54387854003508862</v>
      </c>
      <c r="S32" s="50">
        <f ca="1">IF(ROW($N32)-4&lt;BB_Periods, "", _xlfn.STDEV.S(INDIRECT(ADDRESS(ROW($F32)-RSI_Periods +1, MATCH("Adj Close", Price_Header,0))): INDIRECT(ADDRESS(ROW($F32),MATCH("Adj Close", Price_Header,0)))))</f>
        <v>7.8082032010655782</v>
      </c>
    </row>
    <row r="33" spans="1:19" x14ac:dyDescent="0.25">
      <c r="A33" t="s">
        <v>162</v>
      </c>
      <c r="B33" s="61"/>
      <c r="C33" s="61"/>
      <c r="D33" s="61"/>
      <c r="E33" s="61"/>
      <c r="F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>
        <f ca="1">SUBTOTAL(103,tbl_AAPL[BB_Stdev])</f>
        <v>28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opLeftCell="A4" workbookViewId="0">
      <selection activeCell="L6" sqref="L6"/>
    </sheetView>
  </sheetViews>
  <sheetFormatPr defaultRowHeight="15" x14ac:dyDescent="0.25"/>
  <cols>
    <col min="1" max="1" width="9.7109375" bestFit="1" customWidth="1"/>
    <col min="6" max="6" width="11.42578125" customWidth="1"/>
    <col min="7" max="7" width="10.140625" customWidth="1"/>
  </cols>
  <sheetData>
    <row r="1" spans="1:19" ht="21" x14ac:dyDescent="0.35">
      <c r="A1" s="41" t="s">
        <v>168</v>
      </c>
      <c r="B1" s="41"/>
      <c r="C1" s="41"/>
      <c r="D1" s="41"/>
      <c r="E1" s="41"/>
      <c r="F1" s="41"/>
    </row>
    <row r="2" spans="1:19" x14ac:dyDescent="0.25">
      <c r="A2" t="s">
        <v>164</v>
      </c>
    </row>
    <row r="4" spans="1:19" x14ac:dyDescent="0.2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25">
      <c r="A5" s="8">
        <v>44053</v>
      </c>
      <c r="B5" s="48">
        <v>309.67999300000002</v>
      </c>
      <c r="C5" s="48">
        <v>313.66000400000001</v>
      </c>
      <c r="D5" s="48">
        <v>290.01001000000002</v>
      </c>
      <c r="E5" s="48">
        <v>298</v>
      </c>
      <c r="F5" s="48">
        <v>298</v>
      </c>
      <c r="G5">
        <v>2403400</v>
      </c>
      <c r="H5" s="48">
        <f>IF(tbl_WMT[[#This Row],[Date]]=$A$5, $F5, EMA_Beta*$H4 + (1-EMA_Beta)*$F5)</f>
        <v>298</v>
      </c>
      <c r="I5" s="50" t="str">
        <f ca="1">IF(tbl_WMT[[#This Row],[RS]]= "", "", 100-(100/(1+tbl_WMT[[#This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IF(tbl_WMT[[#This Row],[BB_Mean]]="", "", tbl_WMT[[#This Row],[BB_Mean]]+(BB_Width*tbl_WMT[[#This Row],[BB_Stdev]]))</f>
        <v/>
      </c>
      <c r="L5" s="10" t="str">
        <f ca="1">IF(tbl_WMT[[#This Row],[BB_Mean]]="", "", tbl_WMT[[#This Row],[BB_Mean]]-(BB_Width*tbl_WMT[[#This Row],[BB_Stdev]]))</f>
        <v/>
      </c>
      <c r="M5" s="46">
        <f>IF(ROW(tbl_WMT[[#This Row],[Adj Close]])=5, 0, $F5-$F4)</f>
        <v>0</v>
      </c>
      <c r="N5" s="46">
        <f>MAX(tbl_WMT[[#This Row],[Move]],0)</f>
        <v>0</v>
      </c>
      <c r="O5" s="46">
        <f>MAX(-tbl_WMT[[#This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IF(tbl_WMT[[#This Row],[Avg_Upmove]]="", "", tbl_WMT[[#This Row],[Avg_Upmove]]/tbl_WMT[[#This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25">
      <c r="A6" s="8">
        <v>44054</v>
      </c>
      <c r="B6" s="48">
        <v>293.24499500000002</v>
      </c>
      <c r="C6" s="48">
        <v>324.80999800000001</v>
      </c>
      <c r="D6" s="48">
        <v>283.51001000000002</v>
      </c>
      <c r="E6" s="48">
        <v>309.13000499999998</v>
      </c>
      <c r="F6" s="48">
        <v>309.13000499999998</v>
      </c>
      <c r="G6">
        <v>11085800</v>
      </c>
      <c r="H6" s="48">
        <f>IF(tbl_WMT[[#This Row],[Date]]=$A$5, $F6, EMA_Beta*$H5 + (1-EMA_Beta)*$F6)</f>
        <v>299.1130005</v>
      </c>
      <c r="I6" s="50" t="str">
        <f ca="1">IF(tbl_WMT[[#This Row],[RS]]= "", "", 100-(100/(1+tbl_WMT[[#This Row],[RS]])))</f>
        <v/>
      </c>
      <c r="J6" s="48" t="str">
        <f ca="1">IF(ROW($N6)-4&lt;BB_Periods, "", AVERAGE(INDIRECT(ADDRESS(ROW($F6)-RSI_Periods +1, MATCH("Adj Close", Price_Header,0))): INDIRECT(ADDRESS(ROW($F6),MATCH("Adj Close", Price_Header,0)))))</f>
        <v/>
      </c>
      <c r="K6" s="48" t="str">
        <f ca="1">IF(tbl_WMT[[#This Row],[BB_Mean]]="", "", tbl_WMT[[#This Row],[BB_Mean]]+(BB_Width*tbl_WMT[[#This Row],[BB_Stdev]]))</f>
        <v/>
      </c>
      <c r="L6" s="48" t="str">
        <f ca="1">IF(tbl_WMT[[#This Row],[BB_Mean]]="", "", tbl_WMT[[#This Row],[BB_Mean]]-(BB_Width*tbl_WMT[[#This Row],[BB_Stdev]]))</f>
        <v/>
      </c>
      <c r="M6" s="46">
        <f>IF(ROW(tbl_WMT[[#This Row],[Adj Close]])=5, 0, $F6-$F5)</f>
        <v>11.130004999999983</v>
      </c>
      <c r="N6" s="46">
        <f>MAX(tbl_WMT[[#This Row],[Move]],0)</f>
        <v>11.130004999999983</v>
      </c>
      <c r="O6" s="46">
        <f>MAX(-tbl_WMT[[#This Row],[Move]],0)</f>
        <v>0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IF(tbl_WMT[[#This Row],[Avg_Upmove]]="", "", tbl_WMT[[#This Row],[Avg_Upmove]]/tbl_WMT[[#This Row],[Avg_Downmove]])</f>
        <v/>
      </c>
      <c r="S6" s="48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25">
      <c r="A7" s="8">
        <v>44055</v>
      </c>
      <c r="B7" s="48">
        <v>309.86999500000002</v>
      </c>
      <c r="C7" s="48">
        <v>312.959991</v>
      </c>
      <c r="D7" s="48">
        <v>293.49099699999999</v>
      </c>
      <c r="E7" s="48">
        <v>301.73998999999998</v>
      </c>
      <c r="F7" s="48">
        <v>301.73998999999998</v>
      </c>
      <c r="G7">
        <v>4381900</v>
      </c>
      <c r="H7" s="48">
        <f>IF(tbl_WMT[[#This Row],[Date]]=$A$5, $F7, EMA_Beta*$H6 + (1-EMA_Beta)*$F7)</f>
        <v>299.37569945000001</v>
      </c>
      <c r="I7" s="50" t="str">
        <f ca="1">IF(tbl_WMT[[#This Row],[RS]]= "", "", 100-(100/(1+tbl_WMT[[#This Row],[RS]])))</f>
        <v/>
      </c>
      <c r="J7" s="48" t="str">
        <f ca="1">IF(ROW($N7)-4&lt;BB_Periods, "", AVERAGE(INDIRECT(ADDRESS(ROW($F7)-RSI_Periods +1, MATCH("Adj Close", Price_Header,0))): INDIRECT(ADDRESS(ROW($F7),MATCH("Adj Close", Price_Header,0)))))</f>
        <v/>
      </c>
      <c r="K7" s="48" t="str">
        <f ca="1">IF(tbl_WMT[[#This Row],[BB_Mean]]="", "", tbl_WMT[[#This Row],[BB_Mean]]+(BB_Width*tbl_WMT[[#This Row],[BB_Stdev]]))</f>
        <v/>
      </c>
      <c r="L7" s="48" t="str">
        <f ca="1">IF(tbl_WMT[[#This Row],[BB_Mean]]="", "", tbl_WMT[[#This Row],[BB_Mean]]-(BB_Width*tbl_WMT[[#This Row],[BB_Stdev]]))</f>
        <v/>
      </c>
      <c r="M7" s="46">
        <f>IF(ROW(tbl_WMT[[#This Row],[Adj Close]])=5, 0, $F7-$F6)</f>
        <v>-7.3900150000000053</v>
      </c>
      <c r="N7" s="46">
        <f>MAX(tbl_WMT[[#This Row],[Move]],0)</f>
        <v>0</v>
      </c>
      <c r="O7" s="46">
        <f>MAX(-tbl_WMT[[#This Row],[Move]],0)</f>
        <v>7.3900150000000053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IF(tbl_WMT[[#This Row],[Avg_Upmove]]="", "", tbl_WMT[[#This Row],[Avg_Upmove]]/tbl_WMT[[#This Row],[Avg_Downmove]])</f>
        <v/>
      </c>
      <c r="S7" s="48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25">
      <c r="A8" s="8">
        <v>44056</v>
      </c>
      <c r="B8" s="48">
        <v>307.91000400000001</v>
      </c>
      <c r="C8" s="48">
        <v>320.42999300000002</v>
      </c>
      <c r="D8" s="48">
        <v>305.01001000000002</v>
      </c>
      <c r="E8" s="48">
        <v>314.290009</v>
      </c>
      <c r="F8" s="48">
        <v>314.290009</v>
      </c>
      <c r="G8">
        <v>2580300</v>
      </c>
      <c r="H8" s="48">
        <f>IF(tbl_WMT[[#This Row],[Date]]=$A$5, $F8, EMA_Beta*$H7 + (1-EMA_Beta)*$F8)</f>
        <v>300.86713040500001</v>
      </c>
      <c r="I8" s="50" t="str">
        <f ca="1">IF(tbl_WMT[[#This Row],[RS]]= "", "", 100-(100/(1+tbl_WMT[[#This Row],[RS]])))</f>
        <v/>
      </c>
      <c r="J8" s="48" t="str">
        <f ca="1">IF(ROW($N8)-4&lt;BB_Periods, "", AVERAGE(INDIRECT(ADDRESS(ROW($F8)-RSI_Periods +1, MATCH("Adj Close", Price_Header,0))): INDIRECT(ADDRESS(ROW($F8),MATCH("Adj Close", Price_Header,0)))))</f>
        <v/>
      </c>
      <c r="K8" s="48" t="str">
        <f ca="1">IF(tbl_WMT[[#This Row],[BB_Mean]]="", "", tbl_WMT[[#This Row],[BB_Mean]]+(BB_Width*tbl_WMT[[#This Row],[BB_Stdev]]))</f>
        <v/>
      </c>
      <c r="L8" s="48" t="str">
        <f ca="1">IF(tbl_WMT[[#This Row],[BB_Mean]]="", "", tbl_WMT[[#This Row],[BB_Mean]]-(BB_Width*tbl_WMT[[#This Row],[BB_Stdev]]))</f>
        <v/>
      </c>
      <c r="M8" s="46">
        <f>IF(ROW(tbl_WMT[[#This Row],[Adj Close]])=5, 0, $F8-$F7)</f>
        <v>12.55001900000002</v>
      </c>
      <c r="N8" s="46">
        <f>MAX(tbl_WMT[[#This Row],[Move]],0)</f>
        <v>12.55001900000002</v>
      </c>
      <c r="O8" s="46">
        <f>MAX(-tbl_WMT[[#This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IF(tbl_WMT[[#This Row],[Avg_Upmove]]="", "", tbl_WMT[[#This Row],[Avg_Upmove]]/tbl_WMT[[#This Row],[Avg_Downmove]])</f>
        <v/>
      </c>
      <c r="S8" s="48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25">
      <c r="A9" s="8">
        <v>44057</v>
      </c>
      <c r="B9" s="48">
        <v>312.16000400000001</v>
      </c>
      <c r="C9" s="48">
        <v>315.97000100000002</v>
      </c>
      <c r="D9" s="48">
        <v>308</v>
      </c>
      <c r="E9" s="48">
        <v>309.98998999999998</v>
      </c>
      <c r="F9" s="48">
        <v>309.98998999999998</v>
      </c>
      <c r="G9">
        <v>1575600</v>
      </c>
      <c r="H9" s="48">
        <f>IF(tbl_WMT[[#This Row],[Date]]=$A$5, $F9, EMA_Beta*$H8 + (1-EMA_Beta)*$F9)</f>
        <v>301.77941636449998</v>
      </c>
      <c r="I9" s="50" t="str">
        <f ca="1">IF(tbl_WMT[[#This Row],[RS]]= "", "", 100-(100/(1+tbl_WMT[[#This Row],[RS]])))</f>
        <v/>
      </c>
      <c r="J9" s="48" t="str">
        <f ca="1">IF(ROW($N9)-4&lt;BB_Periods, "", AVERAGE(INDIRECT(ADDRESS(ROW($F9)-RSI_Periods +1, MATCH("Adj Close", Price_Header,0))): INDIRECT(ADDRESS(ROW($F9),MATCH("Adj Close", Price_Header,0)))))</f>
        <v/>
      </c>
      <c r="K9" s="48" t="str">
        <f ca="1">IF(tbl_WMT[[#This Row],[BB_Mean]]="", "", tbl_WMT[[#This Row],[BB_Mean]]+(BB_Width*tbl_WMT[[#This Row],[BB_Stdev]]))</f>
        <v/>
      </c>
      <c r="L9" s="48" t="str">
        <f ca="1">IF(tbl_WMT[[#This Row],[BB_Mean]]="", "", tbl_WMT[[#This Row],[BB_Mean]]-(BB_Width*tbl_WMT[[#This Row],[BB_Stdev]]))</f>
        <v/>
      </c>
      <c r="M9" s="46">
        <f>IF(ROW(tbl_WMT[[#This Row],[Adj Close]])=5, 0, $F9-$F8)</f>
        <v>-4.3000190000000202</v>
      </c>
      <c r="N9" s="46">
        <f>MAX(tbl_WMT[[#This Row],[Move]],0)</f>
        <v>0</v>
      </c>
      <c r="O9" s="46">
        <f>MAX(-tbl_WMT[[#This Row],[Move]],0)</f>
        <v>4.3000190000000202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IF(tbl_WMT[[#This Row],[Avg_Upmove]]="", "", tbl_WMT[[#This Row],[Avg_Upmove]]/tbl_WMT[[#This Row],[Avg_Downmove]])</f>
        <v/>
      </c>
      <c r="S9" s="48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25">
      <c r="A10" s="8">
        <v>44060</v>
      </c>
      <c r="B10" s="48">
        <v>316.5</v>
      </c>
      <c r="C10" s="48">
        <v>318.01001000000002</v>
      </c>
      <c r="D10" s="48">
        <v>310.70001200000002</v>
      </c>
      <c r="E10" s="48">
        <v>314.10000600000001</v>
      </c>
      <c r="F10" s="48">
        <v>314.10000600000001</v>
      </c>
      <c r="G10">
        <v>2621500</v>
      </c>
      <c r="H10" s="48">
        <f>IF(tbl_WMT[[#This Row],[Date]]=$A$5, $F10, EMA_Beta*$H9 + (1-EMA_Beta)*$F10)</f>
        <v>303.01147532804998</v>
      </c>
      <c r="I10" s="50" t="str">
        <f ca="1">IF(tbl_WMT[[#This Row],[RS]]= "", "", 100-(100/(1+tbl_WMT[[#This Row],[RS]])))</f>
        <v/>
      </c>
      <c r="J10" s="48" t="str">
        <f ca="1">IF(ROW($N10)-4&lt;BB_Periods, "", AVERAGE(INDIRECT(ADDRESS(ROW($F10)-RSI_Periods +1, MATCH("Adj Close", Price_Header,0))): INDIRECT(ADDRESS(ROW($F10),MATCH("Adj Close", Price_Header,0)))))</f>
        <v/>
      </c>
      <c r="K10" s="48" t="str">
        <f ca="1">IF(tbl_WMT[[#This Row],[BB_Mean]]="", "", tbl_WMT[[#This Row],[BB_Mean]]+(BB_Width*tbl_WMT[[#This Row],[BB_Stdev]]))</f>
        <v/>
      </c>
      <c r="L10" s="48" t="str">
        <f ca="1">IF(tbl_WMT[[#This Row],[BB_Mean]]="", "", tbl_WMT[[#This Row],[BB_Mean]]-(BB_Width*tbl_WMT[[#This Row],[BB_Stdev]]))</f>
        <v/>
      </c>
      <c r="M10" s="46">
        <f>IF(ROW(tbl_WMT[[#This Row],[Adj Close]])=5, 0, $F10-$F9)</f>
        <v>4.1100160000000301</v>
      </c>
      <c r="N10" s="46">
        <f>MAX(tbl_WMT[[#This Row],[Move]],0)</f>
        <v>4.1100160000000301</v>
      </c>
      <c r="O10" s="46">
        <f>MAX(-tbl_WMT[[#This Row],[Move]],0)</f>
        <v>0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IF(tbl_WMT[[#This Row],[Avg_Upmove]]="", "", tbl_WMT[[#This Row],[Avg_Upmove]]/tbl_WMT[[#This Row],[Avg_Downmove]])</f>
        <v/>
      </c>
      <c r="S10" s="48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25">
      <c r="A11" s="8">
        <v>44061</v>
      </c>
      <c r="B11" s="48">
        <v>314.47000100000002</v>
      </c>
      <c r="C11" s="48">
        <v>334.21099900000002</v>
      </c>
      <c r="D11" s="48">
        <v>314.07299799999998</v>
      </c>
      <c r="E11" s="48">
        <v>326.10000600000001</v>
      </c>
      <c r="F11" s="48">
        <v>326.10000600000001</v>
      </c>
      <c r="G11">
        <v>3290100</v>
      </c>
      <c r="H11" s="48">
        <f>IF(tbl_WMT[[#This Row],[Date]]=$A$5, $F11, EMA_Beta*$H10 + (1-EMA_Beta)*$F11)</f>
        <v>305.32032839524499</v>
      </c>
      <c r="I11" s="50" t="str">
        <f ca="1">IF(tbl_WMT[[#This Row],[RS]]= "", "", 100-(100/(1+tbl_WMT[[#This Row],[RS]])))</f>
        <v/>
      </c>
      <c r="J11" s="48" t="str">
        <f ca="1">IF(ROW($N11)-4&lt;BB_Periods, "", AVERAGE(INDIRECT(ADDRESS(ROW($F11)-RSI_Periods +1, MATCH("Adj Close", Price_Header,0))): INDIRECT(ADDRESS(ROW($F11),MATCH("Adj Close", Price_Header,0)))))</f>
        <v/>
      </c>
      <c r="K11" s="48" t="str">
        <f ca="1">IF(tbl_WMT[[#This Row],[BB_Mean]]="", "", tbl_WMT[[#This Row],[BB_Mean]]+(BB_Width*tbl_WMT[[#This Row],[BB_Stdev]]))</f>
        <v/>
      </c>
      <c r="L11" s="48" t="str">
        <f ca="1">IF(tbl_WMT[[#This Row],[BB_Mean]]="", "", tbl_WMT[[#This Row],[BB_Mean]]-(BB_Width*tbl_WMT[[#This Row],[BB_Stdev]]))</f>
        <v/>
      </c>
      <c r="M11" s="46">
        <f>IF(ROW(tbl_WMT[[#This Row],[Adj Close]])=5, 0, $F11-$F10)</f>
        <v>12</v>
      </c>
      <c r="N11" s="46">
        <f>MAX(tbl_WMT[[#This Row],[Move]],0)</f>
        <v>12</v>
      </c>
      <c r="O11" s="46">
        <f>MAX(-tbl_WMT[[#This Row],[Move]],0)</f>
        <v>0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IF(tbl_WMT[[#This Row],[Avg_Upmove]]="", "", tbl_WMT[[#This Row],[Avg_Upmove]]/tbl_WMT[[#This Row],[Avg_Downmove]])</f>
        <v/>
      </c>
      <c r="S11" s="48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25">
      <c r="A12" s="8">
        <v>44062</v>
      </c>
      <c r="B12" s="48">
        <v>326</v>
      </c>
      <c r="C12" s="48">
        <v>339.80999800000001</v>
      </c>
      <c r="D12" s="48">
        <v>325.26001000000002</v>
      </c>
      <c r="E12" s="48">
        <v>333.01001000000002</v>
      </c>
      <c r="F12" s="48">
        <v>333.01001000000002</v>
      </c>
      <c r="G12">
        <v>2543500</v>
      </c>
      <c r="H12" s="48">
        <f>IF(tbl_WMT[[#This Row],[Date]]=$A$5, $F12, EMA_Beta*$H11 + (1-EMA_Beta)*$F12)</f>
        <v>308.08929655572047</v>
      </c>
      <c r="I12" s="50" t="str">
        <f ca="1">IF(tbl_WMT[[#This Row],[RS]]= "", "", 100-(100/(1+tbl_WMT[[#This Row],[RS]])))</f>
        <v/>
      </c>
      <c r="J12" s="48" t="str">
        <f ca="1">IF(ROW($N12)-4&lt;BB_Periods, "", AVERAGE(INDIRECT(ADDRESS(ROW($F12)-RSI_Periods +1, MATCH("Adj Close", Price_Header,0))): INDIRECT(ADDRESS(ROW($F12),MATCH("Adj Close", Price_Header,0)))))</f>
        <v/>
      </c>
      <c r="K12" s="48" t="str">
        <f ca="1">IF(tbl_WMT[[#This Row],[BB_Mean]]="", "", tbl_WMT[[#This Row],[BB_Mean]]+(BB_Width*tbl_WMT[[#This Row],[BB_Stdev]]))</f>
        <v/>
      </c>
      <c r="L12" s="48" t="str">
        <f ca="1">IF(tbl_WMT[[#This Row],[BB_Mean]]="", "", tbl_WMT[[#This Row],[BB_Mean]]-(BB_Width*tbl_WMT[[#This Row],[BB_Stdev]]))</f>
        <v/>
      </c>
      <c r="M12" s="46">
        <f>IF(ROW(tbl_WMT[[#This Row],[Adj Close]])=5, 0, $F12-$F11)</f>
        <v>6.9100040000000149</v>
      </c>
      <c r="N12" s="46">
        <f>MAX(tbl_WMT[[#This Row],[Move]],0)</f>
        <v>6.9100040000000149</v>
      </c>
      <c r="O12" s="46">
        <f>MAX(-tbl_WMT[[#This Row],[Move]],0)</f>
        <v>0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IF(tbl_WMT[[#This Row],[Avg_Upmove]]="", "", tbl_WMT[[#This Row],[Avg_Upmove]]/tbl_WMT[[#This Row],[Avg_Downmove]])</f>
        <v/>
      </c>
      <c r="S12" s="48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25">
      <c r="A13" s="8">
        <v>44063</v>
      </c>
      <c r="B13" s="48">
        <v>331.10998499999999</v>
      </c>
      <c r="C13" s="48">
        <v>334.36999500000002</v>
      </c>
      <c r="D13" s="48">
        <v>326.23001099999999</v>
      </c>
      <c r="E13" s="48">
        <v>328.959991</v>
      </c>
      <c r="F13" s="48">
        <v>328.959991</v>
      </c>
      <c r="G13">
        <v>2585400</v>
      </c>
      <c r="H13" s="48">
        <f>IF(tbl_WMT[[#This Row],[Date]]=$A$5, $F13, EMA_Beta*$H12 + (1-EMA_Beta)*$F13)</f>
        <v>310.17636600014839</v>
      </c>
      <c r="I13" s="50" t="str">
        <f ca="1">IF(tbl_WMT[[#This Row],[RS]]= "", "", 100-(100/(1+tbl_WMT[[#This Row],[RS]])))</f>
        <v/>
      </c>
      <c r="J13" s="48" t="str">
        <f ca="1">IF(ROW($N13)-4&lt;BB_Periods, "", AVERAGE(INDIRECT(ADDRESS(ROW($F13)-RSI_Periods +1, MATCH("Adj Close", Price_Header,0))): INDIRECT(ADDRESS(ROW($F13),MATCH("Adj Close", Price_Header,0)))))</f>
        <v/>
      </c>
      <c r="K13" s="48" t="str">
        <f ca="1">IF(tbl_WMT[[#This Row],[BB_Mean]]="", "", tbl_WMT[[#This Row],[BB_Mean]]+(BB_Width*tbl_WMT[[#This Row],[BB_Stdev]]))</f>
        <v/>
      </c>
      <c r="L13" s="48" t="str">
        <f ca="1">IF(tbl_WMT[[#This Row],[BB_Mean]]="", "", tbl_WMT[[#This Row],[BB_Mean]]-(BB_Width*tbl_WMT[[#This Row],[BB_Stdev]]))</f>
        <v/>
      </c>
      <c r="M13" s="46">
        <f>IF(ROW(tbl_WMT[[#This Row],[Adj Close]])=5, 0, $F13-$F12)</f>
        <v>-4.0500190000000202</v>
      </c>
      <c r="N13" s="46">
        <f>MAX(tbl_WMT[[#This Row],[Move]],0)</f>
        <v>0</v>
      </c>
      <c r="O13" s="46">
        <f>MAX(-tbl_WMT[[#This Row],[Move]],0)</f>
        <v>4.0500190000000202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IF(tbl_WMT[[#This Row],[Avg_Upmove]]="", "", tbl_WMT[[#This Row],[Avg_Upmove]]/tbl_WMT[[#This Row],[Avg_Downmove]])</f>
        <v/>
      </c>
      <c r="S13" s="48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25">
      <c r="A14" s="8">
        <v>44064</v>
      </c>
      <c r="B14" s="48">
        <v>329</v>
      </c>
      <c r="C14" s="48">
        <v>341.57998700000002</v>
      </c>
      <c r="D14" s="48">
        <v>326.41000400000001</v>
      </c>
      <c r="E14" s="48">
        <v>340.66000400000001</v>
      </c>
      <c r="F14" s="48">
        <v>340.66000400000001</v>
      </c>
      <c r="G14">
        <v>2205000</v>
      </c>
      <c r="H14" s="48">
        <f>IF(tbl_WMT[[#This Row],[Date]]=$A$5, $F14, EMA_Beta*$H13 + (1-EMA_Beta)*$F14)</f>
        <v>313.22472980013356</v>
      </c>
      <c r="I14" s="50" t="str">
        <f ca="1">IF(tbl_WMT[[#This Row],[RS]]= "", "", 100-(100/(1+tbl_WMT[[#This Row],[RS]])))</f>
        <v/>
      </c>
      <c r="J14" s="48" t="str">
        <f ca="1">IF(ROW($N14)-4&lt;BB_Periods, "", AVERAGE(INDIRECT(ADDRESS(ROW($F14)-RSI_Periods +1, MATCH("Adj Close", Price_Header,0))): INDIRECT(ADDRESS(ROW($F14),MATCH("Adj Close", Price_Header,0)))))</f>
        <v/>
      </c>
      <c r="K14" s="48" t="str">
        <f ca="1">IF(tbl_WMT[[#This Row],[BB_Mean]]="", "", tbl_WMT[[#This Row],[BB_Mean]]+(BB_Width*tbl_WMT[[#This Row],[BB_Stdev]]))</f>
        <v/>
      </c>
      <c r="L14" s="48" t="str">
        <f ca="1">IF(tbl_WMT[[#This Row],[BB_Mean]]="", "", tbl_WMT[[#This Row],[BB_Mean]]-(BB_Width*tbl_WMT[[#This Row],[BB_Stdev]]))</f>
        <v/>
      </c>
      <c r="M14" s="46">
        <f>IF(ROW(tbl_WMT[[#This Row],[Adj Close]])=5, 0, $F14-$F13)</f>
        <v>11.700013000000013</v>
      </c>
      <c r="N14" s="46">
        <f>MAX(tbl_WMT[[#This Row],[Move]],0)</f>
        <v>11.700013000000013</v>
      </c>
      <c r="O14" s="46">
        <f>MAX(-tbl_WMT[[#This Row],[Move]],0)</f>
        <v>0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IF(tbl_WMT[[#This Row],[Avg_Upmove]]="", "", tbl_WMT[[#This Row],[Avg_Upmove]]/tbl_WMT[[#This Row],[Avg_Downmove]])</f>
        <v/>
      </c>
      <c r="S14" s="48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25">
      <c r="A15" s="8">
        <v>44067</v>
      </c>
      <c r="B15" s="48">
        <v>345.92999300000002</v>
      </c>
      <c r="C15" s="48">
        <v>349.08200099999999</v>
      </c>
      <c r="D15" s="48">
        <v>328</v>
      </c>
      <c r="E15" s="48">
        <v>338</v>
      </c>
      <c r="F15" s="48">
        <v>338</v>
      </c>
      <c r="G15">
        <v>1660800</v>
      </c>
      <c r="H15" s="48">
        <f>IF(tbl_WMT[[#This Row],[Date]]=$A$5, $F15, EMA_Beta*$H14 + (1-EMA_Beta)*$F15)</f>
        <v>315.70225682012023</v>
      </c>
      <c r="I15" s="50" t="str">
        <f ca="1">IF(tbl_WMT[[#This Row],[RS]]= "", "", 100-(100/(1+tbl_WMT[[#This Row],[RS]])))</f>
        <v/>
      </c>
      <c r="J15" s="48" t="str">
        <f ca="1">IF(ROW($N15)-4&lt;BB_Periods, "", AVERAGE(INDIRECT(ADDRESS(ROW($F15)-RSI_Periods +1, MATCH("Adj Close", Price_Header,0))): INDIRECT(ADDRESS(ROW($F15),MATCH("Adj Close", Price_Header,0)))))</f>
        <v/>
      </c>
      <c r="K15" s="48" t="str">
        <f ca="1">IF(tbl_WMT[[#This Row],[BB_Mean]]="", "", tbl_WMT[[#This Row],[BB_Mean]]+(BB_Width*tbl_WMT[[#This Row],[BB_Stdev]]))</f>
        <v/>
      </c>
      <c r="L15" s="48" t="str">
        <f ca="1">IF(tbl_WMT[[#This Row],[BB_Mean]]="", "", tbl_WMT[[#This Row],[BB_Mean]]-(BB_Width*tbl_WMT[[#This Row],[BB_Stdev]]))</f>
        <v/>
      </c>
      <c r="M15" s="46">
        <f>IF(ROW(tbl_WMT[[#This Row],[Adj Close]])=5, 0, $F15-$F14)</f>
        <v>-2.6600040000000149</v>
      </c>
      <c r="N15" s="46">
        <f>MAX(tbl_WMT[[#This Row],[Move]],0)</f>
        <v>0</v>
      </c>
      <c r="O15" s="46">
        <f>MAX(-tbl_WMT[[#This Row],[Move]],0)</f>
        <v>2.6600040000000149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IF(tbl_WMT[[#This Row],[Avg_Upmove]]="", "", tbl_WMT[[#This Row],[Avg_Upmove]]/tbl_WMT[[#This Row],[Avg_Downmove]])</f>
        <v/>
      </c>
      <c r="S15" s="48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25">
      <c r="A16" s="8">
        <v>44068</v>
      </c>
      <c r="B16" s="48">
        <v>334.14999399999999</v>
      </c>
      <c r="C16" s="48">
        <v>339.89700299999998</v>
      </c>
      <c r="D16" s="48">
        <v>330.20001200000002</v>
      </c>
      <c r="E16" s="48">
        <v>338.05999800000001</v>
      </c>
      <c r="F16" s="48">
        <v>338.05999800000001</v>
      </c>
      <c r="G16">
        <v>1479500</v>
      </c>
      <c r="H16" s="48">
        <f>IF(tbl_WMT[[#This Row],[Date]]=$A$5, $F16, EMA_Beta*$H15 + (1-EMA_Beta)*$F16)</f>
        <v>317.93803093810823</v>
      </c>
      <c r="I16" s="50" t="str">
        <f ca="1">IF(tbl_WMT[[#This Row],[RS]]= "", "", 100-(100/(1+tbl_WMT[[#This Row],[RS]])))</f>
        <v/>
      </c>
      <c r="J16" s="48" t="str">
        <f ca="1">IF(ROW($N16)-4&lt;BB_Periods, "", AVERAGE(INDIRECT(ADDRESS(ROW($F16)-RSI_Periods +1, MATCH("Adj Close", Price_Header,0))): INDIRECT(ADDRESS(ROW($F16),MATCH("Adj Close", Price_Header,0)))))</f>
        <v/>
      </c>
      <c r="K16" s="48" t="str">
        <f ca="1">IF(tbl_WMT[[#This Row],[BB_Mean]]="", "", tbl_WMT[[#This Row],[BB_Mean]]+(BB_Width*tbl_WMT[[#This Row],[BB_Stdev]]))</f>
        <v/>
      </c>
      <c r="L16" s="48" t="str">
        <f ca="1">IF(tbl_WMT[[#This Row],[BB_Mean]]="", "", tbl_WMT[[#This Row],[BB_Mean]]-(BB_Width*tbl_WMT[[#This Row],[BB_Stdev]]))</f>
        <v/>
      </c>
      <c r="M16" s="46">
        <f>IF(ROW(tbl_WMT[[#This Row],[Adj Close]])=5, 0, $F16-$F15)</f>
        <v>5.9998000000007323E-2</v>
      </c>
      <c r="N16" s="46">
        <f>MAX(tbl_WMT[[#This Row],[Move]],0)</f>
        <v>5.9998000000007323E-2</v>
      </c>
      <c r="O16" s="46">
        <f>MAX(-tbl_WMT[[#This Row],[Move]],0)</f>
        <v>0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IF(tbl_WMT[[#This Row],[Avg_Upmove]]="", "", tbl_WMT[[#This Row],[Avg_Upmove]]/tbl_WMT[[#This Row],[Avg_Downmove]])</f>
        <v/>
      </c>
      <c r="S16" s="48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25">
      <c r="A17" s="8">
        <v>44069</v>
      </c>
      <c r="B17" s="48">
        <v>339.30999800000001</v>
      </c>
      <c r="C17" s="48">
        <v>346.75</v>
      </c>
      <c r="D17" s="48">
        <v>337.30999800000001</v>
      </c>
      <c r="E17" s="48">
        <v>342.39999399999999</v>
      </c>
      <c r="F17" s="48">
        <v>342.39999399999999</v>
      </c>
      <c r="G17">
        <v>1589500</v>
      </c>
      <c r="H17" s="48">
        <f>IF(tbl_WMT[[#This Row],[Date]]=$A$5, $F17, EMA_Beta*$H16 + (1-EMA_Beta)*$F17)</f>
        <v>320.38422724429739</v>
      </c>
      <c r="I17" s="50" t="str">
        <f ca="1">IF(tbl_WMT[[#This Row],[RS]]= "", "", 100-(100/(1+tbl_WMT[[#This Row],[RS]])))</f>
        <v/>
      </c>
      <c r="J17" s="48" t="str">
        <f ca="1">IF(ROW($N17)-4&lt;BB_Periods, "", AVERAGE(INDIRECT(ADDRESS(ROW($F17)-RSI_Periods +1, MATCH("Adj Close", Price_Header,0))): INDIRECT(ADDRESS(ROW($F17),MATCH("Adj Close", Price_Header,0)))))</f>
        <v/>
      </c>
      <c r="K17" s="48" t="str">
        <f ca="1">IF(tbl_WMT[[#This Row],[BB_Mean]]="", "", tbl_WMT[[#This Row],[BB_Mean]]+(BB_Width*tbl_WMT[[#This Row],[BB_Stdev]]))</f>
        <v/>
      </c>
      <c r="L17" s="48" t="str">
        <f ca="1">IF(tbl_WMT[[#This Row],[BB_Mean]]="", "", tbl_WMT[[#This Row],[BB_Mean]]-(BB_Width*tbl_WMT[[#This Row],[BB_Stdev]]))</f>
        <v/>
      </c>
      <c r="M17" s="46">
        <f>IF(ROW(tbl_WMT[[#This Row],[Adj Close]])=5, 0, $F17-$F16)</f>
        <v>4.3399959999999851</v>
      </c>
      <c r="N17" s="46">
        <f>MAX(tbl_WMT[[#This Row],[Move]],0)</f>
        <v>4.3399959999999851</v>
      </c>
      <c r="O17" s="46">
        <f>MAX(-tbl_WMT[[#This Row],[Move]],0)</f>
        <v>0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IF(tbl_WMT[[#This Row],[Avg_Upmove]]="", "", tbl_WMT[[#This Row],[Avg_Upmove]]/tbl_WMT[[#This Row],[Avg_Downmove]])</f>
        <v/>
      </c>
      <c r="S17" s="48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25">
      <c r="A18" s="8">
        <v>44070</v>
      </c>
      <c r="B18" s="48">
        <v>341.75</v>
      </c>
      <c r="C18" s="48">
        <v>342.540009</v>
      </c>
      <c r="D18" s="48">
        <v>325.89999399999999</v>
      </c>
      <c r="E18" s="48">
        <v>331.290009</v>
      </c>
      <c r="F18" s="48">
        <v>331.290009</v>
      </c>
      <c r="G18">
        <v>1905000</v>
      </c>
      <c r="H18" s="48">
        <f>IF(tbl_WMT[[#This Row],[Date]]=$A$5, $F18, EMA_Beta*$H17 + (1-EMA_Beta)*$F18)</f>
        <v>321.47480541986766</v>
      </c>
      <c r="I18" s="50" t="str">
        <f ca="1">IF(tbl_WMT[[#This Row],[RS]]= "", "", 100-(100/(1+tbl_WMT[[#This Row],[RS]])))</f>
        <v/>
      </c>
      <c r="J18" s="48">
        <f ca="1">IF(ROW($N18)-4&lt;BB_Periods, "", AVERAGE(INDIRECT(ADDRESS(ROW($F18)-RSI_Periods +1, MATCH("Adj Close", Price_Header,0))): INDIRECT(ADDRESS(ROW($F18),MATCH("Adj Close", Price_Header,0)))))</f>
        <v>323.26642942857148</v>
      </c>
      <c r="K18" s="48">
        <f ca="1">IF(tbl_WMT[[#This Row],[BB_Mean]]="", "", tbl_WMT[[#This Row],[BB_Mean]]+(BB_Width*tbl_WMT[[#This Row],[BB_Stdev]]))</f>
        <v>353.3780184356936</v>
      </c>
      <c r="L18" s="48">
        <f ca="1">IF(tbl_WMT[[#This Row],[BB_Mean]]="", "", tbl_WMT[[#This Row],[BB_Mean]]-(BB_Width*tbl_WMT[[#This Row],[BB_Stdev]]))</f>
        <v>293.15484042144936</v>
      </c>
      <c r="M18" s="46">
        <f>IF(ROW(tbl_WMT[[#This Row],[Adj Close]])=5, 0, $F18-$F17)</f>
        <v>-11.109984999999995</v>
      </c>
      <c r="N18" s="46">
        <f>MAX(tbl_WMT[[#This Row],[Move]],0)</f>
        <v>0</v>
      </c>
      <c r="O18" s="46">
        <f>MAX(-tbl_WMT[[#This Row],[Move]],0)</f>
        <v>11.109984999999995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IF(tbl_WMT[[#This Row],[Avg_Upmove]]="", "", tbl_WMT[[#This Row],[Avg_Upmove]]/tbl_WMT[[#This Row],[Avg_Downmove]])</f>
        <v/>
      </c>
      <c r="S18" s="48">
        <f ca="1">IF(ROW($N18)-4&lt;BB_Periods, "", _xlfn.STDEV.S(INDIRECT(ADDRESS(ROW($F18)-RSI_Periods +1, MATCH("Adj Close", Price_Header,0))): INDIRECT(ADDRESS(ROW($F18),MATCH("Adj Close", Price_Header,0)))))</f>
        <v>15.055794503561064</v>
      </c>
    </row>
    <row r="19" spans="1:19" x14ac:dyDescent="0.25">
      <c r="A19" s="8">
        <v>44071</v>
      </c>
      <c r="B19" s="48">
        <v>330</v>
      </c>
      <c r="C19" s="48">
        <v>333.98001099999999</v>
      </c>
      <c r="D19" s="48">
        <v>310.45001200000002</v>
      </c>
      <c r="E19" s="48">
        <v>310.94000199999999</v>
      </c>
      <c r="F19" s="48">
        <v>310.94000199999999</v>
      </c>
      <c r="G19">
        <v>2545400</v>
      </c>
      <c r="H19" s="48">
        <f>IF(tbl_WMT[[#This Row],[Date]]=$A$5, $F19, EMA_Beta*$H18 + (1-EMA_Beta)*$F19)</f>
        <v>320.42132507788091</v>
      </c>
      <c r="I19" s="50">
        <f ca="1">IF(tbl_WMT[[#This Row],[RS]]= "", "", 100-(100/(1+tbl_WMT[[#This Row],[RS]])))</f>
        <v>55.74293915947171</v>
      </c>
      <c r="J19" s="48">
        <f ca="1">IF(ROW($N19)-4&lt;BB_Periods, "", AVERAGE(INDIRECT(ADDRESS(ROW($F19)-RSI_Periods +1, MATCH("Adj Close", Price_Header,0))): INDIRECT(ADDRESS(ROW($F19),MATCH("Adj Close", Price_Header,0)))))</f>
        <v>324.1907152857143</v>
      </c>
      <c r="K19" s="48">
        <f ca="1">IF(tbl_WMT[[#This Row],[BB_Mean]]="", "", tbl_WMT[[#This Row],[BB_Mean]]+(BB_Width*tbl_WMT[[#This Row],[BB_Stdev]]))</f>
        <v>351.63794253521053</v>
      </c>
      <c r="L19" s="48">
        <f ca="1">IF(tbl_WMT[[#This Row],[BB_Mean]]="", "", tbl_WMT[[#This Row],[BB_Mean]]-(BB_Width*tbl_WMT[[#This Row],[BB_Stdev]]))</f>
        <v>296.74348803621808</v>
      </c>
      <c r="M19" s="46">
        <f>IF(ROW(tbl_WMT[[#This Row],[Adj Close]])=5, 0, $F19-$F18)</f>
        <v>-20.350007000000005</v>
      </c>
      <c r="N19" s="46">
        <f>MAX(tbl_WMT[[#This Row],[Move]],0)</f>
        <v>0</v>
      </c>
      <c r="O19" s="46">
        <f>MAX(-tbl_WMT[[#This Row],[Move]],0)</f>
        <v>20.350007000000005</v>
      </c>
      <c r="P19" s="46">
        <f ca="1">IF(ROW($N19)-5&lt;RSI_Periods, "", AVERAGE(INDIRECT(ADDRESS(ROW($N19)-RSI_Periods +1, MATCH("Upmove", Price_Header,0))): INDIRECT(ADDRESS(ROW($N19),MATCH("Upmove", Price_Header,0)))))</f>
        <v>4.4857179285714324</v>
      </c>
      <c r="Q19" s="46">
        <f ca="1">IF(ROW($O19)-5&lt;RSI_Periods, "", AVERAGE(INDIRECT(ADDRESS(ROW($O19)-RSI_Periods +1, MATCH("Downmove", Price_Header,0))): INDIRECT(ADDRESS(ROW($O19),MATCH("Downmove", Price_Header,0)))))</f>
        <v>3.5614320714285759</v>
      </c>
      <c r="R19" s="46">
        <f ca="1">IF(tbl_WMT[[#This Row],[Avg_Upmove]]="", "", tbl_WMT[[#This Row],[Avg_Upmove]]/tbl_WMT[[#This Row],[Avg_Downmove]])</f>
        <v>1.2595264597513727</v>
      </c>
      <c r="S19" s="48">
        <f ca="1">IF(ROW($N19)-4&lt;BB_Periods, "", _xlfn.STDEV.S(INDIRECT(ADDRESS(ROW($F19)-RSI_Periods +1, MATCH("Adj Close", Price_Header,0))): INDIRECT(ADDRESS(ROW($F19),MATCH("Adj Close", Price_Header,0)))))</f>
        <v>13.723613624748101</v>
      </c>
    </row>
    <row r="20" spans="1:19" x14ac:dyDescent="0.25">
      <c r="A20" s="8">
        <v>44074</v>
      </c>
      <c r="B20" s="48">
        <v>310.98998999999998</v>
      </c>
      <c r="C20" s="48">
        <v>311.459991</v>
      </c>
      <c r="D20" s="48">
        <v>287.30999800000001</v>
      </c>
      <c r="E20" s="48">
        <v>296.55999800000001</v>
      </c>
      <c r="F20" s="48">
        <v>296.55999800000001</v>
      </c>
      <c r="G20">
        <v>4239600</v>
      </c>
      <c r="H20" s="48">
        <f>IF(tbl_WMT[[#This Row],[Date]]=$A$5, $F20, EMA_Beta*$H19 + (1-EMA_Beta)*$F20)</f>
        <v>318.03519237009283</v>
      </c>
      <c r="I20" s="50">
        <f ca="1">IF(tbl_WMT[[#This Row],[RS]]= "", "", 100-(100/(1+tbl_WMT[[#This Row],[RS]])))</f>
        <v>44.577691198417504</v>
      </c>
      <c r="J20" s="48">
        <f ca="1">IF(ROW($N20)-4&lt;BB_Periods, "", AVERAGE(INDIRECT(ADDRESS(ROW($F20)-RSI_Periods +1, MATCH("Adj Close", Price_Header,0))): INDIRECT(ADDRESS(ROW($F20),MATCH("Adj Close", Price_Header,0)))))</f>
        <v>323.29285764285714</v>
      </c>
      <c r="K20" s="48">
        <f ca="1">IF(tbl_WMT[[#This Row],[BB_Mean]]="", "", tbl_WMT[[#This Row],[BB_Mean]]+(BB_Width*tbl_WMT[[#This Row],[BB_Stdev]]))</f>
        <v>353.54174262439227</v>
      </c>
      <c r="L20" s="48">
        <f ca="1">IF(tbl_WMT[[#This Row],[BB_Mean]]="", "", tbl_WMT[[#This Row],[BB_Mean]]-(BB_Width*tbl_WMT[[#This Row],[BB_Stdev]]))</f>
        <v>293.04397266132202</v>
      </c>
      <c r="M20" s="46">
        <f>IF(ROW(tbl_WMT[[#This Row],[Adj Close]])=5, 0, $F20-$F19)</f>
        <v>-14.380003999999985</v>
      </c>
      <c r="N20" s="46">
        <f>MAX(tbl_WMT[[#This Row],[Move]],0)</f>
        <v>0</v>
      </c>
      <c r="O20" s="46">
        <f>MAX(-tbl_WMT[[#This Row],[Move]],0)</f>
        <v>14.380003999999985</v>
      </c>
      <c r="P20" s="46">
        <f ca="1">IF(ROW($N20)-5&lt;RSI_Periods, "", AVERAGE(INDIRECT(ADDRESS(ROW($N20)-RSI_Periods +1, MATCH("Upmove", Price_Header,0))): INDIRECT(ADDRESS(ROW($N20),MATCH("Upmove", Price_Header,0)))))</f>
        <v>3.6907175714285763</v>
      </c>
      <c r="Q20" s="46">
        <f ca="1">IF(ROW($O20)-5&lt;RSI_Periods, "", AVERAGE(INDIRECT(ADDRESS(ROW($O20)-RSI_Periods +1, MATCH("Downmove", Price_Header,0))): INDIRECT(ADDRESS(ROW($O20),MATCH("Downmove", Price_Header,0)))))</f>
        <v>4.5885752142857177</v>
      </c>
      <c r="R20" s="46">
        <f ca="1">IF(tbl_WMT[[#This Row],[Avg_Upmove]]="", "", tbl_WMT[[#This Row],[Avg_Upmove]]/tbl_WMT[[#This Row],[Avg_Downmove]])</f>
        <v>0.80432757426274271</v>
      </c>
      <c r="S20" s="48">
        <f ca="1">IF(ROW($N20)-4&lt;BB_Periods, "", _xlfn.STDEV.S(INDIRECT(ADDRESS(ROW($F20)-RSI_Periods +1, MATCH("Adj Close", Price_Header,0))): INDIRECT(ADDRESS(ROW($F20),MATCH("Adj Close", Price_Header,0)))))</f>
        <v>15.124442490767573</v>
      </c>
    </row>
    <row r="21" spans="1:19" x14ac:dyDescent="0.25">
      <c r="A21" s="8">
        <v>44075</v>
      </c>
      <c r="B21" s="48">
        <v>298.5</v>
      </c>
      <c r="C21" s="48">
        <v>313.86999500000002</v>
      </c>
      <c r="D21" s="48">
        <v>297.30999800000001</v>
      </c>
      <c r="E21" s="48">
        <v>306.82998700000002</v>
      </c>
      <c r="F21" s="48">
        <v>306.82998700000002</v>
      </c>
      <c r="G21">
        <v>1708300</v>
      </c>
      <c r="H21" s="48">
        <f>IF(tbl_WMT[[#This Row],[Date]]=$A$5, $F21, EMA_Beta*$H20 + (1-EMA_Beta)*$F21)</f>
        <v>316.91467183308356</v>
      </c>
      <c r="I21" s="50">
        <f ca="1">IF(tbl_WMT[[#This Row],[RS]]= "", "", 100-(100/(1+tbl_WMT[[#This Row],[RS]])))</f>
        <v>52.142433652684112</v>
      </c>
      <c r="J21" s="48">
        <f ca="1">IF(ROW($N21)-4&lt;BB_Periods, "", AVERAGE(INDIRECT(ADDRESS(ROW($F21)-RSI_Periods +1, MATCH("Adj Close", Price_Header,0))): INDIRECT(ADDRESS(ROW($F21),MATCH("Adj Close", Price_Header,0)))))</f>
        <v>323.65642885714288</v>
      </c>
      <c r="K21" s="48">
        <f ca="1">IF(tbl_WMT[[#This Row],[BB_Mean]]="", "", tbl_WMT[[#This Row],[BB_Mean]]+(BB_Width*tbl_WMT[[#This Row],[BB_Stdev]]))</f>
        <v>352.89488255885294</v>
      </c>
      <c r="L21" s="48">
        <f ca="1">IF(tbl_WMT[[#This Row],[BB_Mean]]="", "", tbl_WMT[[#This Row],[BB_Mean]]-(BB_Width*tbl_WMT[[#This Row],[BB_Stdev]]))</f>
        <v>294.41797515543283</v>
      </c>
      <c r="M21" s="46">
        <f>IF(ROW(tbl_WMT[[#This Row],[Adj Close]])=5, 0, $F21-$F20)</f>
        <v>10.26998900000001</v>
      </c>
      <c r="N21" s="46">
        <f>MAX(tbl_WMT[[#This Row],[Move]],0)</f>
        <v>10.26998900000001</v>
      </c>
      <c r="O21" s="46">
        <f>MAX(-tbl_WMT[[#This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4.4242882142857196</v>
      </c>
      <c r="Q21" s="46">
        <f ca="1">IF(ROW($O21)-5&lt;RSI_Periods, "", AVERAGE(INDIRECT(ADDRESS(ROW($O21)-RSI_Periods +1, MATCH("Downmove", Price_Header,0))): INDIRECT(ADDRESS(ROW($O21),MATCH("Downmove", Price_Header,0)))))</f>
        <v>4.060717000000003</v>
      </c>
      <c r="R21" s="46">
        <f ca="1">IF(tbl_WMT[[#This Row],[Avg_Upmove]]="", "", tbl_WMT[[#This Row],[Avg_Upmove]]/tbl_WMT[[#This Row],[Avg_Downmove]])</f>
        <v>1.0895337484207139</v>
      </c>
      <c r="S21" s="48">
        <f ca="1">IF(ROW($N21)-4&lt;BB_Periods, "", _xlfn.STDEV.S(INDIRECT(ADDRESS(ROW($F21)-RSI_Periods +1, MATCH("Adj Close", Price_Header,0))): INDIRECT(ADDRESS(ROW($F21),MATCH("Adj Close", Price_Header,0)))))</f>
        <v>14.619226850855036</v>
      </c>
    </row>
    <row r="22" spans="1:19" x14ac:dyDescent="0.25">
      <c r="A22" s="8">
        <v>44076</v>
      </c>
      <c r="B22" s="48">
        <v>311.01001000000002</v>
      </c>
      <c r="C22" s="48">
        <v>313</v>
      </c>
      <c r="D22" s="48">
        <v>288.01001000000002</v>
      </c>
      <c r="E22" s="48">
        <v>300.209991</v>
      </c>
      <c r="F22" s="48">
        <v>300.209991</v>
      </c>
      <c r="G22">
        <v>1955800</v>
      </c>
      <c r="H22" s="48">
        <f>IF(tbl_WMT[[#This Row],[Date]]=$A$5, $F22, EMA_Beta*$H21 + (1-EMA_Beta)*$F22)</f>
        <v>315.24420374977518</v>
      </c>
      <c r="I22" s="50">
        <f ca="1">IF(tbl_WMT[[#This Row],[RS]]= "", "", 100-(100/(1+tbl_WMT[[#This Row],[RS]])))</f>
        <v>43.762178024907847</v>
      </c>
      <c r="J22" s="48">
        <f ca="1">IF(ROW($N22)-4&lt;BB_Periods, "", AVERAGE(INDIRECT(ADDRESS(ROW($F22)-RSI_Periods +1, MATCH("Adj Close", Price_Header,0))): INDIRECT(ADDRESS(ROW($F22),MATCH("Adj Close", Price_Header,0)))))</f>
        <v>322.65071328571423</v>
      </c>
      <c r="K22" s="48">
        <f ca="1">IF(tbl_WMT[[#This Row],[BB_Mean]]="", "", tbl_WMT[[#This Row],[BB_Mean]]+(BB_Width*tbl_WMT[[#This Row],[BB_Stdev]]))</f>
        <v>354.15762804431131</v>
      </c>
      <c r="L22" s="48">
        <f ca="1">IF(tbl_WMT[[#This Row],[BB_Mean]]="", "", tbl_WMT[[#This Row],[BB_Mean]]-(BB_Width*tbl_WMT[[#This Row],[BB_Stdev]]))</f>
        <v>291.14379852711716</v>
      </c>
      <c r="M22" s="46">
        <f>IF(ROW(tbl_WMT[[#This Row],[Adj Close]])=5, 0, $F22-$F21)</f>
        <v>-6.6199960000000146</v>
      </c>
      <c r="N22" s="46">
        <f>MAX(tbl_WMT[[#This Row],[Move]],0)</f>
        <v>0</v>
      </c>
      <c r="O22" s="46">
        <f>MAX(-tbl_WMT[[#This Row],[Move]],0)</f>
        <v>6.6199960000000146</v>
      </c>
      <c r="P22" s="46">
        <f ca="1">IF(ROW($N22)-5&lt;RSI_Periods, "", AVERAGE(INDIRECT(ADDRESS(ROW($N22)-RSI_Periods +1, MATCH("Upmove", Price_Header,0))): INDIRECT(ADDRESS(ROW($N22),MATCH("Upmove", Price_Header,0)))))</f>
        <v>3.5278582857142902</v>
      </c>
      <c r="Q22" s="46">
        <f ca="1">IF(ROW($O22)-5&lt;RSI_Periods, "", AVERAGE(INDIRECT(ADDRESS(ROW($O22)-RSI_Periods +1, MATCH("Downmove", Price_Header,0))): INDIRECT(ADDRESS(ROW($O22),MATCH("Downmove", Price_Header,0)))))</f>
        <v>4.5335738571428612</v>
      </c>
      <c r="R22" s="46">
        <f ca="1">IF(tbl_WMT[[#This Row],[Avg_Upmove]]="", "", tbl_WMT[[#This Row],[Avg_Upmove]]/tbl_WMT[[#This Row],[Avg_Downmove]])</f>
        <v>0.77816274684837916</v>
      </c>
      <c r="S22" s="48">
        <f ca="1">IF(ROW($N22)-4&lt;BB_Periods, "", _xlfn.STDEV.S(INDIRECT(ADDRESS(ROW($F22)-RSI_Periods +1, MATCH("Adj Close", Price_Header,0))): INDIRECT(ADDRESS(ROW($F22),MATCH("Adj Close", Price_Header,0)))))</f>
        <v>15.753457379298524</v>
      </c>
    </row>
    <row r="23" spans="1:19" x14ac:dyDescent="0.25">
      <c r="A23" s="8">
        <v>44077</v>
      </c>
      <c r="B23" s="48">
        <v>287.54998799999998</v>
      </c>
      <c r="C23" s="48">
        <v>292.790009</v>
      </c>
      <c r="D23" s="48">
        <v>273.08999599999999</v>
      </c>
      <c r="E23" s="48">
        <v>275.70001200000002</v>
      </c>
      <c r="F23" s="48">
        <v>275.70001200000002</v>
      </c>
      <c r="G23">
        <v>2800100</v>
      </c>
      <c r="H23" s="48">
        <f>IF(tbl_WMT[[#This Row],[Date]]=$A$5, $F23, EMA_Beta*$H22 + (1-EMA_Beta)*$F23)</f>
        <v>311.28978457479764</v>
      </c>
      <c r="I23" s="50">
        <f ca="1">IF(tbl_WMT[[#This Row],[RS]]= "", "", 100-(100/(1+tbl_WMT[[#This Row],[RS]])))</f>
        <v>37.115812946884148</v>
      </c>
      <c r="J23" s="48">
        <f ca="1">IF(ROW($N23)-4&lt;BB_Periods, "", AVERAGE(INDIRECT(ADDRESS(ROW($F23)-RSI_Periods +1, MATCH("Adj Close", Price_Header,0))): INDIRECT(ADDRESS(ROW($F23),MATCH("Adj Close", Price_Header,0)))))</f>
        <v>320.20142914285714</v>
      </c>
      <c r="K23" s="48">
        <f ca="1">IF(tbl_WMT[[#This Row],[BB_Mean]]="", "", tbl_WMT[[#This Row],[BB_Mean]]+(BB_Width*tbl_WMT[[#This Row],[BB_Stdev]]))</f>
        <v>360.14876751552549</v>
      </c>
      <c r="L23" s="48">
        <f ca="1">IF(tbl_WMT[[#This Row],[BB_Mean]]="", "", tbl_WMT[[#This Row],[BB_Mean]]-(BB_Width*tbl_WMT[[#This Row],[BB_Stdev]]))</f>
        <v>280.25409077018878</v>
      </c>
      <c r="M23" s="46">
        <f>IF(ROW(tbl_WMT[[#This Row],[Adj Close]])=5, 0, $F23-$F22)</f>
        <v>-24.509978999999987</v>
      </c>
      <c r="N23" s="46">
        <f>MAX(tbl_WMT[[#This Row],[Move]],0)</f>
        <v>0</v>
      </c>
      <c r="O23" s="46">
        <f>MAX(-tbl_WMT[[#This Row],[Move]],0)</f>
        <v>24.509978999999987</v>
      </c>
      <c r="P23" s="46">
        <f ca="1">IF(ROW($N23)-5&lt;RSI_Periods, "", AVERAGE(INDIRECT(ADDRESS(ROW($N23)-RSI_Periods +1, MATCH("Upmove", Price_Header,0))): INDIRECT(ADDRESS(ROW($N23),MATCH("Upmove", Price_Header,0)))))</f>
        <v>3.5278582857142902</v>
      </c>
      <c r="Q23" s="46">
        <f ca="1">IF(ROW($O23)-5&lt;RSI_Periods, "", AVERAGE(INDIRECT(ADDRESS(ROW($O23)-RSI_Periods +1, MATCH("Downmove", Price_Header,0))): INDIRECT(ADDRESS(ROW($O23),MATCH("Downmove", Price_Header,0)))))</f>
        <v>5.9771424285714305</v>
      </c>
      <c r="R23" s="46">
        <f ca="1">IF(tbl_WMT[[#This Row],[Avg_Upmove]]="", "", tbl_WMT[[#This Row],[Avg_Upmove]]/tbl_WMT[[#This Row],[Avg_Downmove]])</f>
        <v>0.59022489891669982</v>
      </c>
      <c r="S23" s="48">
        <f ca="1">IF(ROW($N23)-4&lt;BB_Periods, "", _xlfn.STDEV.S(INDIRECT(ADDRESS(ROW($F23)-RSI_Periods +1, MATCH("Adj Close", Price_Header,0))): INDIRECT(ADDRESS(ROW($F23),MATCH("Adj Close", Price_Header,0)))))</f>
        <v>19.973669186334178</v>
      </c>
    </row>
    <row r="24" spans="1:19" x14ac:dyDescent="0.25">
      <c r="A24" s="8">
        <v>44078</v>
      </c>
      <c r="B24" s="48">
        <v>265.70001200000002</v>
      </c>
      <c r="C24" s="48">
        <v>271.959991</v>
      </c>
      <c r="D24" s="48">
        <v>234.64999399999999</v>
      </c>
      <c r="E24" s="48">
        <v>260.94000199999999</v>
      </c>
      <c r="F24" s="48">
        <v>260.94000199999999</v>
      </c>
      <c r="G24">
        <v>4850200</v>
      </c>
      <c r="H24" s="48">
        <f>IF(tbl_WMT[[#This Row],[Date]]=$A$5, $F24, EMA_Beta*$H23 + (1-EMA_Beta)*$F24)</f>
        <v>306.25480631731784</v>
      </c>
      <c r="I24" s="50">
        <f ca="1">IF(tbl_WMT[[#This Row],[RS]]= "", "", 100-(100/(1+tbl_WMT[[#This Row],[RS]])))</f>
        <v>31.505704661683708</v>
      </c>
      <c r="J24" s="48">
        <f ca="1">IF(ROW($N24)-4&lt;BB_Periods, "", AVERAGE(INDIRECT(ADDRESS(ROW($F24)-RSI_Periods +1, MATCH("Adj Close", Price_Header,0))): INDIRECT(ADDRESS(ROW($F24),MATCH("Adj Close", Price_Header,0)))))</f>
        <v>316.40428600000001</v>
      </c>
      <c r="K24" s="48">
        <f ca="1">IF(tbl_WMT[[#This Row],[BB_Mean]]="", "", tbl_WMT[[#This Row],[BB_Mean]]+(BB_Width*tbl_WMT[[#This Row],[BB_Stdev]]))</f>
        <v>367.42208147124444</v>
      </c>
      <c r="L24" s="48">
        <f ca="1">IF(tbl_WMT[[#This Row],[BB_Mean]]="", "", tbl_WMT[[#This Row],[BB_Mean]]-(BB_Width*tbl_WMT[[#This Row],[BB_Stdev]]))</f>
        <v>265.38649052875559</v>
      </c>
      <c r="M24" s="46">
        <f>IF(ROW(tbl_WMT[[#This Row],[Adj Close]])=5, 0, $F24-$F23)</f>
        <v>-14.760010000000023</v>
      </c>
      <c r="N24" s="46">
        <f>MAX(tbl_WMT[[#This Row],[Move]],0)</f>
        <v>0</v>
      </c>
      <c r="O24" s="46">
        <f>MAX(-tbl_WMT[[#This Row],[Move]],0)</f>
        <v>14.760010000000023</v>
      </c>
      <c r="P24" s="46">
        <f ca="1">IF(ROW($N24)-5&lt;RSI_Periods, "", AVERAGE(INDIRECT(ADDRESS(ROW($N24)-RSI_Periods +1, MATCH("Upmove", Price_Header,0))): INDIRECT(ADDRESS(ROW($N24),MATCH("Upmove", Price_Header,0)))))</f>
        <v>3.2342857142857162</v>
      </c>
      <c r="Q24" s="46">
        <f ca="1">IF(ROW($O24)-5&lt;RSI_Periods, "", AVERAGE(INDIRECT(ADDRESS(ROW($O24)-RSI_Periods +1, MATCH("Downmove", Price_Header,0))): INDIRECT(ADDRESS(ROW($O24),MATCH("Downmove", Price_Header,0)))))</f>
        <v>7.0314288571428607</v>
      </c>
      <c r="R24" s="46">
        <f ca="1">IF(tbl_WMT[[#This Row],[Avg_Upmove]]="", "", tbl_WMT[[#This Row],[Avg_Upmove]]/tbl_WMT[[#This Row],[Avg_Downmove]])</f>
        <v>0.45997560097620477</v>
      </c>
      <c r="S24" s="48">
        <f ca="1">IF(ROW($N24)-4&lt;BB_Periods, "", _xlfn.STDEV.S(INDIRECT(ADDRESS(ROW($F24)-RSI_Periods +1, MATCH("Adj Close", Price_Header,0))): INDIRECT(ADDRESS(ROW($F24),MATCH("Adj Close", Price_Header,0)))))</f>
        <v>25.508897735622213</v>
      </c>
    </row>
    <row r="25" spans="1:19" x14ac:dyDescent="0.25">
      <c r="A25" s="8">
        <v>44082</v>
      </c>
      <c r="B25" s="48">
        <v>246</v>
      </c>
      <c r="C25" s="48">
        <v>270.02499399999999</v>
      </c>
      <c r="D25" s="48">
        <v>242.509995</v>
      </c>
      <c r="E25" s="48">
        <v>252.08000200000001</v>
      </c>
      <c r="F25" s="48">
        <v>252.08000200000001</v>
      </c>
      <c r="G25">
        <v>2321200</v>
      </c>
      <c r="H25" s="48">
        <f>IF(tbl_WMT[[#This Row],[Date]]=$A$5, $F25, EMA_Beta*$H24 + (1-EMA_Beta)*$F25)</f>
        <v>300.8373258855861</v>
      </c>
      <c r="I25" s="50">
        <f ca="1">IF(tbl_WMT[[#This Row],[RS]]= "", "", 100-(100/(1+tbl_WMT[[#This Row],[RS]])))</f>
        <v>23.673352577227135</v>
      </c>
      <c r="J25" s="48">
        <f ca="1">IF(ROW($N25)-4&lt;BB_Periods, "", AVERAGE(INDIRECT(ADDRESS(ROW($F25)-RSI_Periods +1, MATCH("Adj Close", Price_Header,0))): INDIRECT(ADDRESS(ROW($F25),MATCH("Adj Close", Price_Header,0)))))</f>
        <v>311.11714285714288</v>
      </c>
      <c r="K25" s="48">
        <f ca="1">IF(tbl_WMT[[#This Row],[BB_Mean]]="", "", tbl_WMT[[#This Row],[BB_Mean]]+(BB_Width*tbl_WMT[[#This Row],[BB_Stdev]]))</f>
        <v>372.16290727175743</v>
      </c>
      <c r="L25" s="48">
        <f ca="1">IF(tbl_WMT[[#This Row],[BB_Mean]]="", "", tbl_WMT[[#This Row],[BB_Mean]]-(BB_Width*tbl_WMT[[#This Row],[BB_Stdev]]))</f>
        <v>250.07137844252833</v>
      </c>
      <c r="M25" s="46">
        <f>IF(ROW(tbl_WMT[[#This Row],[Adj Close]])=5, 0, $F25-$F24)</f>
        <v>-8.8599999999999852</v>
      </c>
      <c r="N25" s="46">
        <f>MAX(tbl_WMT[[#This Row],[Move]],0)</f>
        <v>0</v>
      </c>
      <c r="O25" s="46">
        <f>MAX(-tbl_WMT[[#This Row],[Move]],0)</f>
        <v>8.8599999999999852</v>
      </c>
      <c r="P25" s="46">
        <f ca="1">IF(ROW($N25)-5&lt;RSI_Periods, "", AVERAGE(INDIRECT(ADDRESS(ROW($N25)-RSI_Periods +1, MATCH("Upmove", Price_Header,0))): INDIRECT(ADDRESS(ROW($N25),MATCH("Upmove", Price_Header,0)))))</f>
        <v>2.3771428571428594</v>
      </c>
      <c r="Q25" s="46">
        <f ca="1">IF(ROW($O25)-5&lt;RSI_Periods, "", AVERAGE(INDIRECT(ADDRESS(ROW($O25)-RSI_Periods +1, MATCH("Downmove", Price_Header,0))): INDIRECT(ADDRESS(ROW($O25),MATCH("Downmove", Price_Header,0)))))</f>
        <v>7.6642860000000024</v>
      </c>
      <c r="R25" s="46">
        <f ca="1">IF(tbl_WMT[[#This Row],[Avg_Upmove]]="", "", tbl_WMT[[#This Row],[Avg_Upmove]]/tbl_WMT[[#This Row],[Avg_Downmove]])</f>
        <v>0.31015842273407579</v>
      </c>
      <c r="S25" s="48">
        <f ca="1">IF(ROW($N25)-4&lt;BB_Periods, "", _xlfn.STDEV.S(INDIRECT(ADDRESS(ROW($F25)-RSI_Periods +1, MATCH("Adj Close", Price_Header,0))): INDIRECT(ADDRESS(ROW($F25),MATCH("Adj Close", Price_Header,0)))))</f>
        <v>30.522882207307273</v>
      </c>
    </row>
    <row r="26" spans="1:19" x14ac:dyDescent="0.25">
      <c r="A26" s="8">
        <v>44083</v>
      </c>
      <c r="B26" s="48">
        <v>258.57000699999998</v>
      </c>
      <c r="C26" s="48">
        <v>266.39001500000001</v>
      </c>
      <c r="D26" s="48">
        <v>251.330994</v>
      </c>
      <c r="E26" s="48">
        <v>258.30999800000001</v>
      </c>
      <c r="F26" s="48">
        <v>258.30999800000001</v>
      </c>
      <c r="G26">
        <v>1737700</v>
      </c>
      <c r="H26" s="48">
        <f>IF(tbl_WMT[[#This Row],[Date]]=$A$5, $F26, EMA_Beta*$H25 + (1-EMA_Beta)*$F26)</f>
        <v>296.58459309702749</v>
      </c>
      <c r="I26" s="50">
        <f ca="1">IF(tbl_WMT[[#This Row],[RS]]= "", "", 100-(100/(1+tbl_WMT[[#This Row],[RS]])))</f>
        <v>23.30235377562127</v>
      </c>
      <c r="J26" s="48">
        <f ca="1">IF(ROW($N26)-4&lt;BB_Periods, "", AVERAGE(INDIRECT(ADDRESS(ROW($F26)-RSI_Periods +1, MATCH("Adj Close", Price_Header,0))): INDIRECT(ADDRESS(ROW($F26),MATCH("Adj Close", Price_Header,0)))))</f>
        <v>305.78142771428571</v>
      </c>
      <c r="K26" s="48">
        <f ca="1">IF(tbl_WMT[[#This Row],[BB_Mean]]="", "", tbl_WMT[[#This Row],[BB_Mean]]+(BB_Width*tbl_WMT[[#This Row],[BB_Stdev]]))</f>
        <v>371.46627277160565</v>
      </c>
      <c r="L26" s="48">
        <f ca="1">IF(tbl_WMT[[#This Row],[BB_Mean]]="", "", tbl_WMT[[#This Row],[BB_Mean]]-(BB_Width*tbl_WMT[[#This Row],[BB_Stdev]]))</f>
        <v>240.09658265696575</v>
      </c>
      <c r="M26" s="46">
        <f>IF(ROW(tbl_WMT[[#This Row],[Adj Close]])=5, 0, $F26-$F25)</f>
        <v>6.2299959999999999</v>
      </c>
      <c r="N26" s="46">
        <f>MAX(tbl_WMT[[#This Row],[Move]],0)</f>
        <v>6.2299959999999999</v>
      </c>
      <c r="O26" s="46">
        <f>MAX(-tbl_WMT[[#This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2.3285708571428581</v>
      </c>
      <c r="Q26" s="46">
        <f ca="1">IF(ROW($O26)-5&lt;RSI_Periods, "", AVERAGE(INDIRECT(ADDRESS(ROW($O26)-RSI_Periods +1, MATCH("Downmove", Price_Header,0))): INDIRECT(ADDRESS(ROW($O26),MATCH("Downmove", Price_Header,0)))))</f>
        <v>7.6642860000000024</v>
      </c>
      <c r="R26" s="46">
        <f ca="1">IF(tbl_WMT[[#This Row],[Avg_Upmove]]="", "", tbl_WMT[[#This Row],[Avg_Upmove]]/tbl_WMT[[#This Row],[Avg_Downmove]])</f>
        <v>0.3038209765583979</v>
      </c>
      <c r="S26" s="48">
        <f ca="1">IF(ROW($N26)-4&lt;BB_Periods, "", _xlfn.STDEV.S(INDIRECT(ADDRESS(ROW($F26)-RSI_Periods +1, MATCH("Adj Close", Price_Header,0))): INDIRECT(ADDRESS(ROW($F26),MATCH("Adj Close", Price_Header,0)))))</f>
        <v>32.842422528659981</v>
      </c>
    </row>
    <row r="27" spans="1:19" x14ac:dyDescent="0.25">
      <c r="A27" s="8">
        <v>44084</v>
      </c>
      <c r="B27" s="48">
        <v>272.60000600000001</v>
      </c>
      <c r="C27" s="48">
        <v>296.85998499999999</v>
      </c>
      <c r="D27" s="48">
        <v>261.69000199999999</v>
      </c>
      <c r="E27" s="48">
        <v>264.60998499999999</v>
      </c>
      <c r="F27" s="48">
        <v>264.60998499999999</v>
      </c>
      <c r="G27">
        <v>4921900</v>
      </c>
      <c r="H27" s="48">
        <f>IF(tbl_WMT[[#This Row],[Date]]=$A$5, $F27, EMA_Beta*$H26 + (1-EMA_Beta)*$F27)</f>
        <v>293.38713228732479</v>
      </c>
      <c r="I27" s="50">
        <f ca="1">IF(tbl_WMT[[#This Row],[RS]]= "", "", 100-(100/(1+tbl_WMT[[#This Row],[RS]])))</f>
        <v>27.365451179431886</v>
      </c>
      <c r="J27" s="48">
        <f ca="1">IF(ROW($N27)-4&lt;BB_Periods, "", AVERAGE(INDIRECT(ADDRESS(ROW($F27)-RSI_Periods +1, MATCH("Adj Close", Price_Header,0))): INDIRECT(ADDRESS(ROW($F27),MATCH("Adj Close", Price_Header,0)))))</f>
        <v>301.18499871428577</v>
      </c>
      <c r="K27" s="48">
        <f ca="1">IF(tbl_WMT[[#This Row],[BB_Mean]]="", "", tbl_WMT[[#This Row],[BB_Mean]]+(BB_Width*tbl_WMT[[#This Row],[BB_Stdev]]))</f>
        <v>368.85883866312963</v>
      </c>
      <c r="L27" s="48">
        <f ca="1">IF(tbl_WMT[[#This Row],[BB_Mean]]="", "", tbl_WMT[[#This Row],[BB_Mean]]-(BB_Width*tbl_WMT[[#This Row],[BB_Stdev]]))</f>
        <v>233.51115876544191</v>
      </c>
      <c r="M27" s="46">
        <f>IF(ROW(tbl_WMT[[#This Row],[Adj Close]])=5, 0, $F27-$F26)</f>
        <v>6.2999869999999873</v>
      </c>
      <c r="N27" s="46">
        <f>MAX(tbl_WMT[[#This Row],[Move]],0)</f>
        <v>6.2999869999999873</v>
      </c>
      <c r="O27" s="46">
        <f>MAX(-tbl_WMT[[#This Row],[Move]],0)</f>
        <v>0</v>
      </c>
      <c r="P27" s="46">
        <f ca="1">IF(ROW($N27)-5&lt;RSI_Periods, "", AVERAGE(INDIRECT(ADDRESS(ROW($N27)-RSI_Periods +1, MATCH("Upmove", Price_Header,0))): INDIRECT(ADDRESS(ROW($N27),MATCH("Upmove", Price_Header,0)))))</f>
        <v>2.7785699285714287</v>
      </c>
      <c r="Q27" s="46">
        <f ca="1">IF(ROW($O27)-5&lt;RSI_Periods, "", AVERAGE(INDIRECT(ADDRESS(ROW($O27)-RSI_Periods +1, MATCH("Downmove", Price_Header,0))): INDIRECT(ADDRESS(ROW($O27),MATCH("Downmove", Price_Header,0)))))</f>
        <v>7.3749989285714292</v>
      </c>
      <c r="R27" s="46">
        <f ca="1">IF(tbl_WMT[[#This Row],[Avg_Upmove]]="", "", tbl_WMT[[#This Row],[Avg_Upmove]]/tbl_WMT[[#This Row],[Avg_Downmove]])</f>
        <v>0.37675529928648416</v>
      </c>
      <c r="S27" s="48">
        <f ca="1">IF(ROW($N27)-4&lt;BB_Periods, "", _xlfn.STDEV.S(INDIRECT(ADDRESS(ROW($F27)-RSI_Periods +1, MATCH("Adj Close", Price_Header,0))): INDIRECT(ADDRESS(ROW($F27),MATCH("Adj Close", Price_Header,0)))))</f>
        <v>33.836919974421924</v>
      </c>
    </row>
    <row r="28" spans="1:19" x14ac:dyDescent="0.25">
      <c r="A28" s="8">
        <v>44085</v>
      </c>
      <c r="B28" s="48">
        <v>266.45001200000002</v>
      </c>
      <c r="C28" s="48">
        <v>273.44000199999999</v>
      </c>
      <c r="D28" s="48">
        <v>245.949997</v>
      </c>
      <c r="E28" s="48">
        <v>252.279999</v>
      </c>
      <c r="F28" s="48">
        <v>252.279999</v>
      </c>
      <c r="G28">
        <v>2498700</v>
      </c>
      <c r="H28" s="48">
        <f>IF(tbl_WMT[[#This Row],[Date]]=$A$5, $F28, EMA_Beta*$H27 + (1-EMA_Beta)*$F28)</f>
        <v>289.27641895859233</v>
      </c>
      <c r="I28" s="50">
        <f ca="1">IF(tbl_WMT[[#This Row],[RS]]= "", "", 100-(100/(1+tbl_WMT[[#This Row],[RS]])))</f>
        <v>19.050271747913712</v>
      </c>
      <c r="J28" s="48">
        <f ca="1">IF(ROW($N28)-4&lt;BB_Periods, "", AVERAGE(INDIRECT(ADDRESS(ROW($F28)-RSI_Periods +1, MATCH("Adj Close", Price_Header,0))): INDIRECT(ADDRESS(ROW($F28),MATCH("Adj Close", Price_Header,0)))))</f>
        <v>294.87214121428576</v>
      </c>
      <c r="K28" s="48">
        <f ca="1">IF(tbl_WMT[[#This Row],[BB_Mean]]="", "", tbl_WMT[[#This Row],[BB_Mean]]+(BB_Width*tbl_WMT[[#This Row],[BB_Stdev]]))</f>
        <v>363.16940001940492</v>
      </c>
      <c r="L28" s="48">
        <f ca="1">IF(tbl_WMT[[#This Row],[BB_Mean]]="", "", tbl_WMT[[#This Row],[BB_Mean]]-(BB_Width*tbl_WMT[[#This Row],[BB_Stdev]]))</f>
        <v>226.57488240916661</v>
      </c>
      <c r="M28" s="46">
        <f>IF(ROW(tbl_WMT[[#This Row],[Adj Close]])=5, 0, $F28-$F27)</f>
        <v>-12.329985999999991</v>
      </c>
      <c r="N28" s="46">
        <f>MAX(tbl_WMT[[#This Row],[Move]],0)</f>
        <v>0</v>
      </c>
      <c r="O28" s="46">
        <f>MAX(-tbl_WMT[[#This Row],[Move]],0)</f>
        <v>12.329985999999991</v>
      </c>
      <c r="P28" s="46">
        <f ca="1">IF(ROW($N28)-5&lt;RSI_Periods, "", AVERAGE(INDIRECT(ADDRESS(ROW($N28)-RSI_Periods +1, MATCH("Upmove", Price_Header,0))): INDIRECT(ADDRESS(ROW($N28),MATCH("Upmove", Price_Header,0)))))</f>
        <v>1.9428547142857135</v>
      </c>
      <c r="Q28" s="46">
        <f ca="1">IF(ROW($O28)-5&lt;RSI_Periods, "", AVERAGE(INDIRECT(ADDRESS(ROW($O28)-RSI_Periods +1, MATCH("Downmove", Price_Header,0))): INDIRECT(ADDRESS(ROW($O28),MATCH("Downmove", Price_Header,0)))))</f>
        <v>8.2557122142857136</v>
      </c>
      <c r="R28" s="46">
        <f ca="1">IF(tbl_WMT[[#This Row],[Avg_Upmove]]="", "", tbl_WMT[[#This Row],[Avg_Upmove]]/tbl_WMT[[#This Row],[Avg_Downmove]])</f>
        <v>0.23533459789499334</v>
      </c>
      <c r="S28" s="48">
        <f ca="1">IF(ROW($N28)-4&lt;BB_Periods, "", _xlfn.STDEV.S(INDIRECT(ADDRESS(ROW($F28)-RSI_Periods +1, MATCH("Adj Close", Price_Header,0))): INDIRECT(ADDRESS(ROW($F28),MATCH("Adj Close", Price_Header,0)))))</f>
        <v>34.148629402559578</v>
      </c>
    </row>
    <row r="29" spans="1:19" x14ac:dyDescent="0.25">
      <c r="A29" s="8">
        <v>44088</v>
      </c>
      <c r="B29" s="48">
        <v>136.13999899999999</v>
      </c>
      <c r="C29" s="48">
        <v>141.10000600000001</v>
      </c>
      <c r="D29" s="48">
        <v>135.88000500000001</v>
      </c>
      <c r="E29" s="48">
        <v>137.320007</v>
      </c>
      <c r="F29" s="48">
        <v>137.320007</v>
      </c>
      <c r="G29">
        <v>15244600</v>
      </c>
      <c r="H29" s="48">
        <f>IF(tbl_WMT[[#This Row],[Date]]=$A$5, $F29, EMA_Beta*$H28 + (1-EMA_Beta)*$F29)</f>
        <v>274.08077776273313</v>
      </c>
      <c r="I29" s="50">
        <f ca="1">IF(tbl_WMT[[#This Row],[RS]]= "", "", 100-(100/(1+tbl_WMT[[#This Row],[RS]])))</f>
        <v>10.663311117093983</v>
      </c>
      <c r="J29" s="48">
        <f ca="1">IF(ROW($N29)-4&lt;BB_Periods, "", AVERAGE(INDIRECT(ADDRESS(ROW($F29)-RSI_Periods +1, MATCH("Adj Close", Price_Header,0))): INDIRECT(ADDRESS(ROW($F29),MATCH("Adj Close", Price_Header,0)))))</f>
        <v>280.53785600000003</v>
      </c>
      <c r="K29" s="48">
        <f ca="1">IF(tbl_WMT[[#This Row],[BB_Mean]]="", "", tbl_WMT[[#This Row],[BB_Mean]]+(BB_Width*tbl_WMT[[#This Row],[BB_Stdev]]))</f>
        <v>384.67642360848316</v>
      </c>
      <c r="L29" s="48">
        <f ca="1">IF(tbl_WMT[[#This Row],[BB_Mean]]="", "", tbl_WMT[[#This Row],[BB_Mean]]-(BB_Width*tbl_WMT[[#This Row],[BB_Stdev]]))</f>
        <v>176.3992883915169</v>
      </c>
      <c r="M29" s="46">
        <f>IF(ROW(tbl_WMT[[#This Row],[Adj Close]])=5, 0, $F29-$F28)</f>
        <v>-114.959992</v>
      </c>
      <c r="N29" s="46">
        <f>MAX(tbl_WMT[[#This Row],[Move]],0)</f>
        <v>0</v>
      </c>
      <c r="O29" s="46">
        <f>MAX(-tbl_WMT[[#This Row],[Move]],0)</f>
        <v>114.959992</v>
      </c>
      <c r="P29" s="46">
        <f ca="1">IF(ROW($N29)-5&lt;RSI_Periods, "", AVERAGE(INDIRECT(ADDRESS(ROW($N29)-RSI_Periods +1, MATCH("Upmove", Price_Header,0))): INDIRECT(ADDRESS(ROW($N29),MATCH("Upmove", Price_Header,0)))))</f>
        <v>1.9428547142857135</v>
      </c>
      <c r="Q29" s="46">
        <f ca="1">IF(ROW($O29)-5&lt;RSI_Periods, "", AVERAGE(INDIRECT(ADDRESS(ROW($O29)-RSI_Periods +1, MATCH("Downmove", Price_Header,0))): INDIRECT(ADDRESS(ROW($O29),MATCH("Downmove", Price_Header,0)))))</f>
        <v>16.277139928571426</v>
      </c>
      <c r="R29" s="46">
        <f ca="1">IF(tbl_WMT[[#This Row],[Avg_Upmove]]="", "", tbl_WMT[[#This Row],[Avg_Upmove]]/tbl_WMT[[#This Row],[Avg_Downmove]])</f>
        <v>0.11936093950236315</v>
      </c>
      <c r="S29" s="48">
        <f ca="1">IF(ROW($N29)-4&lt;BB_Periods, "", _xlfn.STDEV.S(INDIRECT(ADDRESS(ROW($F29)-RSI_Periods +1, MATCH("Adj Close", Price_Header,0))): INDIRECT(ADDRESS(ROW($F29),MATCH("Adj Close", Price_Header,0)))))</f>
        <v>52.069283804241557</v>
      </c>
    </row>
    <row r="30" spans="1:19" x14ac:dyDescent="0.25">
      <c r="A30" s="8">
        <v>44089</v>
      </c>
      <c r="B30" s="48">
        <v>138.229996</v>
      </c>
      <c r="C30" s="48">
        <v>139.08000200000001</v>
      </c>
      <c r="D30" s="48">
        <v>136.679993</v>
      </c>
      <c r="E30" s="48">
        <v>137.36000100000001</v>
      </c>
      <c r="F30" s="48">
        <v>137.36000100000001</v>
      </c>
      <c r="G30">
        <v>10142600</v>
      </c>
      <c r="H30" s="48">
        <f>IF(tbl_WMT[[#This Row],[Date]]=$A$5, $F30, EMA_Beta*$H29 + (1-EMA_Beta)*$F30)</f>
        <v>260.40870008645982</v>
      </c>
      <c r="I30" s="50">
        <f ca="1">IF(tbl_WMT[[#This Row],[RS]]= "", "", 100-(100/(1+tbl_WMT[[#This Row],[RS]])))</f>
        <v>10.656304563036372</v>
      </c>
      <c r="J30" s="48">
        <f ca="1">IF(ROW($N30)-4&lt;BB_Periods, "", AVERAGE(INDIRECT(ADDRESS(ROW($F30)-RSI_Periods +1, MATCH("Adj Close", Price_Header,0))): INDIRECT(ADDRESS(ROW($F30),MATCH("Adj Close", Price_Header,0)))))</f>
        <v>266.20214192857139</v>
      </c>
      <c r="K30" s="48">
        <f ca="1">IF(tbl_WMT[[#This Row],[BB_Mean]]="", "", tbl_WMT[[#This Row],[BB_Mean]]+(BB_Width*tbl_WMT[[#This Row],[BB_Stdev]]))</f>
        <v>389.68949123707483</v>
      </c>
      <c r="L30" s="48">
        <f ca="1">IF(tbl_WMT[[#This Row],[BB_Mean]]="", "", tbl_WMT[[#This Row],[BB_Mean]]-(BB_Width*tbl_WMT[[#This Row],[BB_Stdev]]))</f>
        <v>142.71479262006795</v>
      </c>
      <c r="M30" s="46">
        <f>IF(ROW(tbl_WMT[[#This Row],[Adj Close]])=5, 0, $F30-$F29)</f>
        <v>3.999400000000719E-2</v>
      </c>
      <c r="N30" s="46">
        <f>MAX(tbl_WMT[[#This Row],[Move]],0)</f>
        <v>3.999400000000719E-2</v>
      </c>
      <c r="O30" s="46">
        <f>MAX(-tbl_WMT[[#This Row],[Move]],0)</f>
        <v>0</v>
      </c>
      <c r="P30" s="46">
        <f ca="1">IF(ROW($N30)-5&lt;RSI_Periods, "", AVERAGE(INDIRECT(ADDRESS(ROW($N30)-RSI_Periods +1, MATCH("Upmove", Price_Header,0))): INDIRECT(ADDRESS(ROW($N30),MATCH("Upmove", Price_Header,0)))))</f>
        <v>1.9414258571428564</v>
      </c>
      <c r="Q30" s="46">
        <f ca="1">IF(ROW($O30)-5&lt;RSI_Periods, "", AVERAGE(INDIRECT(ADDRESS(ROW($O30)-RSI_Periods +1, MATCH("Downmove", Price_Header,0))): INDIRECT(ADDRESS(ROW($O30),MATCH("Downmove", Price_Header,0)))))</f>
        <v>16.277139928571426</v>
      </c>
      <c r="R30" s="46">
        <f ca="1">IF(tbl_WMT[[#This Row],[Avg_Upmove]]="", "", tbl_WMT[[#This Row],[Avg_Upmove]]/tbl_WMT[[#This Row],[Avg_Downmove]])</f>
        <v>0.11927315644286207</v>
      </c>
      <c r="S30" s="48">
        <f ca="1">IF(ROW($N30)-4&lt;BB_Periods, "", _xlfn.STDEV.S(INDIRECT(ADDRESS(ROW($F30)-RSI_Periods +1, MATCH("Adj Close", Price_Header,0))): INDIRECT(ADDRESS(ROW($F30),MATCH("Adj Close", Price_Header,0)))))</f>
        <v>61.74367465425172</v>
      </c>
    </row>
    <row r="31" spans="1:19" x14ac:dyDescent="0.25">
      <c r="A31" s="8">
        <v>44090</v>
      </c>
      <c r="B31" s="48">
        <v>138.41000399999999</v>
      </c>
      <c r="C31" s="48">
        <v>138.679993</v>
      </c>
      <c r="D31" s="48">
        <v>136.050003</v>
      </c>
      <c r="E31" s="48">
        <v>136.259995</v>
      </c>
      <c r="F31" s="48">
        <v>136.259995</v>
      </c>
      <c r="G31">
        <v>9286800</v>
      </c>
      <c r="H31" s="48">
        <f>IF(tbl_WMT[[#This Row],[Date]]=$A$5, $F31, EMA_Beta*$H30 + (1-EMA_Beta)*$F31)</f>
        <v>247.99382957781384</v>
      </c>
      <c r="I31" s="50">
        <f ca="1">IF(tbl_WMT[[#This Row],[RS]]= "", "", 100-(100/(1+tbl_WMT[[#This Row],[RS]])))</f>
        <v>9.0699595974394924</v>
      </c>
      <c r="J31" s="48">
        <f ca="1">IF(ROW($N31)-4&lt;BB_Periods, "", AVERAGE(INDIRECT(ADDRESS(ROW($F31)-RSI_Periods +1, MATCH("Adj Close", Price_Header,0))): INDIRECT(ADDRESS(ROW($F31),MATCH("Adj Close", Price_Header,0)))))</f>
        <v>251.4778562857143</v>
      </c>
      <c r="K31" s="48">
        <f ca="1">IF(tbl_WMT[[#This Row],[BB_Mean]]="", "", tbl_WMT[[#This Row],[BB_Mean]]+(BB_Width*tbl_WMT[[#This Row],[BB_Stdev]]))</f>
        <v>384.60965025515327</v>
      </c>
      <c r="L31" s="48">
        <f ca="1">IF(tbl_WMT[[#This Row],[BB_Mean]]="", "", tbl_WMT[[#This Row],[BB_Mean]]-(BB_Width*tbl_WMT[[#This Row],[BB_Stdev]]))</f>
        <v>118.34606231627529</v>
      </c>
      <c r="M31" s="46">
        <f>IF(ROW(tbl_WMT[[#This Row],[Adj Close]])=5, 0, $F31-$F30)</f>
        <v>-1.1000060000000076</v>
      </c>
      <c r="N31" s="46">
        <f>MAX(tbl_WMT[[#This Row],[Move]],0)</f>
        <v>0</v>
      </c>
      <c r="O31" s="46">
        <f>MAX(-tbl_WMT[[#This Row],[Move]],0)</f>
        <v>1.1000060000000076</v>
      </c>
      <c r="P31" s="46">
        <f ca="1">IF(ROW($N31)-5&lt;RSI_Periods, "", AVERAGE(INDIRECT(ADDRESS(ROW($N31)-RSI_Periods +1, MATCH("Upmove", Price_Header,0))): INDIRECT(ADDRESS(ROW($N31),MATCH("Upmove", Price_Header,0)))))</f>
        <v>1.631426142857143</v>
      </c>
      <c r="Q31" s="46">
        <f ca="1">IF(ROW($O31)-5&lt;RSI_Periods, "", AVERAGE(INDIRECT(ADDRESS(ROW($O31)-RSI_Periods +1, MATCH("Downmove", Price_Header,0))): INDIRECT(ADDRESS(ROW($O31),MATCH("Downmove", Price_Header,0)))))</f>
        <v>16.355711785714284</v>
      </c>
      <c r="R31" s="46">
        <f ca="1">IF(tbl_WMT[[#This Row],[Avg_Upmove]]="", "", tbl_WMT[[#This Row],[Avg_Upmove]]/tbl_WMT[[#This Row],[Avg_Downmove]])</f>
        <v>9.9746569530657428E-2</v>
      </c>
      <c r="S31" s="48">
        <f ca="1">IF(ROW($N31)-4&lt;BB_Periods, "", _xlfn.STDEV.S(INDIRECT(ADDRESS(ROW($F31)-RSI_Periods +1, MATCH("Adj Close", Price_Header,0))): INDIRECT(ADDRESS(ROW($F31),MATCH("Adj Close", Price_Header,0)))))</f>
        <v>66.565896984719501</v>
      </c>
    </row>
    <row r="32" spans="1:19" x14ac:dyDescent="0.25">
      <c r="A32" s="8">
        <v>44091</v>
      </c>
      <c r="B32" s="48">
        <v>135.429993</v>
      </c>
      <c r="C32" s="48">
        <v>137.570007</v>
      </c>
      <c r="D32" s="48">
        <v>135.020004</v>
      </c>
      <c r="E32" s="48">
        <v>136.69000199999999</v>
      </c>
      <c r="F32" s="48">
        <v>136.69000199999999</v>
      </c>
      <c r="G32">
        <v>11976413</v>
      </c>
      <c r="H32" s="48">
        <f>IF(tbl_WMT[[#This Row],[Date]]=$A$5, $F32, EMA_Beta*$H31 + (1-EMA_Beta)*$F32)</f>
        <v>236.86344682003246</v>
      </c>
      <c r="I32" s="50">
        <f ca="1">IF(tbl_WMT[[#This Row],[RS]]= "", "", 100-(100/(1+tbl_WMT[[#This Row],[RS]])))</f>
        <v>9.6499865370712712</v>
      </c>
      <c r="J32" s="48">
        <f ca="1">IF(ROW($N32)-4&lt;BB_Periods, "", AVERAGE(INDIRECT(ADDRESS(ROW($F32)-RSI_Periods +1, MATCH("Adj Close", Price_Header,0))): INDIRECT(ADDRESS(ROW($F32),MATCH("Adj Close", Price_Header,0)))))</f>
        <v>237.57785578571426</v>
      </c>
      <c r="K32" s="48">
        <f ca="1">IF(tbl_WMT[[#This Row],[BB_Mean]]="", "", tbl_WMT[[#This Row],[BB_Mean]]+(BB_Width*tbl_WMT[[#This Row],[BB_Stdev]]))</f>
        <v>375.36763313788651</v>
      </c>
      <c r="L32" s="48">
        <f ca="1">IF(tbl_WMT[[#This Row],[BB_Mean]]="", "", tbl_WMT[[#This Row],[BB_Mean]]-(BB_Width*tbl_WMT[[#This Row],[BB_Stdev]]))</f>
        <v>99.78807843354204</v>
      </c>
      <c r="M32" s="46">
        <f>IF(ROW(tbl_WMT[[#This Row],[Adj Close]])=5, 0, $F32-$F31)</f>
        <v>0.43000699999998915</v>
      </c>
      <c r="N32" s="46">
        <f>MAX(tbl_WMT[[#This Row],[Move]],0)</f>
        <v>0.43000699999998915</v>
      </c>
      <c r="O32" s="46">
        <f>MAX(-tbl_WMT[[#This Row],[Move]],0)</f>
        <v>0</v>
      </c>
      <c r="P32" s="46">
        <f ca="1">IF(ROW($N32)-5&lt;RSI_Periods, "", AVERAGE(INDIRECT(ADDRESS(ROW($N32)-RSI_Periods +1, MATCH("Upmove", Price_Header,0))): INDIRECT(ADDRESS(ROW($N32),MATCH("Upmove", Price_Header,0)))))</f>
        <v>1.6621409285714281</v>
      </c>
      <c r="Q32" s="46">
        <f ca="1">IF(ROW($O32)-5&lt;RSI_Periods, "", AVERAGE(INDIRECT(ADDRESS(ROW($O32)-RSI_Periods +1, MATCH("Downmove", Price_Header,0))): INDIRECT(ADDRESS(ROW($O32),MATCH("Downmove", Price_Header,0)))))</f>
        <v>15.562141428571428</v>
      </c>
      <c r="R32" s="46">
        <f ca="1">IF(tbl_WMT[[#This Row],[Avg_Upmove]]="", "", tbl_WMT[[#This Row],[Avg_Upmove]]/tbl_WMT[[#This Row],[Avg_Downmove]])</f>
        <v>0.10680669727880819</v>
      </c>
      <c r="S32" s="48">
        <f ca="1">IF(ROW($N32)-4&lt;BB_Periods, "", _xlfn.STDEV.S(INDIRECT(ADDRESS(ROW($F32)-RSI_Periods +1, MATCH("Adj Close", Price_Header,0))): INDIRECT(ADDRESS(ROW($F32),MATCH("Adj Close", Price_Header,0)))))</f>
        <v>68.894888676086111</v>
      </c>
    </row>
    <row r="33" spans="1:19" x14ac:dyDescent="0.25">
      <c r="A33" t="s">
        <v>162</v>
      </c>
      <c r="I33" s="61"/>
      <c r="S33">
        <f ca="1">SUBTOTAL(103,tbl_WMT[BB_Stdev])</f>
        <v>28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opLeftCell="A4" workbookViewId="0">
      <selection activeCell="L6" sqref="L6"/>
    </sheetView>
  </sheetViews>
  <sheetFormatPr defaultRowHeight="15" x14ac:dyDescent="0.25"/>
  <cols>
    <col min="1" max="1" width="9.7109375" bestFit="1" customWidth="1"/>
    <col min="6" max="6" width="11.42578125" customWidth="1"/>
    <col min="7" max="7" width="10.140625" customWidth="1"/>
  </cols>
  <sheetData>
    <row r="1" spans="1:19" ht="21" x14ac:dyDescent="0.35">
      <c r="A1" s="41" t="s">
        <v>169</v>
      </c>
      <c r="B1" s="41"/>
      <c r="C1" s="41"/>
      <c r="D1" s="41"/>
      <c r="E1" s="41"/>
      <c r="F1" s="41"/>
    </row>
    <row r="2" spans="1:19" x14ac:dyDescent="0.25">
      <c r="A2" t="s">
        <v>164</v>
      </c>
    </row>
    <row r="4" spans="1:19" x14ac:dyDescent="0.2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25">
      <c r="A5" s="8">
        <v>44053</v>
      </c>
      <c r="B5" s="48">
        <v>4.2549999999999999</v>
      </c>
      <c r="C5" s="48">
        <v>4.28</v>
      </c>
      <c r="D5" s="48">
        <v>4</v>
      </c>
      <c r="E5" s="48">
        <v>4.13</v>
      </c>
      <c r="F5" s="48">
        <v>4.13</v>
      </c>
      <c r="G5">
        <v>12386000</v>
      </c>
      <c r="H5" s="48">
        <f>IF(tbl_RIOT[[#This Row],[Date]]=$A$5, $F5, EMA_Beta*$H4 + (1-EMA_Beta)*$F5)</f>
        <v>4.13</v>
      </c>
      <c r="I5" s="46" t="str">
        <f ca="1">IF(tbl_RIOT[[#This Row],[RS]]= "", "", 100-(100/(1+tbl_RIOT[[#This Row],[RS]])))</f>
        <v/>
      </c>
      <c r="J5" s="48" t="str">
        <f ca="1">IF(ROW($N5)-4&lt;BB_Periods, "", AVERAGE(INDIRECT(ADDRESS(ROW($F5)-RSI_Periods +1, MATCH("Adj Close", Price_Header,0))): INDIRECT(ADDRESS(ROW($F5),MATCH("Adj Close", Price_Header,0)))))</f>
        <v/>
      </c>
      <c r="K5" s="48" t="str">
        <f ca="1">IF(tbl_RIOT[[#This Row],[BB_Mean]]="", "", tbl_RIOT[[#This Row],[BB_Mean]]+(BB_Width*tbl_RIOT[[#This Row],[BB_Stdev]]))</f>
        <v/>
      </c>
      <c r="L5" s="48" t="str">
        <f ca="1">IF(tbl_RIOT[[#This Row],[BB_Mean]]="", "", tbl_RIOT[[#This Row],[BB_Mean]]-(BB_Width*tbl_RIOT[[#This Row],[BB_Stdev]]))</f>
        <v/>
      </c>
      <c r="M5" s="46">
        <f>IF(ROW(tbl_RIOT[[#This Row],[Adj Close]])=5, 0, $F5-$F4)</f>
        <v>0</v>
      </c>
      <c r="N5" s="46">
        <f>MAX(tbl_RIOT[[#This Row],[Move]],0)</f>
        <v>0</v>
      </c>
      <c r="O5" s="46">
        <f>MAX(-tbl_RIOT[[#This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IF(tbl_RIOT[[#This Row],[Avg_Upmove]]="", "", tbl_RIOT[[#This Row],[Avg_Upmove]]/tbl_RIOT[[#This Row],[Avg_Downmove]])</f>
        <v/>
      </c>
      <c r="S5" s="48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25">
      <c r="A6" s="8">
        <v>44054</v>
      </c>
      <c r="B6" s="48">
        <v>3.78</v>
      </c>
      <c r="C6" s="48">
        <v>4.04</v>
      </c>
      <c r="D6" s="48">
        <v>3.54</v>
      </c>
      <c r="E6" s="48">
        <v>3.62</v>
      </c>
      <c r="F6" s="48">
        <v>3.62</v>
      </c>
      <c r="G6">
        <v>10213600</v>
      </c>
      <c r="H6" s="48">
        <f>IF(tbl_RIOT[[#This Row],[Date]]=$A$5, $F6, EMA_Beta*$H5 + (1-EMA_Beta)*$F6)</f>
        <v>4.0789999999999997</v>
      </c>
      <c r="I6" s="46" t="str">
        <f ca="1">IF(tbl_RIOT[[#This Row],[RS]]= "", "", 100-(100/(1+tbl_RIOT[[#This Row],[RS]])))</f>
        <v/>
      </c>
      <c r="J6" s="48" t="str">
        <f ca="1">IF(ROW($N6)-4&lt;BB_Periods, "", AVERAGE(INDIRECT(ADDRESS(ROW($F6)-RSI_Periods +1, MATCH("Adj Close", Price_Header,0))): INDIRECT(ADDRESS(ROW($F6),MATCH("Adj Close", Price_Header,0)))))</f>
        <v/>
      </c>
      <c r="K6" s="48" t="str">
        <f ca="1">IF(tbl_RIOT[[#This Row],[BB_Mean]]="", "", tbl_RIOT[[#This Row],[BB_Mean]]+(BB_Width*tbl_RIOT[[#This Row],[BB_Stdev]]))</f>
        <v/>
      </c>
      <c r="L6" s="48" t="str">
        <f ca="1">IF(tbl_RIOT[[#This Row],[BB_Mean]]="", "", tbl_RIOT[[#This Row],[BB_Mean]]-(BB_Width*tbl_RIOT[[#This Row],[BB_Stdev]]))</f>
        <v/>
      </c>
      <c r="M6" s="46">
        <f>IF(ROW(tbl_RIOT[[#This Row],[Adj Close]])=5, 0, $F6-$F5)</f>
        <v>-0.50999999999999979</v>
      </c>
      <c r="N6" s="46">
        <f>MAX(tbl_RIOT[[#This Row],[Move]],0)</f>
        <v>0</v>
      </c>
      <c r="O6" s="46">
        <f>MAX(-tbl_RIOT[[#This Row],[Move]],0)</f>
        <v>0.50999999999999979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IF(tbl_RIOT[[#This Row],[Avg_Upmove]]="", "", tbl_RIOT[[#This Row],[Avg_Upmove]]/tbl_RIOT[[#This Row],[Avg_Downmove]])</f>
        <v/>
      </c>
      <c r="S6" s="48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25">
      <c r="A7" s="8">
        <v>44055</v>
      </c>
      <c r="B7" s="48">
        <v>3.75</v>
      </c>
      <c r="C7" s="48">
        <v>3.83</v>
      </c>
      <c r="D7" s="48">
        <v>3.5</v>
      </c>
      <c r="E7" s="48">
        <v>3.54</v>
      </c>
      <c r="F7" s="48">
        <v>3.54</v>
      </c>
      <c r="G7">
        <v>5697500</v>
      </c>
      <c r="H7" s="48">
        <f>IF(tbl_RIOT[[#This Row],[Date]]=$A$5, $F7, EMA_Beta*$H6 + (1-EMA_Beta)*$F7)</f>
        <v>4.0251000000000001</v>
      </c>
      <c r="I7" s="46" t="str">
        <f ca="1">IF(tbl_RIOT[[#This Row],[RS]]= "", "", 100-(100/(1+tbl_RIOT[[#This Row],[RS]])))</f>
        <v/>
      </c>
      <c r="J7" s="48" t="str">
        <f ca="1">IF(ROW($N7)-4&lt;BB_Periods, "", AVERAGE(INDIRECT(ADDRESS(ROW($F7)-RSI_Periods +1, MATCH("Adj Close", Price_Header,0))): INDIRECT(ADDRESS(ROW($F7),MATCH("Adj Close", Price_Header,0)))))</f>
        <v/>
      </c>
      <c r="K7" s="48" t="str">
        <f ca="1">IF(tbl_RIOT[[#This Row],[BB_Mean]]="", "", tbl_RIOT[[#This Row],[BB_Mean]]+(BB_Width*tbl_RIOT[[#This Row],[BB_Stdev]]))</f>
        <v/>
      </c>
      <c r="L7" s="48" t="str">
        <f ca="1">IF(tbl_RIOT[[#This Row],[BB_Mean]]="", "", tbl_RIOT[[#This Row],[BB_Mean]]-(BB_Width*tbl_RIOT[[#This Row],[BB_Stdev]]))</f>
        <v/>
      </c>
      <c r="M7" s="46">
        <f>IF(ROW(tbl_RIOT[[#This Row],[Adj Close]])=5, 0, $F7-$F6)</f>
        <v>-8.0000000000000071E-2</v>
      </c>
      <c r="N7" s="46">
        <f>MAX(tbl_RIOT[[#This Row],[Move]],0)</f>
        <v>0</v>
      </c>
      <c r="O7" s="46">
        <f>MAX(-tbl_RIOT[[#This Row],[Move]],0)</f>
        <v>8.0000000000000071E-2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IF(tbl_RIOT[[#This Row],[Avg_Upmove]]="", "", tbl_RIOT[[#This Row],[Avg_Upmove]]/tbl_RIOT[[#This Row],[Avg_Downmove]])</f>
        <v/>
      </c>
      <c r="S7" s="48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25">
      <c r="A8" s="8">
        <v>44056</v>
      </c>
      <c r="B8" s="48">
        <v>3.42</v>
      </c>
      <c r="C8" s="48">
        <v>3.75</v>
      </c>
      <c r="D8" s="48">
        <v>3.05</v>
      </c>
      <c r="E8" s="48">
        <v>3.61</v>
      </c>
      <c r="F8" s="48">
        <v>3.61</v>
      </c>
      <c r="G8">
        <v>11009400</v>
      </c>
      <c r="H8" s="48">
        <f>IF(tbl_RIOT[[#This Row],[Date]]=$A$5, $F8, EMA_Beta*$H7 + (1-EMA_Beta)*$F8)</f>
        <v>3.98359</v>
      </c>
      <c r="I8" s="46" t="str">
        <f ca="1">IF(tbl_RIOT[[#This Row],[RS]]= "", "", 100-(100/(1+tbl_RIOT[[#This Row],[RS]])))</f>
        <v/>
      </c>
      <c r="J8" s="48" t="str">
        <f ca="1">IF(ROW($N8)-4&lt;BB_Periods, "", AVERAGE(INDIRECT(ADDRESS(ROW($F8)-RSI_Periods +1, MATCH("Adj Close", Price_Header,0))): INDIRECT(ADDRESS(ROW($F8),MATCH("Adj Close", Price_Header,0)))))</f>
        <v/>
      </c>
      <c r="K8" s="48" t="str">
        <f ca="1">IF(tbl_RIOT[[#This Row],[BB_Mean]]="", "", tbl_RIOT[[#This Row],[BB_Mean]]+(BB_Width*tbl_RIOT[[#This Row],[BB_Stdev]]))</f>
        <v/>
      </c>
      <c r="L8" s="48" t="str">
        <f ca="1">IF(tbl_RIOT[[#This Row],[BB_Mean]]="", "", tbl_RIOT[[#This Row],[BB_Mean]]-(BB_Width*tbl_RIOT[[#This Row],[BB_Stdev]]))</f>
        <v/>
      </c>
      <c r="M8" s="46">
        <f>IF(ROW(tbl_RIOT[[#This Row],[Adj Close]])=5, 0, $F8-$F7)</f>
        <v>6.999999999999984E-2</v>
      </c>
      <c r="N8" s="46">
        <f>MAX(tbl_RIOT[[#This Row],[Move]],0)</f>
        <v>6.999999999999984E-2</v>
      </c>
      <c r="O8" s="46">
        <f>MAX(-tbl_RIOT[[#This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IF(tbl_RIOT[[#This Row],[Avg_Upmove]]="", "", tbl_RIOT[[#This Row],[Avg_Upmove]]/tbl_RIOT[[#This Row],[Avg_Downmove]])</f>
        <v/>
      </c>
      <c r="S8" s="48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25">
      <c r="A9" s="8">
        <v>44057</v>
      </c>
      <c r="B9" s="48">
        <v>3.67</v>
      </c>
      <c r="C9" s="48">
        <v>3.84</v>
      </c>
      <c r="D9" s="48">
        <v>3.39</v>
      </c>
      <c r="E9" s="48">
        <v>3.78</v>
      </c>
      <c r="F9" s="48">
        <v>3.78</v>
      </c>
      <c r="G9">
        <v>10691500</v>
      </c>
      <c r="H9" s="48">
        <f>IF(tbl_RIOT[[#This Row],[Date]]=$A$5, $F9, EMA_Beta*$H8 + (1-EMA_Beta)*$F9)</f>
        <v>3.9632309999999995</v>
      </c>
      <c r="I9" s="46" t="str">
        <f ca="1">IF(tbl_RIOT[[#This Row],[RS]]= "", "", 100-(100/(1+tbl_RIOT[[#This Row],[RS]])))</f>
        <v/>
      </c>
      <c r="J9" s="48" t="str">
        <f ca="1">IF(ROW($N9)-4&lt;BB_Periods, "", AVERAGE(INDIRECT(ADDRESS(ROW($F9)-RSI_Periods +1, MATCH("Adj Close", Price_Header,0))): INDIRECT(ADDRESS(ROW($F9),MATCH("Adj Close", Price_Header,0)))))</f>
        <v/>
      </c>
      <c r="K9" s="48" t="str">
        <f ca="1">IF(tbl_RIOT[[#This Row],[BB_Mean]]="", "", tbl_RIOT[[#This Row],[BB_Mean]]+(BB_Width*tbl_RIOT[[#This Row],[BB_Stdev]]))</f>
        <v/>
      </c>
      <c r="L9" s="48" t="str">
        <f ca="1">IF(tbl_RIOT[[#This Row],[BB_Mean]]="", "", tbl_RIOT[[#This Row],[BB_Mean]]-(BB_Width*tbl_RIOT[[#This Row],[BB_Stdev]]))</f>
        <v/>
      </c>
      <c r="M9" s="46">
        <f>IF(ROW(tbl_RIOT[[#This Row],[Adj Close]])=5, 0, $F9-$F8)</f>
        <v>0.16999999999999993</v>
      </c>
      <c r="N9" s="46">
        <f>MAX(tbl_RIOT[[#This Row],[Move]],0)</f>
        <v>0.16999999999999993</v>
      </c>
      <c r="O9" s="46">
        <f>MAX(-tbl_RIOT[[#This Row],[Move]],0)</f>
        <v>0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IF(tbl_RIOT[[#This Row],[Avg_Upmove]]="", "", tbl_RIOT[[#This Row],[Avg_Upmove]]/tbl_RIOT[[#This Row],[Avg_Downmove]])</f>
        <v/>
      </c>
      <c r="S9" s="48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25">
      <c r="A10" s="8">
        <v>44060</v>
      </c>
      <c r="B10" s="48">
        <v>3.95</v>
      </c>
      <c r="C10" s="48">
        <v>4.41</v>
      </c>
      <c r="D10" s="48">
        <v>3.77</v>
      </c>
      <c r="E10" s="48">
        <v>4.1500000000000004</v>
      </c>
      <c r="F10" s="48">
        <v>4.1500000000000004</v>
      </c>
      <c r="G10">
        <v>21029500</v>
      </c>
      <c r="H10" s="48">
        <f>IF(tbl_RIOT[[#This Row],[Date]]=$A$5, $F10, EMA_Beta*$H9 + (1-EMA_Beta)*$F10)</f>
        <v>3.9819078999999995</v>
      </c>
      <c r="I10" s="46" t="str">
        <f ca="1">IF(tbl_RIOT[[#This Row],[RS]]= "", "", 100-(100/(1+tbl_RIOT[[#This Row],[RS]])))</f>
        <v/>
      </c>
      <c r="J10" s="48" t="str">
        <f ca="1">IF(ROW($N10)-4&lt;BB_Periods, "", AVERAGE(INDIRECT(ADDRESS(ROW($F10)-RSI_Periods +1, MATCH("Adj Close", Price_Header,0))): INDIRECT(ADDRESS(ROW($F10),MATCH("Adj Close", Price_Header,0)))))</f>
        <v/>
      </c>
      <c r="K10" s="48" t="str">
        <f ca="1">IF(tbl_RIOT[[#This Row],[BB_Mean]]="", "", tbl_RIOT[[#This Row],[BB_Mean]]+(BB_Width*tbl_RIOT[[#This Row],[BB_Stdev]]))</f>
        <v/>
      </c>
      <c r="L10" s="48" t="str">
        <f ca="1">IF(tbl_RIOT[[#This Row],[BB_Mean]]="", "", tbl_RIOT[[#This Row],[BB_Mean]]-(BB_Width*tbl_RIOT[[#This Row],[BB_Stdev]]))</f>
        <v/>
      </c>
      <c r="M10" s="46">
        <f>IF(ROW(tbl_RIOT[[#This Row],[Adj Close]])=5, 0, $F10-$F9)</f>
        <v>0.37000000000000055</v>
      </c>
      <c r="N10" s="46">
        <f>MAX(tbl_RIOT[[#This Row],[Move]],0)</f>
        <v>0.37000000000000055</v>
      </c>
      <c r="O10" s="46">
        <f>MAX(-tbl_RIOT[[#This Row],[Move]],0)</f>
        <v>0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IF(tbl_RIOT[[#This Row],[Avg_Upmove]]="", "", tbl_RIOT[[#This Row],[Avg_Upmove]]/tbl_RIOT[[#This Row],[Avg_Downmove]])</f>
        <v/>
      </c>
      <c r="S10" s="48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25">
      <c r="A11" s="8">
        <v>44061</v>
      </c>
      <c r="B11" s="48">
        <v>4</v>
      </c>
      <c r="C11" s="48">
        <v>4.2</v>
      </c>
      <c r="D11" s="48">
        <v>3.91</v>
      </c>
      <c r="E11" s="48">
        <v>4.04</v>
      </c>
      <c r="F11" s="48">
        <v>4.04</v>
      </c>
      <c r="G11">
        <v>9456000</v>
      </c>
      <c r="H11" s="48">
        <f>IF(tbl_RIOT[[#This Row],[Date]]=$A$5, $F11, EMA_Beta*$H10 + (1-EMA_Beta)*$F11)</f>
        <v>3.9877171099999997</v>
      </c>
      <c r="I11" s="46" t="str">
        <f ca="1">IF(tbl_RIOT[[#This Row],[RS]]= "", "", 100-(100/(1+tbl_RIOT[[#This Row],[RS]])))</f>
        <v/>
      </c>
      <c r="J11" s="48" t="str">
        <f ca="1">IF(ROW($N11)-4&lt;BB_Periods, "", AVERAGE(INDIRECT(ADDRESS(ROW($F11)-RSI_Periods +1, MATCH("Adj Close", Price_Header,0))): INDIRECT(ADDRESS(ROW($F11),MATCH("Adj Close", Price_Header,0)))))</f>
        <v/>
      </c>
      <c r="K11" s="48" t="str">
        <f ca="1">IF(tbl_RIOT[[#This Row],[BB_Mean]]="", "", tbl_RIOT[[#This Row],[BB_Mean]]+(BB_Width*tbl_RIOT[[#This Row],[BB_Stdev]]))</f>
        <v/>
      </c>
      <c r="L11" s="48" t="str">
        <f ca="1">IF(tbl_RIOT[[#This Row],[BB_Mean]]="", "", tbl_RIOT[[#This Row],[BB_Mean]]-(BB_Width*tbl_RIOT[[#This Row],[BB_Stdev]]))</f>
        <v/>
      </c>
      <c r="M11" s="46">
        <f>IF(ROW(tbl_RIOT[[#This Row],[Adj Close]])=5, 0, $F11-$F10)</f>
        <v>-0.11000000000000032</v>
      </c>
      <c r="N11" s="46">
        <f>MAX(tbl_RIOT[[#This Row],[Move]],0)</f>
        <v>0</v>
      </c>
      <c r="O11" s="46">
        <f>MAX(-tbl_RIOT[[#This Row],[Move]],0)</f>
        <v>0.11000000000000032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IF(tbl_RIOT[[#This Row],[Avg_Upmove]]="", "", tbl_RIOT[[#This Row],[Avg_Upmove]]/tbl_RIOT[[#This Row],[Avg_Downmove]])</f>
        <v/>
      </c>
      <c r="S11" s="48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25">
      <c r="A12" s="8">
        <v>44062</v>
      </c>
      <c r="B12" s="48">
        <v>3.87</v>
      </c>
      <c r="C12" s="48">
        <v>4.0599999999999996</v>
      </c>
      <c r="D12" s="48">
        <v>3.63</v>
      </c>
      <c r="E12" s="48">
        <v>3.69</v>
      </c>
      <c r="F12" s="48">
        <v>3.69</v>
      </c>
      <c r="G12">
        <v>8062900</v>
      </c>
      <c r="H12" s="48">
        <f>IF(tbl_RIOT[[#This Row],[Date]]=$A$5, $F12, EMA_Beta*$H11 + (1-EMA_Beta)*$F12)</f>
        <v>3.9579453989999998</v>
      </c>
      <c r="I12" s="46" t="str">
        <f ca="1">IF(tbl_RIOT[[#This Row],[RS]]= "", "", 100-(100/(1+tbl_RIOT[[#This Row],[RS]])))</f>
        <v/>
      </c>
      <c r="J12" s="48" t="str">
        <f ca="1">IF(ROW($N12)-4&lt;BB_Periods, "", AVERAGE(INDIRECT(ADDRESS(ROW($F12)-RSI_Periods +1, MATCH("Adj Close", Price_Header,0))): INDIRECT(ADDRESS(ROW($F12),MATCH("Adj Close", Price_Header,0)))))</f>
        <v/>
      </c>
      <c r="K12" s="48" t="str">
        <f ca="1">IF(tbl_RIOT[[#This Row],[BB_Mean]]="", "", tbl_RIOT[[#This Row],[BB_Mean]]+(BB_Width*tbl_RIOT[[#This Row],[BB_Stdev]]))</f>
        <v/>
      </c>
      <c r="L12" s="48" t="str">
        <f ca="1">IF(tbl_RIOT[[#This Row],[BB_Mean]]="", "", tbl_RIOT[[#This Row],[BB_Mean]]-(BB_Width*tbl_RIOT[[#This Row],[BB_Stdev]]))</f>
        <v/>
      </c>
      <c r="M12" s="46">
        <f>IF(ROW(tbl_RIOT[[#This Row],[Adj Close]])=5, 0, $F12-$F11)</f>
        <v>-0.35000000000000009</v>
      </c>
      <c r="N12" s="46">
        <f>MAX(tbl_RIOT[[#This Row],[Move]],0)</f>
        <v>0</v>
      </c>
      <c r="O12" s="46">
        <f>MAX(-tbl_RIOT[[#This Row],[Move]],0)</f>
        <v>0.35000000000000009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IF(tbl_RIOT[[#This Row],[Avg_Upmove]]="", "", tbl_RIOT[[#This Row],[Avg_Upmove]]/tbl_RIOT[[#This Row],[Avg_Downmove]])</f>
        <v/>
      </c>
      <c r="S12" s="48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25">
      <c r="A13" s="8">
        <v>44063</v>
      </c>
      <c r="B13" s="48">
        <v>3.73</v>
      </c>
      <c r="C13" s="48">
        <v>4.05</v>
      </c>
      <c r="D13" s="48">
        <v>3.71</v>
      </c>
      <c r="E13" s="48">
        <v>3.99</v>
      </c>
      <c r="F13" s="48">
        <v>3.99</v>
      </c>
      <c r="G13">
        <v>7506700</v>
      </c>
      <c r="H13" s="48">
        <f>IF(tbl_RIOT[[#This Row],[Date]]=$A$5, $F13, EMA_Beta*$H12 + (1-EMA_Beta)*$F13)</f>
        <v>3.9611508591</v>
      </c>
      <c r="I13" s="46" t="str">
        <f ca="1">IF(tbl_RIOT[[#This Row],[RS]]= "", "", 100-(100/(1+tbl_RIOT[[#This Row],[RS]])))</f>
        <v/>
      </c>
      <c r="J13" s="48" t="str">
        <f ca="1">IF(ROW($N13)-4&lt;BB_Periods, "", AVERAGE(INDIRECT(ADDRESS(ROW($F13)-RSI_Periods +1, MATCH("Adj Close", Price_Header,0))): INDIRECT(ADDRESS(ROW($F13),MATCH("Adj Close", Price_Header,0)))))</f>
        <v/>
      </c>
      <c r="K13" s="48" t="str">
        <f ca="1">IF(tbl_RIOT[[#This Row],[BB_Mean]]="", "", tbl_RIOT[[#This Row],[BB_Mean]]+(BB_Width*tbl_RIOT[[#This Row],[BB_Stdev]]))</f>
        <v/>
      </c>
      <c r="L13" s="48" t="str">
        <f ca="1">IF(tbl_RIOT[[#This Row],[BB_Mean]]="", "", tbl_RIOT[[#This Row],[BB_Mean]]-(BB_Width*tbl_RIOT[[#This Row],[BB_Stdev]]))</f>
        <v/>
      </c>
      <c r="M13" s="46">
        <f>IF(ROW(tbl_RIOT[[#This Row],[Adj Close]])=5, 0, $F13-$F12)</f>
        <v>0.30000000000000027</v>
      </c>
      <c r="N13" s="46">
        <f>MAX(tbl_RIOT[[#This Row],[Move]],0)</f>
        <v>0.30000000000000027</v>
      </c>
      <c r="O13" s="46">
        <f>MAX(-tbl_RIOT[[#This Row],[Move]],0)</f>
        <v>0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IF(tbl_RIOT[[#This Row],[Avg_Upmove]]="", "", tbl_RIOT[[#This Row],[Avg_Upmove]]/tbl_RIOT[[#This Row],[Avg_Downmove]])</f>
        <v/>
      </c>
      <c r="S13" s="48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25">
      <c r="A14" s="8">
        <v>44064</v>
      </c>
      <c r="B14" s="48">
        <v>3.82</v>
      </c>
      <c r="C14" s="48">
        <v>3.94</v>
      </c>
      <c r="D14" s="48">
        <v>3.67</v>
      </c>
      <c r="E14" s="48">
        <v>3.7250000000000001</v>
      </c>
      <c r="F14" s="48">
        <v>3.7250000000000001</v>
      </c>
      <c r="G14">
        <v>5926100</v>
      </c>
      <c r="H14" s="48">
        <f>IF(tbl_RIOT[[#This Row],[Date]]=$A$5, $F14, EMA_Beta*$H13 + (1-EMA_Beta)*$F14)</f>
        <v>3.93753577319</v>
      </c>
      <c r="I14" s="46" t="str">
        <f ca="1">IF(tbl_RIOT[[#This Row],[RS]]= "", "", 100-(100/(1+tbl_RIOT[[#This Row],[RS]])))</f>
        <v/>
      </c>
      <c r="J14" s="48" t="str">
        <f ca="1">IF(ROW($N14)-4&lt;BB_Periods, "", AVERAGE(INDIRECT(ADDRESS(ROW($F14)-RSI_Periods +1, MATCH("Adj Close", Price_Header,0))): INDIRECT(ADDRESS(ROW($F14),MATCH("Adj Close", Price_Header,0)))))</f>
        <v/>
      </c>
      <c r="K14" s="48" t="str">
        <f ca="1">IF(tbl_RIOT[[#This Row],[BB_Mean]]="", "", tbl_RIOT[[#This Row],[BB_Mean]]+(BB_Width*tbl_RIOT[[#This Row],[BB_Stdev]]))</f>
        <v/>
      </c>
      <c r="L14" s="48" t="str">
        <f ca="1">IF(tbl_RIOT[[#This Row],[BB_Mean]]="", "", tbl_RIOT[[#This Row],[BB_Mean]]-(BB_Width*tbl_RIOT[[#This Row],[BB_Stdev]]))</f>
        <v/>
      </c>
      <c r="M14" s="46">
        <f>IF(ROW(tbl_RIOT[[#This Row],[Adj Close]])=5, 0, $F14-$F13)</f>
        <v>-0.26500000000000012</v>
      </c>
      <c r="N14" s="46">
        <f>MAX(tbl_RIOT[[#This Row],[Move]],0)</f>
        <v>0</v>
      </c>
      <c r="O14" s="46">
        <f>MAX(-tbl_RIOT[[#This Row],[Move]],0)</f>
        <v>0.26500000000000012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IF(tbl_RIOT[[#This Row],[Avg_Upmove]]="", "", tbl_RIOT[[#This Row],[Avg_Upmove]]/tbl_RIOT[[#This Row],[Avg_Downmove]])</f>
        <v/>
      </c>
      <c r="S14" s="48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25">
      <c r="A15" s="8">
        <v>44067</v>
      </c>
      <c r="B15" s="48">
        <v>3.78</v>
      </c>
      <c r="C15" s="48">
        <v>3.79</v>
      </c>
      <c r="D15" s="48">
        <v>3.52</v>
      </c>
      <c r="E15" s="48">
        <v>3.63</v>
      </c>
      <c r="F15" s="48">
        <v>3.63</v>
      </c>
      <c r="G15">
        <v>4019400</v>
      </c>
      <c r="H15" s="48">
        <f>IF(tbl_RIOT[[#This Row],[Date]]=$A$5, $F15, EMA_Beta*$H14 + (1-EMA_Beta)*$F15)</f>
        <v>3.9067821958710001</v>
      </c>
      <c r="I15" s="46" t="str">
        <f ca="1">IF(tbl_RIOT[[#This Row],[RS]]= "", "", 100-(100/(1+tbl_RIOT[[#This Row],[RS]])))</f>
        <v/>
      </c>
      <c r="J15" s="48" t="str">
        <f ca="1">IF(ROW($N15)-4&lt;BB_Periods, "", AVERAGE(INDIRECT(ADDRESS(ROW($F15)-RSI_Periods +1, MATCH("Adj Close", Price_Header,0))): INDIRECT(ADDRESS(ROW($F15),MATCH("Adj Close", Price_Header,0)))))</f>
        <v/>
      </c>
      <c r="K15" s="48" t="str">
        <f ca="1">IF(tbl_RIOT[[#This Row],[BB_Mean]]="", "", tbl_RIOT[[#This Row],[BB_Mean]]+(BB_Width*tbl_RIOT[[#This Row],[BB_Stdev]]))</f>
        <v/>
      </c>
      <c r="L15" s="48" t="str">
        <f ca="1">IF(tbl_RIOT[[#This Row],[BB_Mean]]="", "", tbl_RIOT[[#This Row],[BB_Mean]]-(BB_Width*tbl_RIOT[[#This Row],[BB_Stdev]]))</f>
        <v/>
      </c>
      <c r="M15" s="46">
        <f>IF(ROW(tbl_RIOT[[#This Row],[Adj Close]])=5, 0, $F15-$F14)</f>
        <v>-9.5000000000000195E-2</v>
      </c>
      <c r="N15" s="46">
        <f>MAX(tbl_RIOT[[#This Row],[Move]],0)</f>
        <v>0</v>
      </c>
      <c r="O15" s="46">
        <f>MAX(-tbl_RIOT[[#This Row],[Move]],0)</f>
        <v>9.5000000000000195E-2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IF(tbl_RIOT[[#This Row],[Avg_Upmove]]="", "", tbl_RIOT[[#This Row],[Avg_Upmove]]/tbl_RIOT[[#This Row],[Avg_Downmove]])</f>
        <v/>
      </c>
      <c r="S15" s="48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25">
      <c r="A16" s="8">
        <v>44068</v>
      </c>
      <c r="B16" s="48">
        <v>3.41</v>
      </c>
      <c r="C16" s="48">
        <v>3.6</v>
      </c>
      <c r="D16" s="48">
        <v>3.18</v>
      </c>
      <c r="E16" s="48">
        <v>3.58</v>
      </c>
      <c r="F16" s="48">
        <v>3.58</v>
      </c>
      <c r="G16">
        <v>7397600</v>
      </c>
      <c r="H16" s="48">
        <f>IF(tbl_RIOT[[#This Row],[Date]]=$A$5, $F16, EMA_Beta*$H15 + (1-EMA_Beta)*$F16)</f>
        <v>3.8741039762839002</v>
      </c>
      <c r="I16" s="46" t="str">
        <f ca="1">IF(tbl_RIOT[[#This Row],[RS]]= "", "", 100-(100/(1+tbl_RIOT[[#This Row],[RS]])))</f>
        <v/>
      </c>
      <c r="J16" s="48" t="str">
        <f ca="1">IF(ROW($N16)-4&lt;BB_Periods, "", AVERAGE(INDIRECT(ADDRESS(ROW($F16)-RSI_Periods +1, MATCH("Adj Close", Price_Header,0))): INDIRECT(ADDRESS(ROW($F16),MATCH("Adj Close", Price_Header,0)))))</f>
        <v/>
      </c>
      <c r="K16" s="48" t="str">
        <f ca="1">IF(tbl_RIOT[[#This Row],[BB_Mean]]="", "", tbl_RIOT[[#This Row],[BB_Mean]]+(BB_Width*tbl_RIOT[[#This Row],[BB_Stdev]]))</f>
        <v/>
      </c>
      <c r="L16" s="48" t="str">
        <f ca="1">IF(tbl_RIOT[[#This Row],[BB_Mean]]="", "", tbl_RIOT[[#This Row],[BB_Mean]]-(BB_Width*tbl_RIOT[[#This Row],[BB_Stdev]]))</f>
        <v/>
      </c>
      <c r="M16" s="46">
        <f>IF(ROW(tbl_RIOT[[#This Row],[Adj Close]])=5, 0, $F16-$F15)</f>
        <v>-4.9999999999999822E-2</v>
      </c>
      <c r="N16" s="46">
        <f>MAX(tbl_RIOT[[#This Row],[Move]],0)</f>
        <v>0</v>
      </c>
      <c r="O16" s="46">
        <f>MAX(-tbl_RIOT[[#This Row],[Move]],0)</f>
        <v>4.9999999999999822E-2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IF(tbl_RIOT[[#This Row],[Avg_Upmove]]="", "", tbl_RIOT[[#This Row],[Avg_Upmove]]/tbl_RIOT[[#This Row],[Avg_Downmove]])</f>
        <v/>
      </c>
      <c r="S16" s="48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25">
      <c r="A17" s="8">
        <v>44069</v>
      </c>
      <c r="B17" s="48">
        <v>3.4</v>
      </c>
      <c r="C17" s="48">
        <v>3.56</v>
      </c>
      <c r="D17" s="48">
        <v>3.35</v>
      </c>
      <c r="E17" s="48">
        <v>3.41</v>
      </c>
      <c r="F17" s="48">
        <v>3.41</v>
      </c>
      <c r="G17">
        <v>3852000</v>
      </c>
      <c r="H17" s="48">
        <f>IF(tbl_RIOT[[#This Row],[Date]]=$A$5, $F17, EMA_Beta*$H16 + (1-EMA_Beta)*$F17)</f>
        <v>3.8276935786555102</v>
      </c>
      <c r="I17" s="46" t="str">
        <f ca="1">IF(tbl_RIOT[[#This Row],[RS]]= "", "", 100-(100/(1+tbl_RIOT[[#This Row],[RS]])))</f>
        <v/>
      </c>
      <c r="J17" s="48" t="str">
        <f ca="1">IF(ROW($N17)-4&lt;BB_Periods, "", AVERAGE(INDIRECT(ADDRESS(ROW($F17)-RSI_Periods +1, MATCH("Adj Close", Price_Header,0))): INDIRECT(ADDRESS(ROW($F17),MATCH("Adj Close", Price_Header,0)))))</f>
        <v/>
      </c>
      <c r="K17" s="48" t="str">
        <f ca="1">IF(tbl_RIOT[[#This Row],[BB_Mean]]="", "", tbl_RIOT[[#This Row],[BB_Mean]]+(BB_Width*tbl_RIOT[[#This Row],[BB_Stdev]]))</f>
        <v/>
      </c>
      <c r="L17" s="48" t="str">
        <f ca="1">IF(tbl_RIOT[[#This Row],[BB_Mean]]="", "", tbl_RIOT[[#This Row],[BB_Mean]]-(BB_Width*tbl_RIOT[[#This Row],[BB_Stdev]]))</f>
        <v/>
      </c>
      <c r="M17" s="46">
        <f>IF(ROW(tbl_RIOT[[#This Row],[Adj Close]])=5, 0, $F17-$F16)</f>
        <v>-0.16999999999999993</v>
      </c>
      <c r="N17" s="46">
        <f>MAX(tbl_RIOT[[#This Row],[Move]],0)</f>
        <v>0</v>
      </c>
      <c r="O17" s="46">
        <f>MAX(-tbl_RIOT[[#This Row],[Move]],0)</f>
        <v>0.16999999999999993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IF(tbl_RIOT[[#This Row],[Avg_Upmove]]="", "", tbl_RIOT[[#This Row],[Avg_Upmove]]/tbl_RIOT[[#This Row],[Avg_Downmove]])</f>
        <v/>
      </c>
      <c r="S17" s="48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25">
      <c r="A18" s="8">
        <v>44070</v>
      </c>
      <c r="B18" s="48">
        <v>3.46</v>
      </c>
      <c r="C18" s="48">
        <v>3.5</v>
      </c>
      <c r="D18" s="48">
        <v>3.15</v>
      </c>
      <c r="E18" s="48">
        <v>3.27</v>
      </c>
      <c r="F18" s="48">
        <v>3.27</v>
      </c>
      <c r="G18">
        <v>4789700</v>
      </c>
      <c r="H18" s="48">
        <f>IF(tbl_RIOT[[#This Row],[Date]]=$A$5, $F18, EMA_Beta*$H17 + (1-EMA_Beta)*$F18)</f>
        <v>3.771924220789959</v>
      </c>
      <c r="I18" s="46" t="str">
        <f ca="1">IF(tbl_RIOT[[#This Row],[RS]]= "", "", 100-(100/(1+tbl_RIOT[[#This Row],[RS]])))</f>
        <v/>
      </c>
      <c r="J18" s="48">
        <f ca="1">IF(ROW($N18)-4&lt;BB_Periods, "", AVERAGE(INDIRECT(ADDRESS(ROW($F18)-RSI_Periods +1, MATCH("Adj Close", Price_Header,0))): INDIRECT(ADDRESS(ROW($F18),MATCH("Adj Close", Price_Header,0)))))</f>
        <v>3.7260714285714287</v>
      </c>
      <c r="K18" s="48">
        <f ca="1">IF(tbl_RIOT[[#This Row],[BB_Mean]]="", "", tbl_RIOT[[#This Row],[BB_Mean]]+(BB_Width*tbl_RIOT[[#This Row],[BB_Stdev]]))</f>
        <v>4.2561248158887759</v>
      </c>
      <c r="L18" s="48">
        <f ca="1">IF(tbl_RIOT[[#This Row],[BB_Mean]]="", "", tbl_RIOT[[#This Row],[BB_Mean]]-(BB_Width*tbl_RIOT[[#This Row],[BB_Stdev]]))</f>
        <v>3.1960180412540815</v>
      </c>
      <c r="M18" s="46">
        <f>IF(ROW(tbl_RIOT[[#This Row],[Adj Close]])=5, 0, $F18-$F17)</f>
        <v>-0.14000000000000012</v>
      </c>
      <c r="N18" s="46">
        <f>MAX(tbl_RIOT[[#This Row],[Move]],0)</f>
        <v>0</v>
      </c>
      <c r="O18" s="46">
        <f>MAX(-tbl_RIOT[[#This Row],[Move]],0)</f>
        <v>0.14000000000000012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IF(tbl_RIOT[[#This Row],[Avg_Upmove]]="", "", tbl_RIOT[[#This Row],[Avg_Upmove]]/tbl_RIOT[[#This Row],[Avg_Downmove]])</f>
        <v/>
      </c>
      <c r="S18" s="48">
        <f ca="1">IF(ROW($N18)-4&lt;BB_Periods, "", _xlfn.STDEV.S(INDIRECT(ADDRESS(ROW($F18)-RSI_Periods +1, MATCH("Adj Close", Price_Header,0))): INDIRECT(ADDRESS(ROW($F18),MATCH("Adj Close", Price_Header,0)))))</f>
        <v>0.26502669365867354</v>
      </c>
    </row>
    <row r="19" spans="1:19" x14ac:dyDescent="0.25">
      <c r="A19" s="8">
        <v>44071</v>
      </c>
      <c r="B19" s="48">
        <v>3.23</v>
      </c>
      <c r="C19" s="48">
        <v>3.65</v>
      </c>
      <c r="D19" s="48">
        <v>3.21</v>
      </c>
      <c r="E19" s="48">
        <v>3.59</v>
      </c>
      <c r="F19" s="48">
        <v>3.59</v>
      </c>
      <c r="G19">
        <v>8666400</v>
      </c>
      <c r="H19" s="48">
        <f>IF(tbl_RIOT[[#This Row],[Date]]=$A$5, $F19, EMA_Beta*$H18 + (1-EMA_Beta)*$F19)</f>
        <v>3.7537317987109633</v>
      </c>
      <c r="I19" s="46">
        <f ca="1">IF(tbl_RIOT[[#This Row],[RS]]= "", "", 100-(100/(1+tbl_RIOT[[#This Row],[RS]])))</f>
        <v>41</v>
      </c>
      <c r="J19" s="48">
        <f ca="1">IF(ROW($N19)-4&lt;BB_Periods, "", AVERAGE(INDIRECT(ADDRESS(ROW($F19)-RSI_Periods +1, MATCH("Adj Close", Price_Header,0))): INDIRECT(ADDRESS(ROW($F19),MATCH("Adj Close", Price_Header,0)))))</f>
        <v>3.6875</v>
      </c>
      <c r="K19" s="48">
        <f ca="1">IF(tbl_RIOT[[#This Row],[BB_Mean]]="", "", tbl_RIOT[[#This Row],[BB_Mean]]+(BB_Width*tbl_RIOT[[#This Row],[BB_Stdev]]))</f>
        <v>4.1671272591214015</v>
      </c>
      <c r="L19" s="48">
        <f ca="1">IF(tbl_RIOT[[#This Row],[BB_Mean]]="", "", tbl_RIOT[[#This Row],[BB_Mean]]-(BB_Width*tbl_RIOT[[#This Row],[BB_Stdev]]))</f>
        <v>3.2078727408785985</v>
      </c>
      <c r="M19" s="46">
        <f>IF(ROW(tbl_RIOT[[#This Row],[Adj Close]])=5, 0, $F19-$F18)</f>
        <v>0.31999999999999984</v>
      </c>
      <c r="N19" s="46">
        <f>MAX(tbl_RIOT[[#This Row],[Move]],0)</f>
        <v>0.31999999999999984</v>
      </c>
      <c r="O19" s="46">
        <f>MAX(-tbl_RIOT[[#This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8.7857142857142884E-2</v>
      </c>
      <c r="Q19" s="46">
        <f ca="1">IF(ROW($O19)-5&lt;RSI_Periods, "", AVERAGE(INDIRECT(ADDRESS(ROW($O19)-RSI_Periods +1, MATCH("Downmove", Price_Header,0))): INDIRECT(ADDRESS(ROW($O19),MATCH("Downmove", Price_Header,0)))))</f>
        <v>0.12642857142857147</v>
      </c>
      <c r="R19" s="46">
        <f ca="1">IF(tbl_RIOT[[#This Row],[Avg_Upmove]]="", "", tbl_RIOT[[#This Row],[Avg_Upmove]]/tbl_RIOT[[#This Row],[Avg_Downmove]])</f>
        <v>0.69491525423728806</v>
      </c>
      <c r="S19" s="48">
        <f ca="1">IF(ROW($N19)-4&lt;BB_Periods, "", _xlfn.STDEV.S(INDIRECT(ADDRESS(ROW($F19)-RSI_Periods +1, MATCH("Adj Close", Price_Header,0))): INDIRECT(ADDRESS(ROW($F19),MATCH("Adj Close", Price_Header,0)))))</f>
        <v>0.23981362956070065</v>
      </c>
    </row>
    <row r="20" spans="1:19" x14ac:dyDescent="0.25">
      <c r="A20" s="8">
        <v>44074</v>
      </c>
      <c r="B20" s="48">
        <v>3.66</v>
      </c>
      <c r="C20" s="48">
        <v>3.7</v>
      </c>
      <c r="D20" s="48">
        <v>3.35</v>
      </c>
      <c r="E20" s="48">
        <v>3.5</v>
      </c>
      <c r="F20" s="48">
        <v>3.5</v>
      </c>
      <c r="G20">
        <v>4588200</v>
      </c>
      <c r="H20" s="48">
        <f>IF(tbl_RIOT[[#This Row],[Date]]=$A$5, $F20, EMA_Beta*$H19 + (1-EMA_Beta)*$F20)</f>
        <v>3.728358618839867</v>
      </c>
      <c r="I20" s="46">
        <f ca="1">IF(tbl_RIOT[[#This Row],[RS]]= "", "", 100-(100/(1+tbl_RIOT[[#This Row],[RS]])))</f>
        <v>47.674418604651159</v>
      </c>
      <c r="J20" s="48">
        <f ca="1">IF(ROW($N20)-4&lt;BB_Periods, "", AVERAGE(INDIRECT(ADDRESS(ROW($F20)-RSI_Periods +1, MATCH("Adj Close", Price_Header,0))): INDIRECT(ADDRESS(ROW($F20),MATCH("Adj Close", Price_Header,0)))))</f>
        <v>3.678928571428572</v>
      </c>
      <c r="K20" s="48">
        <f ca="1">IF(tbl_RIOT[[#This Row],[BB_Mean]]="", "", tbl_RIOT[[#This Row],[BB_Mean]]+(BB_Width*tbl_RIOT[[#This Row],[BB_Stdev]]))</f>
        <v>4.167949234377704</v>
      </c>
      <c r="L20" s="48">
        <f ca="1">IF(tbl_RIOT[[#This Row],[BB_Mean]]="", "", tbl_RIOT[[#This Row],[BB_Mean]]-(BB_Width*tbl_RIOT[[#This Row],[BB_Stdev]]))</f>
        <v>3.1899079084794395</v>
      </c>
      <c r="M20" s="46">
        <f>IF(ROW(tbl_RIOT[[#This Row],[Adj Close]])=5, 0, $F20-$F19)</f>
        <v>-8.9999999999999858E-2</v>
      </c>
      <c r="N20" s="46">
        <f>MAX(tbl_RIOT[[#This Row],[Move]],0)</f>
        <v>0</v>
      </c>
      <c r="O20" s="46">
        <f>MAX(-tbl_RIOT[[#This Row],[Move]],0)</f>
        <v>8.9999999999999858E-2</v>
      </c>
      <c r="P20" s="46">
        <f ca="1">IF(ROW($N20)-5&lt;RSI_Periods, "", AVERAGE(INDIRECT(ADDRESS(ROW($N20)-RSI_Periods +1, MATCH("Upmove", Price_Header,0))): INDIRECT(ADDRESS(ROW($N20),MATCH("Upmove", Price_Header,0)))))</f>
        <v>8.7857142857142884E-2</v>
      </c>
      <c r="Q20" s="46">
        <f ca="1">IF(ROW($O20)-5&lt;RSI_Periods, "", AVERAGE(INDIRECT(ADDRESS(ROW($O20)-RSI_Periods +1, MATCH("Downmove", Price_Header,0))): INDIRECT(ADDRESS(ROW($O20),MATCH("Downmove", Price_Header,0)))))</f>
        <v>9.6428571428571461E-2</v>
      </c>
      <c r="R20" s="46">
        <f ca="1">IF(tbl_RIOT[[#This Row],[Avg_Upmove]]="", "", tbl_RIOT[[#This Row],[Avg_Upmove]]/tbl_RIOT[[#This Row],[Avg_Downmove]])</f>
        <v>0.91111111111111109</v>
      </c>
      <c r="S20" s="48">
        <f ca="1">IF(ROW($N20)-4&lt;BB_Periods, "", _xlfn.STDEV.S(INDIRECT(ADDRESS(ROW($F20)-RSI_Periods +1, MATCH("Adj Close", Price_Header,0))): INDIRECT(ADDRESS(ROW($F20),MATCH("Adj Close", Price_Header,0)))))</f>
        <v>0.24451033147456619</v>
      </c>
    </row>
    <row r="21" spans="1:19" x14ac:dyDescent="0.25">
      <c r="A21" s="8">
        <v>44075</v>
      </c>
      <c r="B21" s="48">
        <v>3.52</v>
      </c>
      <c r="C21" s="48">
        <v>3.88</v>
      </c>
      <c r="D21" s="48">
        <v>3.42</v>
      </c>
      <c r="E21" s="48">
        <v>3.75</v>
      </c>
      <c r="F21" s="48">
        <v>3.75</v>
      </c>
      <c r="G21">
        <v>8504900</v>
      </c>
      <c r="H21" s="48">
        <f>IF(tbl_RIOT[[#This Row],[Date]]=$A$5, $F21, EMA_Beta*$H20 + (1-EMA_Beta)*$F21)</f>
        <v>3.7305227569558803</v>
      </c>
      <c r="I21" s="46">
        <f ca="1">IF(tbl_RIOT[[#This Row],[RS]]= "", "", 100-(100/(1+tbl_RIOT[[#This Row],[RS]])))</f>
        <v>53.818181818181813</v>
      </c>
      <c r="J21" s="48">
        <f ca="1">IF(ROW($N21)-4&lt;BB_Periods, "", AVERAGE(INDIRECT(ADDRESS(ROW($F21)-RSI_Periods +1, MATCH("Adj Close", Price_Header,0))): INDIRECT(ADDRESS(ROW($F21),MATCH("Adj Close", Price_Header,0)))))</f>
        <v>3.6939285714285717</v>
      </c>
      <c r="K21" s="48">
        <f ca="1">IF(tbl_RIOT[[#This Row],[BB_Mean]]="", "", tbl_RIOT[[#This Row],[BB_Mean]]+(BB_Width*tbl_RIOT[[#This Row],[BB_Stdev]]))</f>
        <v>4.1774441995496936</v>
      </c>
      <c r="L21" s="48">
        <f ca="1">IF(tbl_RIOT[[#This Row],[BB_Mean]]="", "", tbl_RIOT[[#This Row],[BB_Mean]]-(BB_Width*tbl_RIOT[[#This Row],[BB_Stdev]]))</f>
        <v>3.2104129433074502</v>
      </c>
      <c r="M21" s="46">
        <f>IF(ROW(tbl_RIOT[[#This Row],[Adj Close]])=5, 0, $F21-$F20)</f>
        <v>0.25</v>
      </c>
      <c r="N21" s="46">
        <f>MAX(tbl_RIOT[[#This Row],[Move]],0)</f>
        <v>0.25</v>
      </c>
      <c r="O21" s="46">
        <f>MAX(-tbl_RIOT[[#This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0.10571428571428575</v>
      </c>
      <c r="Q21" s="46">
        <f ca="1">IF(ROW($O21)-5&lt;RSI_Periods, "", AVERAGE(INDIRECT(ADDRESS(ROW($O21)-RSI_Periods +1, MATCH("Downmove", Price_Header,0))): INDIRECT(ADDRESS(ROW($O21),MATCH("Downmove", Price_Header,0)))))</f>
        <v>9.0714285714285747E-2</v>
      </c>
      <c r="R21" s="46">
        <f ca="1">IF(tbl_RIOT[[#This Row],[Avg_Upmove]]="", "", tbl_RIOT[[#This Row],[Avg_Upmove]]/tbl_RIOT[[#This Row],[Avg_Downmove]])</f>
        <v>1.1653543307086613</v>
      </c>
      <c r="S21" s="48">
        <f ca="1">IF(ROW($N21)-4&lt;BB_Periods, "", _xlfn.STDEV.S(INDIRECT(ADDRESS(ROW($F21)-RSI_Periods +1, MATCH("Adj Close", Price_Header,0))): INDIRECT(ADDRESS(ROW($F21),MATCH("Adj Close", Price_Header,0)))))</f>
        <v>0.24175781406056082</v>
      </c>
    </row>
    <row r="22" spans="1:19" x14ac:dyDescent="0.25">
      <c r="A22" s="8">
        <v>44076</v>
      </c>
      <c r="B22" s="48">
        <v>3.51</v>
      </c>
      <c r="C22" s="48">
        <v>3.52</v>
      </c>
      <c r="D22" s="48">
        <v>3.3</v>
      </c>
      <c r="E22" s="48">
        <v>3.43</v>
      </c>
      <c r="F22" s="48">
        <v>3.43</v>
      </c>
      <c r="G22">
        <v>5030500</v>
      </c>
      <c r="H22" s="48">
        <f>IF(tbl_RIOT[[#This Row],[Date]]=$A$5, $F22, EMA_Beta*$H21 + (1-EMA_Beta)*$F22)</f>
        <v>3.7004704812602922</v>
      </c>
      <c r="I22" s="46">
        <f ca="1">IF(tbl_RIOT[[#This Row],[RS]]= "", "", 100-(100/(1+tbl_RIOT[[#This Row],[RS]])))</f>
        <v>47.000000000000007</v>
      </c>
      <c r="J22" s="48">
        <f ca="1">IF(ROW($N22)-4&lt;BB_Periods, "", AVERAGE(INDIRECT(ADDRESS(ROW($F22)-RSI_Periods +1, MATCH("Adj Close", Price_Header,0))): INDIRECT(ADDRESS(ROW($F22),MATCH("Adj Close", Price_Header,0)))))</f>
        <v>3.6810714285714288</v>
      </c>
      <c r="K22" s="48">
        <f ca="1">IF(tbl_RIOT[[#This Row],[BB_Mean]]="", "", tbl_RIOT[[#This Row],[BB_Mean]]+(BB_Width*tbl_RIOT[[#This Row],[BB_Stdev]]))</f>
        <v>4.183407181620332</v>
      </c>
      <c r="L22" s="48">
        <f ca="1">IF(tbl_RIOT[[#This Row],[BB_Mean]]="", "", tbl_RIOT[[#This Row],[BB_Mean]]-(BB_Width*tbl_RIOT[[#This Row],[BB_Stdev]]))</f>
        <v>3.1787356755225256</v>
      </c>
      <c r="M22" s="46">
        <f>IF(ROW(tbl_RIOT[[#This Row],[Adj Close]])=5, 0, $F22-$F21)</f>
        <v>-0.31999999999999984</v>
      </c>
      <c r="N22" s="46">
        <f>MAX(tbl_RIOT[[#This Row],[Move]],0)</f>
        <v>0</v>
      </c>
      <c r="O22" s="46">
        <f>MAX(-tbl_RIOT[[#This Row],[Move]],0)</f>
        <v>0.31999999999999984</v>
      </c>
      <c r="P22" s="46">
        <f ca="1">IF(ROW($N22)-5&lt;RSI_Periods, "", AVERAGE(INDIRECT(ADDRESS(ROW($N22)-RSI_Periods +1, MATCH("Upmove", Price_Header,0))): INDIRECT(ADDRESS(ROW($N22),MATCH("Upmove", Price_Header,0)))))</f>
        <v>0.10071428571428576</v>
      </c>
      <c r="Q22" s="46">
        <f ca="1">IF(ROW($O22)-5&lt;RSI_Periods, "", AVERAGE(INDIRECT(ADDRESS(ROW($O22)-RSI_Periods +1, MATCH("Downmove", Price_Header,0))): INDIRECT(ADDRESS(ROW($O22),MATCH("Downmove", Price_Header,0)))))</f>
        <v>0.11357142857142859</v>
      </c>
      <c r="R22" s="46">
        <f ca="1">IF(tbl_RIOT[[#This Row],[Avg_Upmove]]="", "", tbl_RIOT[[#This Row],[Avg_Upmove]]/tbl_RIOT[[#This Row],[Avg_Downmove]])</f>
        <v>0.88679245283018893</v>
      </c>
      <c r="S22" s="48">
        <f ca="1">IF(ROW($N22)-4&lt;BB_Periods, "", _xlfn.STDEV.S(INDIRECT(ADDRESS(ROW($F22)-RSI_Periods +1, MATCH("Adj Close", Price_Header,0))): INDIRECT(ADDRESS(ROW($F22),MATCH("Adj Close", Price_Header,0)))))</f>
        <v>0.25116787652445172</v>
      </c>
    </row>
    <row r="23" spans="1:19" x14ac:dyDescent="0.25">
      <c r="A23" s="8">
        <v>44077</v>
      </c>
      <c r="B23" s="48">
        <v>3.1</v>
      </c>
      <c r="C23" s="48">
        <v>3.29</v>
      </c>
      <c r="D23" s="48">
        <v>3.06</v>
      </c>
      <c r="E23" s="48">
        <v>3.16</v>
      </c>
      <c r="F23" s="48">
        <v>3.16</v>
      </c>
      <c r="G23">
        <v>5900100</v>
      </c>
      <c r="H23" s="48">
        <f>IF(tbl_RIOT[[#This Row],[Date]]=$A$5, $F23, EMA_Beta*$H22 + (1-EMA_Beta)*$F23)</f>
        <v>3.6464234331342631</v>
      </c>
      <c r="I23" s="46">
        <f ca="1">IF(tbl_RIOT[[#This Row],[RS]]= "", "", 100-(100/(1+tbl_RIOT[[#This Row],[RS]])))</f>
        <v>40.000000000000007</v>
      </c>
      <c r="J23" s="48">
        <f ca="1">IF(ROW($N23)-4&lt;BB_Periods, "", AVERAGE(INDIRECT(ADDRESS(ROW($F23)-RSI_Periods +1, MATCH("Adj Close", Price_Header,0))): INDIRECT(ADDRESS(ROW($F23),MATCH("Adj Close", Price_Header,0)))))</f>
        <v>3.6367857142857147</v>
      </c>
      <c r="K23" s="48">
        <f ca="1">IF(tbl_RIOT[[#This Row],[BB_Mean]]="", "", tbl_RIOT[[#This Row],[BB_Mean]]+(BB_Width*tbl_RIOT[[#This Row],[BB_Stdev]]))</f>
        <v>4.2063686540536871</v>
      </c>
      <c r="L23" s="48">
        <f ca="1">IF(tbl_RIOT[[#This Row],[BB_Mean]]="", "", tbl_RIOT[[#This Row],[BB_Mean]]-(BB_Width*tbl_RIOT[[#This Row],[BB_Stdev]]))</f>
        <v>3.0672027745177424</v>
      </c>
      <c r="M23" s="46">
        <f>IF(ROW(tbl_RIOT[[#This Row],[Adj Close]])=5, 0, $F23-$F22)</f>
        <v>-0.27</v>
      </c>
      <c r="N23" s="46">
        <f>MAX(tbl_RIOT[[#This Row],[Move]],0)</f>
        <v>0</v>
      </c>
      <c r="O23" s="46">
        <f>MAX(-tbl_RIOT[[#This Row],[Move]],0)</f>
        <v>0.27</v>
      </c>
      <c r="P23" s="46">
        <f ca="1">IF(ROW($N23)-5&lt;RSI_Periods, "", AVERAGE(INDIRECT(ADDRESS(ROW($N23)-RSI_Periods +1, MATCH("Upmove", Price_Header,0))): INDIRECT(ADDRESS(ROW($N23),MATCH("Upmove", Price_Header,0)))))</f>
        <v>8.857142857142862E-2</v>
      </c>
      <c r="Q23" s="46">
        <f ca="1">IF(ROW($O23)-5&lt;RSI_Periods, "", AVERAGE(INDIRECT(ADDRESS(ROW($O23)-RSI_Periods +1, MATCH("Downmove", Price_Header,0))): INDIRECT(ADDRESS(ROW($O23),MATCH("Downmove", Price_Header,0)))))</f>
        <v>0.13285714285714287</v>
      </c>
      <c r="R23" s="46">
        <f ca="1">IF(tbl_RIOT[[#This Row],[Avg_Upmove]]="", "", tbl_RIOT[[#This Row],[Avg_Upmove]]/tbl_RIOT[[#This Row],[Avg_Downmove]])</f>
        <v>0.66666666666666696</v>
      </c>
      <c r="S23" s="48">
        <f ca="1">IF(ROW($N23)-4&lt;BB_Periods, "", _xlfn.STDEV.S(INDIRECT(ADDRESS(ROW($F23)-RSI_Periods +1, MATCH("Adj Close", Price_Header,0))): INDIRECT(ADDRESS(ROW($F23),MATCH("Adj Close", Price_Header,0)))))</f>
        <v>0.28479146988398607</v>
      </c>
    </row>
    <row r="24" spans="1:19" x14ac:dyDescent="0.25">
      <c r="A24" s="8">
        <v>44078</v>
      </c>
      <c r="B24" s="48">
        <v>3.08</v>
      </c>
      <c r="C24" s="48">
        <v>3.2</v>
      </c>
      <c r="D24" s="48">
        <v>2.54</v>
      </c>
      <c r="E24" s="48">
        <v>3.11</v>
      </c>
      <c r="F24" s="48">
        <v>3.11</v>
      </c>
      <c r="G24">
        <v>8056200</v>
      </c>
      <c r="H24" s="48">
        <f>IF(tbl_RIOT[[#This Row],[Date]]=$A$5, $F24, EMA_Beta*$H23 + (1-EMA_Beta)*$F24)</f>
        <v>3.592781089820837</v>
      </c>
      <c r="I24" s="46">
        <f ca="1">IF(tbl_RIOT[[#This Row],[RS]]= "", "", 100-(100/(1+tbl_RIOT[[#This Row],[RS]])))</f>
        <v>31.294964028776974</v>
      </c>
      <c r="J24" s="48">
        <f ca="1">IF(ROW($N24)-4&lt;BB_Periods, "", AVERAGE(INDIRECT(ADDRESS(ROW($F24)-RSI_Periods +1, MATCH("Adj Close", Price_Header,0))): INDIRECT(ADDRESS(ROW($F24),MATCH("Adj Close", Price_Header,0)))))</f>
        <v>3.5625</v>
      </c>
      <c r="K24" s="48">
        <f ca="1">IF(tbl_RIOT[[#This Row],[BB_Mean]]="", "", tbl_RIOT[[#This Row],[BB_Mean]]+(BB_Width*tbl_RIOT[[#This Row],[BB_Stdev]]))</f>
        <v>4.1147645687043068</v>
      </c>
      <c r="L24" s="48">
        <f ca="1">IF(tbl_RIOT[[#This Row],[BB_Mean]]="", "", tbl_RIOT[[#This Row],[BB_Mean]]-(BB_Width*tbl_RIOT[[#This Row],[BB_Stdev]]))</f>
        <v>3.0102354312956932</v>
      </c>
      <c r="M24" s="46">
        <f>IF(ROW(tbl_RIOT[[#This Row],[Adj Close]])=5, 0, $F24-$F23)</f>
        <v>-5.0000000000000266E-2</v>
      </c>
      <c r="N24" s="46">
        <f>MAX(tbl_RIOT[[#This Row],[Move]],0)</f>
        <v>0</v>
      </c>
      <c r="O24" s="46">
        <f>MAX(-tbl_RIOT[[#This Row],[Move]],0)</f>
        <v>5.0000000000000266E-2</v>
      </c>
      <c r="P24" s="46">
        <f ca="1">IF(ROW($N24)-5&lt;RSI_Periods, "", AVERAGE(INDIRECT(ADDRESS(ROW($N24)-RSI_Periods +1, MATCH("Upmove", Price_Header,0))): INDIRECT(ADDRESS(ROW($N24),MATCH("Upmove", Price_Header,0)))))</f>
        <v>6.2142857142857152E-2</v>
      </c>
      <c r="Q24" s="46">
        <f ca="1">IF(ROW($O24)-5&lt;RSI_Periods, "", AVERAGE(INDIRECT(ADDRESS(ROW($O24)-RSI_Periods +1, MATCH("Downmove", Price_Header,0))): INDIRECT(ADDRESS(ROW($O24),MATCH("Downmove", Price_Header,0)))))</f>
        <v>0.13642857142857148</v>
      </c>
      <c r="R24" s="46">
        <f ca="1">IF(tbl_RIOT[[#This Row],[Avg_Upmove]]="", "", tbl_RIOT[[#This Row],[Avg_Upmove]]/tbl_RIOT[[#This Row],[Avg_Downmove]])</f>
        <v>0.45549738219895275</v>
      </c>
      <c r="S24" s="48">
        <f ca="1">IF(ROW($N24)-4&lt;BB_Periods, "", _xlfn.STDEV.S(INDIRECT(ADDRESS(ROW($F24)-RSI_Periods +1, MATCH("Adj Close", Price_Header,0))): INDIRECT(ADDRESS(ROW($F24),MATCH("Adj Close", Price_Header,0)))))</f>
        <v>0.27613228435215331</v>
      </c>
    </row>
    <row r="25" spans="1:19" x14ac:dyDescent="0.25">
      <c r="A25" s="8">
        <v>44082</v>
      </c>
      <c r="B25" s="48">
        <v>2.84</v>
      </c>
      <c r="C25" s="48">
        <v>3.02</v>
      </c>
      <c r="D25" s="48">
        <v>2.63</v>
      </c>
      <c r="E25" s="48">
        <v>2.82</v>
      </c>
      <c r="F25" s="48">
        <v>2.82</v>
      </c>
      <c r="G25">
        <v>4434900</v>
      </c>
      <c r="H25" s="48">
        <f>IF(tbl_RIOT[[#This Row],[Date]]=$A$5, $F25, EMA_Beta*$H24 + (1-EMA_Beta)*$F25)</f>
        <v>3.5155029808387535</v>
      </c>
      <c r="I25" s="46">
        <f ca="1">IF(tbl_RIOT[[#This Row],[RS]]= "", "", 100-(100/(1+tbl_RIOT[[#This Row],[RS]])))</f>
        <v>29.391891891891902</v>
      </c>
      <c r="J25" s="48">
        <f ca="1">IF(ROW($N25)-4&lt;BB_Periods, "", AVERAGE(INDIRECT(ADDRESS(ROW($F25)-RSI_Periods +1, MATCH("Adj Close", Price_Header,0))): INDIRECT(ADDRESS(ROW($F25),MATCH("Adj Close", Price_Header,0)))))</f>
        <v>3.4753571428571433</v>
      </c>
      <c r="K25" s="48">
        <f ca="1">IF(tbl_RIOT[[#This Row],[BB_Mean]]="", "", tbl_RIOT[[#This Row],[BB_Mean]]+(BB_Width*tbl_RIOT[[#This Row],[BB_Stdev]]))</f>
        <v>4.0850792016765602</v>
      </c>
      <c r="L25" s="48">
        <f ca="1">IF(tbl_RIOT[[#This Row],[BB_Mean]]="", "", tbl_RIOT[[#This Row],[BB_Mean]]-(BB_Width*tbl_RIOT[[#This Row],[BB_Stdev]]))</f>
        <v>2.8656350840377258</v>
      </c>
      <c r="M25" s="46">
        <f>IF(ROW(tbl_RIOT[[#This Row],[Adj Close]])=5, 0, $F25-$F24)</f>
        <v>-0.29000000000000004</v>
      </c>
      <c r="N25" s="46">
        <f>MAX(tbl_RIOT[[#This Row],[Move]],0)</f>
        <v>0</v>
      </c>
      <c r="O25" s="46">
        <f>MAX(-tbl_RIOT[[#This Row],[Move]],0)</f>
        <v>0.29000000000000004</v>
      </c>
      <c r="P25" s="46">
        <f ca="1">IF(ROW($N25)-5&lt;RSI_Periods, "", AVERAGE(INDIRECT(ADDRESS(ROW($N25)-RSI_Periods +1, MATCH("Upmove", Price_Header,0))): INDIRECT(ADDRESS(ROW($N25),MATCH("Upmove", Price_Header,0)))))</f>
        <v>6.2142857142857152E-2</v>
      </c>
      <c r="Q25" s="46">
        <f ca="1">IF(ROW($O25)-5&lt;RSI_Periods, "", AVERAGE(INDIRECT(ADDRESS(ROW($O25)-RSI_Periods +1, MATCH("Downmove", Price_Header,0))): INDIRECT(ADDRESS(ROW($O25),MATCH("Downmove", Price_Header,0)))))</f>
        <v>0.1492857142857143</v>
      </c>
      <c r="R25" s="46">
        <f ca="1">IF(tbl_RIOT[[#This Row],[Avg_Upmove]]="", "", tbl_RIOT[[#This Row],[Avg_Upmove]]/tbl_RIOT[[#This Row],[Avg_Downmove]])</f>
        <v>0.41626794258373206</v>
      </c>
      <c r="S25" s="48">
        <f ca="1">IF(ROW($N25)-4&lt;BB_Periods, "", _xlfn.STDEV.S(INDIRECT(ADDRESS(ROW($F25)-RSI_Periods +1, MATCH("Adj Close", Price_Header,0))): INDIRECT(ADDRESS(ROW($F25),MATCH("Adj Close", Price_Header,0)))))</f>
        <v>0.30486102940970872</v>
      </c>
    </row>
    <row r="26" spans="1:19" x14ac:dyDescent="0.25">
      <c r="A26" s="8">
        <v>44083</v>
      </c>
      <c r="B26" s="48">
        <v>2.88</v>
      </c>
      <c r="C26" s="48">
        <v>3.09</v>
      </c>
      <c r="D26" s="48">
        <v>2.88</v>
      </c>
      <c r="E26" s="48">
        <v>2.95</v>
      </c>
      <c r="F26" s="48">
        <v>2.95</v>
      </c>
      <c r="G26">
        <v>3976600</v>
      </c>
      <c r="H26" s="48">
        <f>IF(tbl_RIOT[[#This Row],[Date]]=$A$5, $F26, EMA_Beta*$H25 + (1-EMA_Beta)*$F26)</f>
        <v>3.458952682754878</v>
      </c>
      <c r="I26" s="46">
        <f ca="1">IF(tbl_RIOT[[#This Row],[RS]]= "", "", 100-(100/(1+tbl_RIOT[[#This Row],[RS]])))</f>
        <v>36.496350364963511</v>
      </c>
      <c r="J26" s="48">
        <f ca="1">IF(ROW($N26)-4&lt;BB_Periods, "", AVERAGE(INDIRECT(ADDRESS(ROW($F26)-RSI_Periods +1, MATCH("Adj Close", Price_Header,0))): INDIRECT(ADDRESS(ROW($F26),MATCH("Adj Close", Price_Header,0)))))</f>
        <v>3.4224999999999999</v>
      </c>
      <c r="K26" s="48">
        <f ca="1">IF(tbl_RIOT[[#This Row],[BB_Mean]]="", "", tbl_RIOT[[#This Row],[BB_Mean]]+(BB_Width*tbl_RIOT[[#This Row],[BB_Stdev]]))</f>
        <v>4.0786044710433522</v>
      </c>
      <c r="L26" s="48">
        <f ca="1">IF(tbl_RIOT[[#This Row],[BB_Mean]]="", "", tbl_RIOT[[#This Row],[BB_Mean]]-(BB_Width*tbl_RIOT[[#This Row],[BB_Stdev]]))</f>
        <v>2.7663955289566475</v>
      </c>
      <c r="M26" s="46">
        <f>IF(ROW(tbl_RIOT[[#This Row],[Adj Close]])=5, 0, $F26-$F25)</f>
        <v>0.13000000000000034</v>
      </c>
      <c r="N26" s="46">
        <f>MAX(tbl_RIOT[[#This Row],[Move]],0)</f>
        <v>0.13000000000000034</v>
      </c>
      <c r="O26" s="46">
        <f>MAX(-tbl_RIOT[[#This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7.1428571428571466E-2</v>
      </c>
      <c r="Q26" s="46">
        <f ca="1">IF(ROW($O26)-5&lt;RSI_Periods, "", AVERAGE(INDIRECT(ADDRESS(ROW($O26)-RSI_Periods +1, MATCH("Downmove", Price_Header,0))): INDIRECT(ADDRESS(ROW($O26),MATCH("Downmove", Price_Header,0)))))</f>
        <v>0.1242857142857143</v>
      </c>
      <c r="R26" s="46">
        <f ca="1">IF(tbl_RIOT[[#This Row],[Avg_Upmove]]="", "", tbl_RIOT[[#This Row],[Avg_Upmove]]/tbl_RIOT[[#This Row],[Avg_Downmove]])</f>
        <v>0.57471264367816111</v>
      </c>
      <c r="S26" s="48">
        <f ca="1">IF(ROW($N26)-4&lt;BB_Periods, "", _xlfn.STDEV.S(INDIRECT(ADDRESS(ROW($F26)-RSI_Periods +1, MATCH("Adj Close", Price_Header,0))): INDIRECT(ADDRESS(ROW($F26),MATCH("Adj Close", Price_Header,0)))))</f>
        <v>0.32805223552167612</v>
      </c>
    </row>
    <row r="27" spans="1:19" x14ac:dyDescent="0.25">
      <c r="A27" s="8">
        <v>44084</v>
      </c>
      <c r="B27" s="48">
        <v>3.01</v>
      </c>
      <c r="C27" s="48">
        <v>3.2</v>
      </c>
      <c r="D27" s="48">
        <v>2.78</v>
      </c>
      <c r="E27" s="48">
        <v>2.81</v>
      </c>
      <c r="F27" s="48">
        <v>2.81</v>
      </c>
      <c r="G27">
        <v>4480900</v>
      </c>
      <c r="H27" s="48">
        <f>IF(tbl_RIOT[[#This Row],[Date]]=$A$5, $F27, EMA_Beta*$H26 + (1-EMA_Beta)*$F27)</f>
        <v>3.3940574144793905</v>
      </c>
      <c r="I27" s="46">
        <f ca="1">IF(tbl_RIOT[[#This Row],[RS]]= "", "", 100-(100/(1+tbl_RIOT[[#This Row],[RS]])))</f>
        <v>27.131782945736433</v>
      </c>
      <c r="J27" s="48">
        <f ca="1">IF(ROW($N27)-4&lt;BB_Periods, "", AVERAGE(INDIRECT(ADDRESS(ROW($F27)-RSI_Periods +1, MATCH("Adj Close", Price_Header,0))): INDIRECT(ADDRESS(ROW($F27),MATCH("Adj Close", Price_Header,0)))))</f>
        <v>3.3382142857142862</v>
      </c>
      <c r="K27" s="48">
        <f ca="1">IF(tbl_RIOT[[#This Row],[BB_Mean]]="", "", tbl_RIOT[[#This Row],[BB_Mean]]+(BB_Width*tbl_RIOT[[#This Row],[BB_Stdev]]))</f>
        <v>3.9833571696239987</v>
      </c>
      <c r="L27" s="48">
        <f ca="1">IF(tbl_RIOT[[#This Row],[BB_Mean]]="", "", tbl_RIOT[[#This Row],[BB_Mean]]-(BB_Width*tbl_RIOT[[#This Row],[BB_Stdev]]))</f>
        <v>2.6930714018045738</v>
      </c>
      <c r="M27" s="46">
        <f>IF(ROW(tbl_RIOT[[#This Row],[Adj Close]])=5, 0, $F27-$F26)</f>
        <v>-0.14000000000000012</v>
      </c>
      <c r="N27" s="46">
        <f>MAX(tbl_RIOT[[#This Row],[Move]],0)</f>
        <v>0</v>
      </c>
      <c r="O27" s="46">
        <f>MAX(-tbl_RIOT[[#This Row],[Move]],0)</f>
        <v>0.14000000000000012</v>
      </c>
      <c r="P27" s="46">
        <f ca="1">IF(ROW($N27)-5&lt;RSI_Periods, "", AVERAGE(INDIRECT(ADDRESS(ROW($N27)-RSI_Periods +1, MATCH("Upmove", Price_Header,0))): INDIRECT(ADDRESS(ROW($N27),MATCH("Upmove", Price_Header,0)))))</f>
        <v>5.000000000000001E-2</v>
      </c>
      <c r="Q27" s="46">
        <f ca="1">IF(ROW($O27)-5&lt;RSI_Periods, "", AVERAGE(INDIRECT(ADDRESS(ROW($O27)-RSI_Periods +1, MATCH("Downmove", Price_Header,0))): INDIRECT(ADDRESS(ROW($O27),MATCH("Downmove", Price_Header,0)))))</f>
        <v>0.13428571428571431</v>
      </c>
      <c r="R27" s="46">
        <f ca="1">IF(tbl_RIOT[[#This Row],[Avg_Upmove]]="", "", tbl_RIOT[[#This Row],[Avg_Upmove]]/tbl_RIOT[[#This Row],[Avg_Downmove]])</f>
        <v>0.37234042553191488</v>
      </c>
      <c r="S27" s="48">
        <f ca="1">IF(ROW($N27)-4&lt;BB_Periods, "", _xlfn.STDEV.S(INDIRECT(ADDRESS(ROW($F27)-RSI_Periods +1, MATCH("Adj Close", Price_Header,0))): INDIRECT(ADDRESS(ROW($F27),MATCH("Adj Close", Price_Header,0)))))</f>
        <v>0.32257144195485621</v>
      </c>
    </row>
    <row r="28" spans="1:19" x14ac:dyDescent="0.25">
      <c r="A28" s="8">
        <v>44085</v>
      </c>
      <c r="B28" s="48">
        <v>2.87</v>
      </c>
      <c r="C28" s="48">
        <v>2.97</v>
      </c>
      <c r="D28" s="48">
        <v>2.75</v>
      </c>
      <c r="E28" s="48">
        <v>2.91</v>
      </c>
      <c r="F28" s="48">
        <v>2.91</v>
      </c>
      <c r="G28">
        <v>2944500</v>
      </c>
      <c r="H28" s="48">
        <f>IF(tbl_RIOT[[#This Row],[Date]]=$A$5, $F28, EMA_Beta*$H27 + (1-EMA_Beta)*$F28)</f>
        <v>3.3456516730314516</v>
      </c>
      <c r="I28" s="46">
        <f ca="1">IF(tbl_RIOT[[#This Row],[RS]]= "", "", 100-(100/(1+tbl_RIOT[[#This Row],[RS]])))</f>
        <v>33.126293995859214</v>
      </c>
      <c r="J28" s="48">
        <f ca="1">IF(ROW($N28)-4&lt;BB_Periods, "", AVERAGE(INDIRECT(ADDRESS(ROW($F28)-RSI_Periods +1, MATCH("Adj Close", Price_Header,0))): INDIRECT(ADDRESS(ROW($F28),MATCH("Adj Close", Price_Header,0)))))</f>
        <v>3.2800000000000002</v>
      </c>
      <c r="K28" s="48">
        <f ca="1">IF(tbl_RIOT[[#This Row],[BB_Mean]]="", "", tbl_RIOT[[#This Row],[BB_Mean]]+(BB_Width*tbl_RIOT[[#This Row],[BB_Stdev]]))</f>
        <v>3.9218722614352486</v>
      </c>
      <c r="L28" s="48">
        <f ca="1">IF(tbl_RIOT[[#This Row],[BB_Mean]]="", "", tbl_RIOT[[#This Row],[BB_Mean]]-(BB_Width*tbl_RIOT[[#This Row],[BB_Stdev]]))</f>
        <v>2.6381277385647519</v>
      </c>
      <c r="M28" s="46">
        <f>IF(ROW(tbl_RIOT[[#This Row],[Adj Close]])=5, 0, $F28-$F27)</f>
        <v>0.10000000000000009</v>
      </c>
      <c r="N28" s="46">
        <f>MAX(tbl_RIOT[[#This Row],[Move]],0)</f>
        <v>0.10000000000000009</v>
      </c>
      <c r="O28" s="46">
        <f>MAX(-tbl_RIOT[[#This Row],[Move]],0)</f>
        <v>0</v>
      </c>
      <c r="P28" s="46">
        <f ca="1">IF(ROW($N28)-5&lt;RSI_Periods, "", AVERAGE(INDIRECT(ADDRESS(ROW($N28)-RSI_Periods +1, MATCH("Upmove", Price_Header,0))): INDIRECT(ADDRESS(ROW($N28),MATCH("Upmove", Price_Header,0)))))</f>
        <v>5.7142857142857162E-2</v>
      </c>
      <c r="Q28" s="46">
        <f ca="1">IF(ROW($O28)-5&lt;RSI_Periods, "", AVERAGE(INDIRECT(ADDRESS(ROW($O28)-RSI_Periods +1, MATCH("Downmove", Price_Header,0))): INDIRECT(ADDRESS(ROW($O28),MATCH("Downmove", Price_Header,0)))))</f>
        <v>0.11535714285714287</v>
      </c>
      <c r="R28" s="46">
        <f ca="1">IF(tbl_RIOT[[#This Row],[Avg_Upmove]]="", "", tbl_RIOT[[#This Row],[Avg_Upmove]]/tbl_RIOT[[#This Row],[Avg_Downmove]])</f>
        <v>0.4953560371517029</v>
      </c>
      <c r="S28" s="48">
        <f ca="1">IF(ROW($N28)-4&lt;BB_Periods, "", _xlfn.STDEV.S(INDIRECT(ADDRESS(ROW($F28)-RSI_Periods +1, MATCH("Adj Close", Price_Header,0))): INDIRECT(ADDRESS(ROW($F28),MATCH("Adj Close", Price_Header,0)))))</f>
        <v>0.32093613071762422</v>
      </c>
    </row>
    <row r="29" spans="1:19" x14ac:dyDescent="0.25">
      <c r="A29" s="8">
        <v>44088</v>
      </c>
      <c r="B29" s="48">
        <v>3.0680000000000001</v>
      </c>
      <c r="C29" s="48">
        <v>3.12</v>
      </c>
      <c r="D29" s="48">
        <v>2.8740000000000001</v>
      </c>
      <c r="E29" s="48">
        <v>3.02</v>
      </c>
      <c r="F29" s="48">
        <v>3.02</v>
      </c>
      <c r="G29">
        <v>4284400</v>
      </c>
      <c r="H29" s="48">
        <f>IF(tbl_RIOT[[#This Row],[Date]]=$A$5, $F29, EMA_Beta*$H28 + (1-EMA_Beta)*$F29)</f>
        <v>3.3130865057283065</v>
      </c>
      <c r="I29" s="46">
        <f ca="1">IF(tbl_RIOT[[#This Row],[RS]]= "", "", 100-(100/(1+tbl_RIOT[[#This Row],[RS]])))</f>
        <v>37.448559670781897</v>
      </c>
      <c r="J29" s="48">
        <f ca="1">IF(ROW($N29)-4&lt;BB_Periods, "", AVERAGE(INDIRECT(ADDRESS(ROW($F29)-RSI_Periods +1, MATCH("Adj Close", Price_Header,0))): INDIRECT(ADDRESS(ROW($F29),MATCH("Adj Close", Price_Header,0)))))</f>
        <v>3.2364285714285721</v>
      </c>
      <c r="K29" s="48">
        <f ca="1">IF(tbl_RIOT[[#This Row],[BB_Mean]]="", "", tbl_RIOT[[#This Row],[BB_Mean]]+(BB_Width*tbl_RIOT[[#This Row],[BB_Stdev]]))</f>
        <v>3.8584652828288482</v>
      </c>
      <c r="L29" s="48">
        <f ca="1">IF(tbl_RIOT[[#This Row],[BB_Mean]]="", "", tbl_RIOT[[#This Row],[BB_Mean]]-(BB_Width*tbl_RIOT[[#This Row],[BB_Stdev]]))</f>
        <v>2.614391860028296</v>
      </c>
      <c r="M29" s="46">
        <f>IF(ROW(tbl_RIOT[[#This Row],[Adj Close]])=5, 0, $F29-$F28)</f>
        <v>0.10999999999999988</v>
      </c>
      <c r="N29" s="46">
        <f>MAX(tbl_RIOT[[#This Row],[Move]],0)</f>
        <v>0.10999999999999988</v>
      </c>
      <c r="O29" s="46">
        <f>MAX(-tbl_RIOT[[#This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6.5000000000000016E-2</v>
      </c>
      <c r="Q29" s="46">
        <f ca="1">IF(ROW($O29)-5&lt;RSI_Periods, "", AVERAGE(INDIRECT(ADDRESS(ROW($O29)-RSI_Periods +1, MATCH("Downmove", Price_Header,0))): INDIRECT(ADDRESS(ROW($O29),MATCH("Downmove", Price_Header,0)))))</f>
        <v>0.10857142857142857</v>
      </c>
      <c r="R29" s="46">
        <f ca="1">IF(tbl_RIOT[[#This Row],[Avg_Upmove]]="", "", tbl_RIOT[[#This Row],[Avg_Upmove]]/tbl_RIOT[[#This Row],[Avg_Downmove]])</f>
        <v>0.59868421052631593</v>
      </c>
      <c r="S29" s="48">
        <f ca="1">IF(ROW($N29)-4&lt;BB_Periods, "", _xlfn.STDEV.S(INDIRECT(ADDRESS(ROW($F29)-RSI_Periods +1, MATCH("Adj Close", Price_Header,0))): INDIRECT(ADDRESS(ROW($F29),MATCH("Adj Close", Price_Header,0)))))</f>
        <v>0.31101835570013797</v>
      </c>
    </row>
    <row r="30" spans="1:19" x14ac:dyDescent="0.25">
      <c r="A30" s="8">
        <v>44089</v>
      </c>
      <c r="B30" s="48">
        <v>3.11</v>
      </c>
      <c r="C30" s="48">
        <v>3.13</v>
      </c>
      <c r="D30" s="48">
        <v>2.95</v>
      </c>
      <c r="E30" s="48">
        <v>3</v>
      </c>
      <c r="F30" s="48">
        <v>3</v>
      </c>
      <c r="G30">
        <v>2856100</v>
      </c>
      <c r="H30" s="48">
        <f>IF(tbl_RIOT[[#This Row],[Date]]=$A$5, $F30, EMA_Beta*$H29 + (1-EMA_Beta)*$F30)</f>
        <v>3.2817778551554757</v>
      </c>
      <c r="I30" s="46">
        <f ca="1">IF(tbl_RIOT[[#This Row],[RS]]= "", "", 100-(100/(1+tbl_RIOT[[#This Row],[RS]])))</f>
        <v>37.916666666666671</v>
      </c>
      <c r="J30" s="48">
        <f ca="1">IF(ROW($N30)-4&lt;BB_Periods, "", AVERAGE(INDIRECT(ADDRESS(ROW($F30)-RSI_Periods +1, MATCH("Adj Close", Price_Header,0))): INDIRECT(ADDRESS(ROW($F30),MATCH("Adj Close", Price_Header,0)))))</f>
        <v>3.1950000000000007</v>
      </c>
      <c r="K30" s="48">
        <f ca="1">IF(tbl_RIOT[[#This Row],[BB_Mean]]="", "", tbl_RIOT[[#This Row],[BB_Mean]]+(BB_Width*tbl_RIOT[[#This Row],[BB_Stdev]]))</f>
        <v>3.7953460540516488</v>
      </c>
      <c r="L30" s="48">
        <f ca="1">IF(tbl_RIOT[[#This Row],[BB_Mean]]="", "", tbl_RIOT[[#This Row],[BB_Mean]]-(BB_Width*tbl_RIOT[[#This Row],[BB_Stdev]]))</f>
        <v>2.5946539459483526</v>
      </c>
      <c r="M30" s="46">
        <f>IF(ROW(tbl_RIOT[[#This Row],[Adj Close]])=5, 0, $F30-$F29)</f>
        <v>-2.0000000000000018E-2</v>
      </c>
      <c r="N30" s="46">
        <f>MAX(tbl_RIOT[[#This Row],[Move]],0)</f>
        <v>0</v>
      </c>
      <c r="O30" s="46">
        <f>MAX(-tbl_RIOT[[#This Row],[Move]],0)</f>
        <v>2.0000000000000018E-2</v>
      </c>
      <c r="P30" s="46">
        <f ca="1">IF(ROW($N30)-5&lt;RSI_Periods, "", AVERAGE(INDIRECT(ADDRESS(ROW($N30)-RSI_Periods +1, MATCH("Upmove", Price_Header,0))): INDIRECT(ADDRESS(ROW($N30),MATCH("Upmove", Price_Header,0)))))</f>
        <v>6.5000000000000016E-2</v>
      </c>
      <c r="Q30" s="46">
        <f ca="1">IF(ROW($O30)-5&lt;RSI_Periods, "", AVERAGE(INDIRECT(ADDRESS(ROW($O30)-RSI_Periods +1, MATCH("Downmove", Price_Header,0))): INDIRECT(ADDRESS(ROW($O30),MATCH("Downmove", Price_Header,0)))))</f>
        <v>0.10642857142857144</v>
      </c>
      <c r="R30" s="46">
        <f ca="1">IF(tbl_RIOT[[#This Row],[Avg_Upmove]]="", "", tbl_RIOT[[#This Row],[Avg_Upmove]]/tbl_RIOT[[#This Row],[Avg_Downmove]])</f>
        <v>0.61073825503355716</v>
      </c>
      <c r="S30" s="48">
        <f ca="1">IF(ROW($N30)-4&lt;BB_Periods, "", _xlfn.STDEV.S(INDIRECT(ADDRESS(ROW($F30)-RSI_Periods +1, MATCH("Adj Close", Price_Header,0))): INDIRECT(ADDRESS(ROW($F30),MATCH("Adj Close", Price_Header,0)))))</f>
        <v>0.30017302702582416</v>
      </c>
    </row>
    <row r="31" spans="1:19" x14ac:dyDescent="0.25">
      <c r="A31" s="8">
        <v>44090</v>
      </c>
      <c r="B31" s="48">
        <v>3.02</v>
      </c>
      <c r="C31" s="48">
        <v>3.28</v>
      </c>
      <c r="D31" s="48">
        <v>2.96</v>
      </c>
      <c r="E31" s="48">
        <v>3.05</v>
      </c>
      <c r="F31" s="48">
        <v>3.05</v>
      </c>
      <c r="G31">
        <v>6377500</v>
      </c>
      <c r="H31" s="48">
        <f>IF(tbl_RIOT[[#This Row],[Date]]=$A$5, $F31, EMA_Beta*$H30 + (1-EMA_Beta)*$F31)</f>
        <v>3.258600069639928</v>
      </c>
      <c r="I31" s="46">
        <f ca="1">IF(tbl_RIOT[[#This Row],[RS]]= "", "", 100-(100/(1+tbl_RIOT[[#This Row],[RS]])))</f>
        <v>42.105263157894733</v>
      </c>
      <c r="J31" s="48">
        <f ca="1">IF(ROW($N31)-4&lt;BB_Periods, "", AVERAGE(INDIRECT(ADDRESS(ROW($F31)-RSI_Periods +1, MATCH("Adj Close", Price_Header,0))): INDIRECT(ADDRESS(ROW($F31),MATCH("Adj Close", Price_Header,0)))))</f>
        <v>3.169285714285714</v>
      </c>
      <c r="K31" s="48">
        <f ca="1">IF(tbl_RIOT[[#This Row],[BB_Mean]]="", "", tbl_RIOT[[#This Row],[BB_Mean]]+(BB_Width*tbl_RIOT[[#This Row],[BB_Stdev]]))</f>
        <v>3.7607357855623915</v>
      </c>
      <c r="L31" s="48">
        <f ca="1">IF(tbl_RIOT[[#This Row],[BB_Mean]]="", "", tbl_RIOT[[#This Row],[BB_Mean]]-(BB_Width*tbl_RIOT[[#This Row],[BB_Stdev]]))</f>
        <v>2.5778356430090366</v>
      </c>
      <c r="M31" s="46">
        <f>IF(ROW(tbl_RIOT[[#This Row],[Adj Close]])=5, 0, $F31-$F30)</f>
        <v>4.9999999999999822E-2</v>
      </c>
      <c r="N31" s="46">
        <f>MAX(tbl_RIOT[[#This Row],[Move]],0)</f>
        <v>4.9999999999999822E-2</v>
      </c>
      <c r="O31" s="46">
        <f>MAX(-tbl_RIOT[[#This Row],[Move]],0)</f>
        <v>0</v>
      </c>
      <c r="P31" s="46">
        <f ca="1">IF(ROW($N31)-5&lt;RSI_Periods, "", AVERAGE(INDIRECT(ADDRESS(ROW($N31)-RSI_Periods +1, MATCH("Upmove", Price_Header,0))): INDIRECT(ADDRESS(ROW($N31),MATCH("Upmove", Price_Header,0)))))</f>
        <v>6.8571428571428575E-2</v>
      </c>
      <c r="Q31" s="46">
        <f ca="1">IF(ROW($O31)-5&lt;RSI_Periods, "", AVERAGE(INDIRECT(ADDRESS(ROW($O31)-RSI_Periods +1, MATCH("Downmove", Price_Header,0))): INDIRECT(ADDRESS(ROW($O31),MATCH("Downmove", Price_Header,0)))))</f>
        <v>9.4285714285714306E-2</v>
      </c>
      <c r="R31" s="46">
        <f ca="1">IF(tbl_RIOT[[#This Row],[Avg_Upmove]]="", "", tbl_RIOT[[#This Row],[Avg_Upmove]]/tbl_RIOT[[#This Row],[Avg_Downmove]])</f>
        <v>0.72727272727272718</v>
      </c>
      <c r="S31" s="48">
        <f ca="1">IF(ROW($N31)-4&lt;BB_Periods, "", _xlfn.STDEV.S(INDIRECT(ADDRESS(ROW($F31)-RSI_Periods +1, MATCH("Adj Close", Price_Header,0))): INDIRECT(ADDRESS(ROW($F31),MATCH("Adj Close", Price_Header,0)))))</f>
        <v>0.29572503563833868</v>
      </c>
    </row>
    <row r="32" spans="1:19" x14ac:dyDescent="0.25">
      <c r="A32" s="8">
        <v>44091</v>
      </c>
      <c r="B32" s="48">
        <v>2.92</v>
      </c>
      <c r="C32" s="48">
        <v>3.05</v>
      </c>
      <c r="D32" s="48">
        <v>2.9</v>
      </c>
      <c r="E32" s="48">
        <v>3</v>
      </c>
      <c r="F32" s="48">
        <v>3</v>
      </c>
      <c r="G32">
        <v>2805411</v>
      </c>
      <c r="H32" s="48">
        <f>IF(tbl_RIOT[[#This Row],[Date]]=$A$5, $F32, EMA_Beta*$H31 + (1-EMA_Beta)*$F32)</f>
        <v>3.2327400626759353</v>
      </c>
      <c r="I32" s="46">
        <f ca="1">IF(tbl_RIOT[[#This Row],[RS]]= "", "", 100-(100/(1+tbl_RIOT[[#This Row],[RS]])))</f>
        <v>43.835616438356162</v>
      </c>
      <c r="J32" s="48">
        <f ca="1">IF(ROW($N32)-4&lt;BB_Periods, "", AVERAGE(INDIRECT(ADDRESS(ROW($F32)-RSI_Periods +1, MATCH("Adj Close", Price_Header,0))): INDIRECT(ADDRESS(ROW($F32),MATCH("Adj Close", Price_Header,0)))))</f>
        <v>3.15</v>
      </c>
      <c r="K32" s="48">
        <f ca="1">IF(tbl_RIOT[[#This Row],[BB_Mean]]="", "", tbl_RIOT[[#This Row],[BB_Mean]]+(BB_Width*tbl_RIOT[[#This Row],[BB_Stdev]]))</f>
        <v>3.7449014139398997</v>
      </c>
      <c r="L32" s="48">
        <f ca="1">IF(tbl_RIOT[[#This Row],[BB_Mean]]="", "", tbl_RIOT[[#This Row],[BB_Mean]]-(BB_Width*tbl_RIOT[[#This Row],[BB_Stdev]]))</f>
        <v>2.5550985860601001</v>
      </c>
      <c r="M32" s="46">
        <f>IF(ROW(tbl_RIOT[[#This Row],[Adj Close]])=5, 0, $F32-$F31)</f>
        <v>-4.9999999999999822E-2</v>
      </c>
      <c r="N32" s="46">
        <f>MAX(tbl_RIOT[[#This Row],[Move]],0)</f>
        <v>0</v>
      </c>
      <c r="O32" s="46">
        <f>MAX(-tbl_RIOT[[#This Row],[Move]],0)</f>
        <v>4.9999999999999822E-2</v>
      </c>
      <c r="P32" s="46">
        <f ca="1">IF(ROW($N32)-5&lt;RSI_Periods, "", AVERAGE(INDIRECT(ADDRESS(ROW($N32)-RSI_Periods +1, MATCH("Upmove", Price_Header,0))): INDIRECT(ADDRESS(ROW($N32),MATCH("Upmove", Price_Header,0)))))</f>
        <v>6.8571428571428575E-2</v>
      </c>
      <c r="Q32" s="46">
        <f ca="1">IF(ROW($O32)-5&lt;RSI_Periods, "", AVERAGE(INDIRECT(ADDRESS(ROW($O32)-RSI_Periods +1, MATCH("Downmove", Price_Header,0))): INDIRECT(ADDRESS(ROW($O32),MATCH("Downmove", Price_Header,0)))))</f>
        <v>8.7857142857142856E-2</v>
      </c>
      <c r="R32" s="46">
        <f ca="1">IF(tbl_RIOT[[#This Row],[Avg_Upmove]]="", "", tbl_RIOT[[#This Row],[Avg_Upmove]]/tbl_RIOT[[#This Row],[Avg_Downmove]])</f>
        <v>0.78048780487804881</v>
      </c>
      <c r="S32" s="48">
        <f ca="1">IF(ROW($N32)-4&lt;BB_Periods, "", _xlfn.STDEV.S(INDIRECT(ADDRESS(ROW($F32)-RSI_Periods +1, MATCH("Adj Close", Price_Header,0))): INDIRECT(ADDRESS(ROW($F32),MATCH("Adj Close", Price_Header,0)))))</f>
        <v>0.29745070696995002</v>
      </c>
    </row>
    <row r="33" spans="1:19" x14ac:dyDescent="0.25">
      <c r="A33" t="s">
        <v>162</v>
      </c>
      <c r="S33">
        <f ca="1">SUBTOTAL(103,tbl_RIOT[BB_Stdev])</f>
        <v>28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13</vt:i4>
      </vt:variant>
    </vt:vector>
  </HeadingPairs>
  <TitlesOfParts>
    <vt:vector size="30" baseType="lpstr">
      <vt:lpstr>Home</vt:lpstr>
      <vt:lpstr>Dashboard_Instruction</vt:lpstr>
      <vt:lpstr>Transactions</vt:lpstr>
      <vt:lpstr>Lookup</vt:lpstr>
      <vt:lpstr>Positions</vt:lpstr>
      <vt:lpstr>HD</vt:lpstr>
      <vt:lpstr>AAPL</vt:lpstr>
      <vt:lpstr>WMT</vt:lpstr>
      <vt:lpstr>RIOT</vt:lpstr>
      <vt:lpstr>IBM</vt:lpstr>
      <vt:lpstr>ORCL</vt:lpstr>
      <vt:lpstr>AKRO</vt:lpstr>
      <vt:lpstr>FDX</vt:lpstr>
      <vt:lpstr>NKLA</vt:lpstr>
      <vt:lpstr>SPXS</vt:lpstr>
      <vt:lpstr>Dashboard</vt:lpstr>
      <vt:lpstr>Dashboard_backend</vt:lpstr>
      <vt:lpstr>Adj_Close_HD</vt:lpstr>
      <vt:lpstr>BB_Periods</vt:lpstr>
      <vt:lpstr>BB_Width</vt:lpstr>
      <vt:lpstr>Date_List</vt:lpstr>
      <vt:lpstr>EMA_Beta</vt:lpstr>
      <vt:lpstr>Metrics</vt:lpstr>
      <vt:lpstr>pos_header</vt:lpstr>
      <vt:lpstr>Price_AAPL</vt:lpstr>
      <vt:lpstr>Price_HD</vt:lpstr>
      <vt:lpstr>Price_Header</vt:lpstr>
      <vt:lpstr>RSI_Periods</vt:lpstr>
      <vt:lpstr>Symbol</vt:lpstr>
      <vt:lpstr>Transactions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2020-09-13T13:25:13Z</cp:lastPrinted>
  <dcterms:created xsi:type="dcterms:W3CDTF">2020-09-12T01:33:26Z</dcterms:created>
  <dcterms:modified xsi:type="dcterms:W3CDTF">2020-09-21T10:07:56Z</dcterms:modified>
</cp:coreProperties>
</file>