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cer\Desktop\JaJa\FN312\"/>
    </mc:Choice>
  </mc:AlternateContent>
  <xr:revisionPtr revIDLastSave="0" documentId="13_ncr:1_{9DE7C05D-2947-4426-9185-B8FBD1ECD49D}" xr6:coauthVersionLast="45" xr6:coauthVersionMax="45" xr10:uidLastSave="{00000000-0000-0000-0000-000000000000}"/>
  <bookViews>
    <workbookView xWindow="-110" yWindow="-110" windowWidth="19420" windowHeight="10420" firstSheet="4" activeTab="15" xr2:uid="{00000000-000D-0000-FFFF-FFFF00000000}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Dashboard" sheetId="15" r:id="rId16"/>
    <sheet name="Dashboard_backend" sheetId="16" r:id="rId17"/>
  </sheets>
  <definedNames>
    <definedName name="Adj_Close_HD">tbl_HD[Adj Close]</definedName>
    <definedName name="BB_Periods">Lookup!$I$5</definedName>
    <definedName name="BB_Width">Lookup!$I$6</definedName>
    <definedName name="Date_List">tbl_HD[Date]</definedName>
    <definedName name="EMA_Beta">Lookup!$I$3</definedName>
    <definedName name="Metrics">Lookup!$E$4:$E$6</definedName>
    <definedName name="pos_header">tbl_position[#Headers]</definedName>
    <definedName name="Price_AAPL">tbl_AAPL[Adj Close]</definedName>
    <definedName name="Price_HD">tbl_HD[Adj Close]</definedName>
    <definedName name="Price_Header">tbl_HD[#Headers]</definedName>
    <definedName name="RSI_Periods">Lookup!$I$4</definedName>
    <definedName name="Symbol">tbl_symbol[Symbol]</definedName>
    <definedName name="Test">IF(#REF!="HD", Price_HD, Price_AAPL)</definedName>
    <definedName name="Total_filtered">#REF!</definedName>
    <definedName name="Transactions">Lookup!$C$4:$C$7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7" l="1"/>
  <c r="N37" i="7" s="1"/>
  <c r="M37" i="5"/>
  <c r="N37" i="5" s="1"/>
  <c r="O37" i="5"/>
  <c r="M37" i="10"/>
  <c r="N37" i="10" s="1"/>
  <c r="O37" i="10"/>
  <c r="M37" i="11"/>
  <c r="N37" i="11" s="1"/>
  <c r="O37" i="11"/>
  <c r="M37" i="12"/>
  <c r="N37" i="12" s="1"/>
  <c r="M37" i="13"/>
  <c r="N37" i="13" s="1"/>
  <c r="O37" i="13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/>
  <c r="O36" i="7"/>
  <c r="H54" i="2"/>
  <c r="N54" i="2" s="1"/>
  <c r="I54" i="2"/>
  <c r="J54" i="2"/>
  <c r="K54" i="2"/>
  <c r="O54" i="2" s="1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S37" i="7"/>
  <c r="J37" i="7"/>
  <c r="S37" i="5"/>
  <c r="J37" i="5"/>
  <c r="S37" i="10"/>
  <c r="J37" i="10"/>
  <c r="J37" i="11"/>
  <c r="S37" i="11"/>
  <c r="S37" i="12"/>
  <c r="J37" i="12"/>
  <c r="S37" i="13"/>
  <c r="J37" i="13"/>
  <c r="J37" i="17"/>
  <c r="S37" i="17"/>
  <c r="J37" i="18"/>
  <c r="S37" i="18"/>
  <c r="J37" i="19"/>
  <c r="S37" i="19"/>
  <c r="J37" i="20"/>
  <c r="S37" i="20"/>
  <c r="J36" i="20"/>
  <c r="S36" i="20"/>
  <c r="J35" i="20"/>
  <c r="S35" i="20"/>
  <c r="S34" i="20"/>
  <c r="J34" i="20"/>
  <c r="J33" i="20"/>
  <c r="S33" i="20"/>
  <c r="J36" i="19"/>
  <c r="S36" i="19"/>
  <c r="J35" i="19"/>
  <c r="S35" i="19"/>
  <c r="J34" i="19"/>
  <c r="S34" i="19"/>
  <c r="J33" i="19"/>
  <c r="S33" i="19"/>
  <c r="J36" i="18"/>
  <c r="S36" i="18"/>
  <c r="J35" i="18"/>
  <c r="S35" i="18"/>
  <c r="J34" i="18"/>
  <c r="S34" i="18"/>
  <c r="J33" i="18"/>
  <c r="S33" i="18"/>
  <c r="J36" i="12"/>
  <c r="S36" i="12"/>
  <c r="J36" i="11"/>
  <c r="S36" i="11"/>
  <c r="J36" i="10"/>
  <c r="S36" i="10"/>
  <c r="S36" i="5"/>
  <c r="J36" i="5"/>
  <c r="S36" i="7"/>
  <c r="J36" i="7"/>
  <c r="J36" i="17"/>
  <c r="S36" i="17"/>
  <c r="J35" i="17"/>
  <c r="S35" i="17"/>
  <c r="J34" i="17"/>
  <c r="S34" i="17"/>
  <c r="J33" i="17"/>
  <c r="S33" i="17"/>
  <c r="J36" i="13"/>
  <c r="S36" i="13"/>
  <c r="O37" i="7" l="1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S34" i="13"/>
  <c r="S35" i="12"/>
  <c r="S33" i="12"/>
  <c r="J34" i="11"/>
  <c r="J35" i="11"/>
  <c r="S35" i="13"/>
  <c r="S33" i="13"/>
  <c r="S34" i="12"/>
  <c r="J33" i="11"/>
  <c r="J35" i="13"/>
  <c r="J33" i="13"/>
  <c r="J34" i="12"/>
  <c r="S35" i="11"/>
  <c r="J34" i="13"/>
  <c r="J35" i="12"/>
  <c r="J33" i="12"/>
  <c r="S34" i="11"/>
  <c r="S33" i="11"/>
  <c r="N35" i="13" l="1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J34" i="10"/>
  <c r="S33" i="5"/>
  <c r="S34" i="5"/>
  <c r="S33" i="10"/>
  <c r="J35" i="5"/>
  <c r="J35" i="10"/>
  <c r="S35" i="7"/>
  <c r="J34" i="7"/>
  <c r="S35" i="10"/>
  <c r="S35" i="5"/>
  <c r="S34" i="10"/>
  <c r="J35" i="7"/>
  <c r="J34" i="5"/>
  <c r="S34" i="7"/>
  <c r="J33" i="5"/>
  <c r="S33" i="7"/>
  <c r="J33" i="10"/>
  <c r="J33" i="7"/>
  <c r="O35" i="5" l="1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N52" i="2" l="1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G3" i="15"/>
  <c r="AK8" i="16" l="1"/>
  <c r="AK9" i="16"/>
  <c r="AK10" i="16"/>
  <c r="AK11" i="16"/>
  <c r="B30" i="15"/>
  <c r="H21" i="15"/>
  <c r="D28" i="15"/>
  <c r="B26" i="15"/>
  <c r="H29" i="15"/>
  <c r="G25" i="15"/>
  <c r="E26" i="15"/>
  <c r="G30" i="15"/>
  <c r="B27" i="15"/>
  <c r="G27" i="15"/>
  <c r="G23" i="15"/>
  <c r="B24" i="15"/>
  <c r="C23" i="15"/>
  <c r="H22" i="15"/>
  <c r="H25" i="15"/>
  <c r="H27" i="15"/>
  <c r="C27" i="15"/>
  <c r="F30" i="15"/>
  <c r="G22" i="15"/>
  <c r="D26" i="15"/>
  <c r="B28" i="15"/>
  <c r="F24" i="15"/>
  <c r="H24" i="15"/>
  <c r="H30" i="15"/>
  <c r="C26" i="15"/>
  <c r="H26" i="15"/>
  <c r="G26" i="15"/>
  <c r="D29" i="15"/>
  <c r="C21" i="15"/>
  <c r="H23" i="15"/>
  <c r="C22" i="15"/>
  <c r="F23" i="15"/>
  <c r="F29" i="15"/>
  <c r="E25" i="15"/>
  <c r="E22" i="15"/>
  <c r="D23" i="15"/>
  <c r="F21" i="15"/>
  <c r="B22" i="15"/>
  <c r="G21" i="15"/>
  <c r="C30" i="15"/>
  <c r="E27" i="15"/>
  <c r="E28" i="15"/>
  <c r="C25" i="15"/>
  <c r="E24" i="15"/>
  <c r="C28" i="15"/>
  <c r="F26" i="15"/>
  <c r="F25" i="15"/>
  <c r="D30" i="15"/>
  <c r="C24" i="15"/>
  <c r="D25" i="15"/>
  <c r="F28" i="15"/>
  <c r="E23" i="15"/>
  <c r="F22" i="15"/>
  <c r="E21" i="15"/>
  <c r="B25" i="15"/>
  <c r="C29" i="15"/>
  <c r="H28" i="15"/>
  <c r="B29" i="15"/>
  <c r="G29" i="15"/>
  <c r="D21" i="15"/>
  <c r="F27" i="15"/>
  <c r="D22" i="15"/>
  <c r="E29" i="15"/>
  <c r="G28" i="15"/>
  <c r="G24" i="15"/>
  <c r="D24" i="15"/>
  <c r="B23" i="15"/>
  <c r="E30" i="15"/>
  <c r="B21" i="15"/>
  <c r="D27" i="15"/>
  <c r="C11" i="16" l="1"/>
  <c r="C12" i="16"/>
  <c r="C13" i="16"/>
  <c r="C14" i="16"/>
  <c r="K5" i="4"/>
  <c r="K7" i="4"/>
  <c r="K8" i="4"/>
  <c r="K9" i="4"/>
  <c r="K10" i="4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Q37" i="17"/>
  <c r="Q36" i="17"/>
  <c r="Q35" i="17"/>
  <c r="Q34" i="17"/>
  <c r="Q33" i="17"/>
  <c r="J24" i="18"/>
  <c r="J31" i="20"/>
  <c r="Q27" i="17"/>
  <c r="J18" i="18"/>
  <c r="S27" i="18"/>
  <c r="J31" i="18"/>
  <c r="S20" i="20"/>
  <c r="D12" i="16"/>
  <c r="J26" i="18"/>
  <c r="S29" i="19"/>
  <c r="S20" i="17"/>
  <c r="Q20" i="17"/>
  <c r="S24" i="17"/>
  <c r="Q26" i="17"/>
  <c r="J30" i="13"/>
  <c r="J20" i="18"/>
  <c r="J29" i="7"/>
  <c r="Q32" i="17"/>
  <c r="Q25" i="17"/>
  <c r="Q30" i="17"/>
  <c r="S32" i="12"/>
  <c r="S23" i="17"/>
  <c r="S22" i="18"/>
  <c r="S30" i="5"/>
  <c r="J23" i="19"/>
  <c r="J32" i="19"/>
  <c r="S21" i="17"/>
  <c r="J30" i="11"/>
  <c r="J31" i="12"/>
  <c r="S31" i="19"/>
  <c r="S26" i="19"/>
  <c r="J18" i="17"/>
  <c r="S32" i="19"/>
  <c r="S31" i="17"/>
  <c r="J30" i="20"/>
  <c r="J31" i="11"/>
  <c r="S26" i="17"/>
  <c r="S30" i="12"/>
  <c r="J31" i="13"/>
  <c r="J32" i="18"/>
  <c r="S32" i="17"/>
  <c r="J22" i="19"/>
  <c r="S21" i="20"/>
  <c r="S32" i="5"/>
  <c r="S31" i="7"/>
  <c r="S25" i="17"/>
  <c r="J22" i="17"/>
  <c r="J30" i="10"/>
  <c r="J26" i="17"/>
  <c r="Q31" i="17"/>
  <c r="S21" i="18"/>
  <c r="Q28" i="17"/>
  <c r="J26" i="19"/>
  <c r="S29" i="18"/>
  <c r="S32" i="11"/>
  <c r="Q21" i="17"/>
  <c r="J30" i="12"/>
  <c r="S22" i="17"/>
  <c r="S32" i="10"/>
  <c r="J32" i="13"/>
  <c r="J18" i="20"/>
  <c r="J30" i="5"/>
  <c r="S30" i="11"/>
  <c r="S30" i="10"/>
  <c r="S31" i="13"/>
  <c r="J29" i="10"/>
  <c r="J22" i="20"/>
  <c r="S30" i="19"/>
  <c r="Q24" i="17"/>
  <c r="J25" i="18"/>
  <c r="J20" i="17"/>
  <c r="S25" i="19"/>
  <c r="Q22" i="17"/>
  <c r="S23" i="20"/>
  <c r="S25" i="18"/>
  <c r="S27" i="20"/>
  <c r="J29" i="17"/>
  <c r="Q29" i="17"/>
  <c r="J25" i="19"/>
  <c r="S32" i="13"/>
  <c r="S31" i="5"/>
  <c r="S32" i="18"/>
  <c r="S28" i="18"/>
  <c r="J28" i="18"/>
  <c r="J24" i="17"/>
  <c r="J23" i="18"/>
  <c r="J19" i="20"/>
  <c r="Q19" i="17"/>
  <c r="J30" i="17"/>
  <c r="J32" i="7"/>
  <c r="J26" i="20"/>
  <c r="J31" i="5"/>
  <c r="S26" i="20"/>
  <c r="S29" i="7"/>
  <c r="S24" i="18"/>
  <c r="D13" i="16"/>
  <c r="J32" i="20"/>
  <c r="J29" i="13"/>
  <c r="S18" i="19"/>
  <c r="Q23" i="17"/>
  <c r="J24" i="20"/>
  <c r="J22" i="18"/>
  <c r="S24" i="19"/>
  <c r="S30" i="18"/>
  <c r="J19" i="18"/>
  <c r="S18" i="18"/>
  <c r="J29" i="5"/>
  <c r="S30" i="17"/>
  <c r="J27" i="18"/>
  <c r="S23" i="19"/>
  <c r="S30" i="20"/>
  <c r="J31" i="7"/>
  <c r="J19" i="17"/>
  <c r="S24" i="20"/>
  <c r="J31" i="19"/>
  <c r="J20" i="19"/>
  <c r="J30" i="7"/>
  <c r="S19" i="18"/>
  <c r="J32" i="11"/>
  <c r="D14" i="16"/>
  <c r="J18" i="19"/>
  <c r="S22" i="19"/>
  <c r="S29" i="13"/>
  <c r="J30" i="19"/>
  <c r="S19" i="17"/>
  <c r="J28" i="19"/>
  <c r="J21" i="17"/>
  <c r="S30" i="7"/>
  <c r="J28" i="17"/>
  <c r="J29" i="19"/>
  <c r="S22" i="20"/>
  <c r="J28" i="20"/>
  <c r="J31" i="17"/>
  <c r="J27" i="19"/>
  <c r="J29" i="11"/>
  <c r="S30" i="13"/>
  <c r="J21" i="20"/>
  <c r="J21" i="18"/>
  <c r="S25" i="20"/>
  <c r="S31" i="11"/>
  <c r="S28" i="19"/>
  <c r="J21" i="19"/>
  <c r="J29" i="12"/>
  <c r="J30" i="18"/>
  <c r="S19" i="20"/>
  <c r="S23" i="18"/>
  <c r="S31" i="12"/>
  <c r="S31" i="18"/>
  <c r="S28" i="17"/>
  <c r="S18" i="17"/>
  <c r="S20" i="19"/>
  <c r="S32" i="7"/>
  <c r="S29" i="17"/>
  <c r="S29" i="5"/>
  <c r="J32" i="17"/>
  <c r="J25" i="17"/>
  <c r="S28" i="20"/>
  <c r="J27" i="17"/>
  <c r="J20" i="20"/>
  <c r="J24" i="19"/>
  <c r="S31" i="10"/>
  <c r="J32" i="10"/>
  <c r="S20" i="18"/>
  <c r="J32" i="12"/>
  <c r="J27" i="20"/>
  <c r="S29" i="11"/>
  <c r="S31" i="20"/>
  <c r="J29" i="20"/>
  <c r="S32" i="20"/>
  <c r="J25" i="20"/>
  <c r="S19" i="19"/>
  <c r="J29" i="18"/>
  <c r="J23" i="20"/>
  <c r="J32" i="5"/>
  <c r="J23" i="17"/>
  <c r="S29" i="12"/>
  <c r="J19" i="19"/>
  <c r="S27" i="19"/>
  <c r="S27" i="17"/>
  <c r="S18" i="20"/>
  <c r="S29" i="20"/>
  <c r="J31" i="10"/>
  <c r="D11" i="16"/>
  <c r="S26" i="18"/>
  <c r="S21" i="19"/>
  <c r="S29" i="10"/>
  <c r="H32" i="17" l="1"/>
  <c r="H33" i="17" s="1"/>
  <c r="H34" i="17" s="1"/>
  <c r="H35" i="17" s="1"/>
  <c r="H36" i="17" s="1"/>
  <c r="H37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R5" i="4" s="1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U5" i="4" s="1"/>
  <c r="AK5" i="16"/>
  <c r="AH6" i="16"/>
  <c r="AK6" i="16" s="1"/>
  <c r="P37" i="17"/>
  <c r="Q37" i="18"/>
  <c r="P37" i="18"/>
  <c r="Q37" i="19"/>
  <c r="P37" i="19"/>
  <c r="P37" i="20"/>
  <c r="Q37" i="20"/>
  <c r="Q36" i="20"/>
  <c r="P36" i="20"/>
  <c r="P35" i="20"/>
  <c r="Q35" i="20"/>
  <c r="P34" i="20"/>
  <c r="Q34" i="20"/>
  <c r="P33" i="20"/>
  <c r="Q33" i="20"/>
  <c r="Q36" i="19"/>
  <c r="P36" i="19"/>
  <c r="Q35" i="19"/>
  <c r="P35" i="19"/>
  <c r="Q34" i="19"/>
  <c r="P34" i="19"/>
  <c r="Q33" i="19"/>
  <c r="P33" i="19"/>
  <c r="Q36" i="18"/>
  <c r="P36" i="18"/>
  <c r="Q35" i="18"/>
  <c r="P35" i="18"/>
  <c r="P34" i="18"/>
  <c r="Q34" i="18"/>
  <c r="P33" i="18"/>
  <c r="Q33" i="18"/>
  <c r="P36" i="17"/>
  <c r="P35" i="17"/>
  <c r="P34" i="17"/>
  <c r="P33" i="17"/>
  <c r="Q28" i="18"/>
  <c r="Q26" i="19"/>
  <c r="P21" i="19"/>
  <c r="Q25" i="18"/>
  <c r="P19" i="19"/>
  <c r="Q32" i="20"/>
  <c r="Q25" i="20"/>
  <c r="Q19" i="18"/>
  <c r="P19" i="20"/>
  <c r="P28" i="17"/>
  <c r="Q32" i="19"/>
  <c r="P23" i="18"/>
  <c r="P27" i="19"/>
  <c r="P31" i="17"/>
  <c r="P32" i="17"/>
  <c r="Q26" i="20"/>
  <c r="Q28" i="19"/>
  <c r="P31" i="18"/>
  <c r="Q22" i="19"/>
  <c r="Q27" i="18"/>
  <c r="P25" i="20"/>
  <c r="P26" i="18"/>
  <c r="P30" i="17"/>
  <c r="P32" i="19"/>
  <c r="P24" i="18"/>
  <c r="Q23" i="20"/>
  <c r="Q22" i="20"/>
  <c r="P28" i="18"/>
  <c r="P19" i="17"/>
  <c r="P22" i="18"/>
  <c r="P24" i="17"/>
  <c r="P21" i="20"/>
  <c r="P20" i="19"/>
  <c r="P31" i="20"/>
  <c r="P21" i="18"/>
  <c r="Q26" i="18"/>
  <c r="Q21" i="18"/>
  <c r="P32" i="20"/>
  <c r="P29" i="19"/>
  <c r="P22" i="20"/>
  <c r="P29" i="17"/>
  <c r="P28" i="20"/>
  <c r="P25" i="17"/>
  <c r="Q29" i="19"/>
  <c r="P20" i="17"/>
  <c r="P24" i="19"/>
  <c r="Q21" i="19"/>
  <c r="P20" i="18"/>
  <c r="Q20" i="20"/>
  <c r="Q20" i="19"/>
  <c r="Q30" i="18"/>
  <c r="P23" i="20"/>
  <c r="P25" i="18"/>
  <c r="Q29" i="18"/>
  <c r="Q21" i="20"/>
  <c r="P29" i="20"/>
  <c r="Q23" i="18"/>
  <c r="P20" i="20"/>
  <c r="Q29" i="20"/>
  <c r="P27" i="20"/>
  <c r="P30" i="19"/>
  <c r="P27" i="18"/>
  <c r="P29" i="18"/>
  <c r="Q28" i="20"/>
  <c r="Q25" i="19"/>
  <c r="P23" i="19"/>
  <c r="Q32" i="18"/>
  <c r="Q31" i="18"/>
  <c r="Q19" i="19"/>
  <c r="Q24" i="18"/>
  <c r="P27" i="17"/>
  <c r="Q22" i="18"/>
  <c r="Q31" i="19"/>
  <c r="P24" i="20"/>
  <c r="P21" i="17"/>
  <c r="P22" i="17"/>
  <c r="Q24" i="20"/>
  <c r="P26" i="17"/>
  <c r="P28" i="19"/>
  <c r="Q19" i="20"/>
  <c r="P26" i="20"/>
  <c r="Q30" i="19"/>
  <c r="P19" i="18"/>
  <c r="P31" i="19"/>
  <c r="P30" i="20"/>
  <c r="Q27" i="20"/>
  <c r="P26" i="19"/>
  <c r="P25" i="19"/>
  <c r="P22" i="19"/>
  <c r="Q23" i="19"/>
  <c r="Q24" i="19"/>
  <c r="Q30" i="20"/>
  <c r="Q27" i="19"/>
  <c r="P30" i="18"/>
  <c r="Q31" i="20"/>
  <c r="P23" i="17"/>
  <c r="Q20" i="18"/>
  <c r="P32" i="18"/>
  <c r="R37" i="17" l="1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T5" i="4"/>
  <c r="S5" i="4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U17" i="16"/>
  <c r="Y17" i="16"/>
  <c r="U6" i="16"/>
  <c r="T12" i="16"/>
  <c r="V7" i="16"/>
  <c r="AA18" i="16"/>
  <c r="U14" i="16"/>
  <c r="Z17" i="16"/>
  <c r="U5" i="16"/>
  <c r="T5" i="16"/>
  <c r="Z16" i="16"/>
  <c r="AA15" i="16"/>
  <c r="Y15" i="16"/>
  <c r="V17" i="16"/>
  <c r="T18" i="16"/>
  <c r="V9" i="16"/>
  <c r="V8" i="16"/>
  <c r="V6" i="16"/>
  <c r="Z15" i="16"/>
  <c r="T6" i="16"/>
  <c r="V12" i="16"/>
  <c r="U9" i="16"/>
  <c r="U8" i="16"/>
  <c r="T15" i="16"/>
  <c r="U16" i="16"/>
  <c r="U10" i="16"/>
  <c r="U11" i="16"/>
  <c r="V13" i="16"/>
  <c r="U18" i="16"/>
  <c r="V18" i="16"/>
  <c r="U7" i="16"/>
  <c r="T16" i="16"/>
  <c r="U15" i="16"/>
  <c r="T10" i="16"/>
  <c r="U13" i="16"/>
  <c r="AA17" i="16"/>
  <c r="T13" i="16"/>
  <c r="Y16" i="16"/>
  <c r="U12" i="16"/>
  <c r="T14" i="16"/>
  <c r="V16" i="16"/>
  <c r="Y18" i="16"/>
  <c r="AB14" i="16" l="1"/>
  <c r="AB12" i="16"/>
  <c r="AB13" i="16"/>
  <c r="AB15" i="16"/>
  <c r="AB16" i="16"/>
  <c r="AB18" i="16"/>
  <c r="AB5" i="16"/>
  <c r="AB10" i="16"/>
  <c r="AB6" i="16"/>
  <c r="K7" i="16"/>
  <c r="K8" i="16" s="1"/>
  <c r="K9" i="16" s="1"/>
  <c r="K10" i="16" s="1"/>
  <c r="K6" i="16"/>
  <c r="L5" i="16"/>
  <c r="L6" i="16" s="1"/>
  <c r="L7" i="16" s="1"/>
  <c r="L8" i="16" s="1"/>
  <c r="L9" i="16" s="1"/>
  <c r="L10" i="16" s="1"/>
  <c r="C6" i="16"/>
  <c r="C7" i="16"/>
  <c r="C8" i="16"/>
  <c r="C9" i="16"/>
  <c r="C10" i="16"/>
  <c r="C5" i="16"/>
  <c r="D7" i="16"/>
  <c r="T7" i="16"/>
  <c r="V15" i="16"/>
  <c r="V14" i="16"/>
  <c r="AA16" i="16"/>
  <c r="T17" i="16"/>
  <c r="V11" i="16"/>
  <c r="V10" i="16"/>
  <c r="D6" i="16"/>
  <c r="V5" i="16"/>
  <c r="D10" i="16"/>
  <c r="T9" i="16"/>
  <c r="Z18" i="16"/>
  <c r="D8" i="16"/>
  <c r="D9" i="16"/>
  <c r="T8" i="16"/>
  <c r="D5" i="16"/>
  <c r="T11" i="16"/>
  <c r="AB17" i="16" l="1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S24" i="13"/>
  <c r="S28" i="13"/>
  <c r="J23" i="12"/>
  <c r="S25" i="12"/>
  <c r="S28" i="12"/>
  <c r="J23" i="11"/>
  <c r="S18" i="12"/>
  <c r="S18" i="11"/>
  <c r="J18" i="12"/>
  <c r="S19" i="13"/>
  <c r="J26" i="13"/>
  <c r="J27" i="11"/>
  <c r="J20" i="13"/>
  <c r="S27" i="12"/>
  <c r="J28" i="12"/>
  <c r="J19" i="13"/>
  <c r="J22" i="12"/>
  <c r="J28" i="11"/>
  <c r="J23" i="13"/>
  <c r="J19" i="12"/>
  <c r="J27" i="13"/>
  <c r="S18" i="13"/>
  <c r="J25" i="12"/>
  <c r="S19" i="11"/>
  <c r="J22" i="13"/>
  <c r="S20" i="13"/>
  <c r="J20" i="12"/>
  <c r="J18" i="11"/>
  <c r="S20" i="11"/>
  <c r="S26" i="12"/>
  <c r="S28" i="11"/>
  <c r="S27" i="13"/>
  <c r="J27" i="12"/>
  <c r="J21" i="13"/>
  <c r="S23" i="11"/>
  <c r="S25" i="11"/>
  <c r="J21" i="12"/>
  <c r="J24" i="12"/>
  <c r="S24" i="12"/>
  <c r="S23" i="13"/>
  <c r="S22" i="12"/>
  <c r="J24" i="13"/>
  <c r="S26" i="11"/>
  <c r="S22" i="13"/>
  <c r="S20" i="12"/>
  <c r="S19" i="12"/>
  <c r="S27" i="11"/>
  <c r="S25" i="13"/>
  <c r="S21" i="13"/>
  <c r="J24" i="11"/>
  <c r="S21" i="11"/>
  <c r="J28" i="13"/>
  <c r="J26" i="11"/>
  <c r="J25" i="11"/>
  <c r="J25" i="13"/>
  <c r="J18" i="13"/>
  <c r="S24" i="11"/>
  <c r="J21" i="11"/>
  <c r="J20" i="11"/>
  <c r="S26" i="13"/>
  <c r="S22" i="11"/>
  <c r="J22" i="11"/>
  <c r="J19" i="11"/>
  <c r="S21" i="12"/>
  <c r="J26" i="12"/>
  <c r="S23" i="12"/>
  <c r="H26" i="12" l="1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38" i="13"/>
  <c r="S38" i="12"/>
  <c r="S38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P37" i="11"/>
  <c r="Q37" i="11"/>
  <c r="P37" i="12"/>
  <c r="Q37" i="12"/>
  <c r="P37" i="13"/>
  <c r="Q37" i="13"/>
  <c r="P36" i="12"/>
  <c r="Q36" i="12"/>
  <c r="Q36" i="11"/>
  <c r="P36" i="11"/>
  <c r="Q36" i="13"/>
  <c r="P36" i="13"/>
  <c r="P34" i="13"/>
  <c r="Q35" i="12"/>
  <c r="Q33" i="12"/>
  <c r="P34" i="11"/>
  <c r="Q32" i="12"/>
  <c r="S27" i="5"/>
  <c r="Q31" i="11"/>
  <c r="J23" i="10"/>
  <c r="Q19" i="13"/>
  <c r="J21" i="7"/>
  <c r="AA12" i="16"/>
  <c r="Q24" i="11"/>
  <c r="Q27" i="11"/>
  <c r="Q28" i="13"/>
  <c r="P20" i="11"/>
  <c r="P22" i="12"/>
  <c r="J20" i="10"/>
  <c r="P28" i="12"/>
  <c r="P32" i="12"/>
  <c r="Q25" i="13"/>
  <c r="S18" i="10"/>
  <c r="Q26" i="12"/>
  <c r="Q26" i="13"/>
  <c r="Q29" i="12"/>
  <c r="Q19" i="12"/>
  <c r="Q26" i="11"/>
  <c r="S23" i="7"/>
  <c r="Q20" i="12"/>
  <c r="Q32" i="13"/>
  <c r="Q22" i="13"/>
  <c r="P21" i="13"/>
  <c r="Q30" i="12"/>
  <c r="P22" i="7"/>
  <c r="Z14" i="16"/>
  <c r="P21" i="12"/>
  <c r="S24" i="7"/>
  <c r="Q29" i="13"/>
  <c r="Q29" i="11"/>
  <c r="S20" i="5"/>
  <c r="Q27" i="12"/>
  <c r="Q21" i="12"/>
  <c r="J24" i="7"/>
  <c r="P19" i="13"/>
  <c r="Q31" i="13"/>
  <c r="P35" i="12"/>
  <c r="S27" i="10"/>
  <c r="P30" i="12"/>
  <c r="S25" i="5"/>
  <c r="P23" i="12"/>
  <c r="P25" i="13"/>
  <c r="Q24" i="13"/>
  <c r="J23" i="7"/>
  <c r="P30" i="13"/>
  <c r="S25" i="7"/>
  <c r="J23" i="5"/>
  <c r="Q34" i="11"/>
  <c r="P19" i="12"/>
  <c r="Q32" i="11"/>
  <c r="P23" i="11"/>
  <c r="S28" i="7"/>
  <c r="J27" i="7"/>
  <c r="S24" i="5"/>
  <c r="J26" i="7"/>
  <c r="J18" i="5"/>
  <c r="P29" i="11"/>
  <c r="Q35" i="13"/>
  <c r="Q33" i="13"/>
  <c r="Q34" i="12"/>
  <c r="Q35" i="11"/>
  <c r="P33" i="11"/>
  <c r="S21" i="10"/>
  <c r="Z13" i="16"/>
  <c r="J24" i="10"/>
  <c r="P24" i="13"/>
  <c r="Q23" i="13"/>
  <c r="Q23" i="12"/>
  <c r="P24" i="12"/>
  <c r="S20" i="10"/>
  <c r="Y13" i="16"/>
  <c r="S19" i="7"/>
  <c r="Z11" i="16"/>
  <c r="Q19" i="11"/>
  <c r="J22" i="5"/>
  <c r="Q22" i="11"/>
  <c r="P26" i="11"/>
  <c r="P26" i="12"/>
  <c r="S28" i="5"/>
  <c r="S20" i="7"/>
  <c r="Q20" i="13"/>
  <c r="J28" i="5"/>
  <c r="P23" i="7"/>
  <c r="P20" i="13"/>
  <c r="J18" i="7"/>
  <c r="Q30" i="11"/>
  <c r="AA14" i="16"/>
  <c r="J26" i="10"/>
  <c r="S26" i="7"/>
  <c r="P32" i="13"/>
  <c r="Q24" i="12"/>
  <c r="P25" i="11"/>
  <c r="P22" i="11"/>
  <c r="P29" i="13"/>
  <c r="J25" i="5"/>
  <c r="J27" i="10"/>
  <c r="J21" i="10"/>
  <c r="P27" i="11"/>
  <c r="J19" i="10"/>
  <c r="S26" i="5"/>
  <c r="S22" i="7"/>
  <c r="P27" i="12"/>
  <c r="J20" i="5"/>
  <c r="J20" i="7"/>
  <c r="P26" i="13"/>
  <c r="AA11" i="16"/>
  <c r="Y8" i="16"/>
  <c r="Y11" i="16"/>
  <c r="P32" i="11"/>
  <c r="S23" i="5"/>
  <c r="P25" i="12"/>
  <c r="P19" i="11"/>
  <c r="J25" i="7"/>
  <c r="P33" i="12"/>
  <c r="J26" i="5"/>
  <c r="P27" i="13"/>
  <c r="Q28" i="12"/>
  <c r="J19" i="5"/>
  <c r="Q21" i="13"/>
  <c r="Q20" i="11"/>
  <c r="S19" i="10"/>
  <c r="P28" i="11"/>
  <c r="P21" i="11"/>
  <c r="Y12" i="16"/>
  <c r="S21" i="5"/>
  <c r="P35" i="13"/>
  <c r="P33" i="13"/>
  <c r="P34" i="12"/>
  <c r="P35" i="11"/>
  <c r="Q33" i="11"/>
  <c r="Q25" i="12"/>
  <c r="J18" i="10"/>
  <c r="S21" i="7"/>
  <c r="J21" i="5"/>
  <c r="J24" i="5"/>
  <c r="S26" i="10"/>
  <c r="J27" i="5"/>
  <c r="Q25" i="11"/>
  <c r="Q28" i="11"/>
  <c r="S18" i="7"/>
  <c r="P30" i="11"/>
  <c r="J22" i="7"/>
  <c r="Q23" i="11"/>
  <c r="P31" i="12"/>
  <c r="P22" i="13"/>
  <c r="Y14" i="16"/>
  <c r="Q27" i="13"/>
  <c r="J25" i="10"/>
  <c r="S28" i="10"/>
  <c r="S18" i="5"/>
  <c r="S27" i="7"/>
  <c r="P29" i="12"/>
  <c r="P28" i="13"/>
  <c r="P31" i="11"/>
  <c r="S19" i="5"/>
  <c r="J28" i="7"/>
  <c r="P24" i="11"/>
  <c r="Q31" i="12"/>
  <c r="Q21" i="11"/>
  <c r="J19" i="7"/>
  <c r="J28" i="10"/>
  <c r="J22" i="10"/>
  <c r="P31" i="13"/>
  <c r="Q34" i="13"/>
  <c r="Q22" i="12"/>
  <c r="S25" i="10"/>
  <c r="Z12" i="16"/>
  <c r="P20" i="12"/>
  <c r="P23" i="13"/>
  <c r="S22" i="10"/>
  <c r="S24" i="10"/>
  <c r="AA13" i="16"/>
  <c r="S23" i="10"/>
  <c r="Q30" i="13"/>
  <c r="S22" i="5"/>
  <c r="R37" i="11" l="1"/>
  <c r="I37" i="11" s="1"/>
  <c r="R37" i="12"/>
  <c r="I37" i="12" s="1"/>
  <c r="R37" i="13"/>
  <c r="I37" i="13" s="1"/>
  <c r="R36" i="12"/>
  <c r="I36" i="12" s="1"/>
  <c r="R36" i="11"/>
  <c r="I36" i="11" s="1"/>
  <c r="R36" i="13"/>
  <c r="I36" i="13" s="1"/>
  <c r="R35" i="13"/>
  <c r="I35" i="13" s="1"/>
  <c r="R34" i="13"/>
  <c r="I34" i="13" s="1"/>
  <c r="R33" i="13"/>
  <c r="I33" i="13" s="1"/>
  <c r="R35" i="12"/>
  <c r="I35" i="12" s="1"/>
  <c r="R34" i="12"/>
  <c r="I34" i="12" s="1"/>
  <c r="R33" i="12"/>
  <c r="I33" i="12" s="1"/>
  <c r="R35" i="11"/>
  <c r="I35" i="11" s="1"/>
  <c r="R34" i="11"/>
  <c r="I34" i="11" s="1"/>
  <c r="R33" i="11"/>
  <c r="I33" i="11" s="1"/>
  <c r="H27" i="12"/>
  <c r="L26" i="10"/>
  <c r="L23" i="10"/>
  <c r="L28" i="10"/>
  <c r="L20" i="10"/>
  <c r="L18" i="10"/>
  <c r="L21" i="10"/>
  <c r="L19" i="10"/>
  <c r="L24" i="10"/>
  <c r="L27" i="10"/>
  <c r="L25" i="10"/>
  <c r="L22" i="10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L19" i="5"/>
  <c r="L27" i="5"/>
  <c r="L21" i="5"/>
  <c r="L23" i="5"/>
  <c r="L20" i="5"/>
  <c r="L22" i="5"/>
  <c r="L28" i="5"/>
  <c r="L24" i="5"/>
  <c r="L26" i="5"/>
  <c r="L25" i="5"/>
  <c r="L18" i="5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26" i="10"/>
  <c r="K23" i="10"/>
  <c r="K28" i="10"/>
  <c r="K20" i="10"/>
  <c r="K18" i="10"/>
  <c r="K21" i="10"/>
  <c r="K19" i="10"/>
  <c r="K24" i="10"/>
  <c r="K27" i="10"/>
  <c r="K25" i="10"/>
  <c r="K22" i="10"/>
  <c r="K27" i="5"/>
  <c r="K21" i="5"/>
  <c r="K23" i="5"/>
  <c r="K20" i="5"/>
  <c r="K22" i="5"/>
  <c r="K28" i="5"/>
  <c r="K19" i="5"/>
  <c r="K24" i="5"/>
  <c r="K26" i="5"/>
  <c r="K25" i="5"/>
  <c r="K18" i="5"/>
  <c r="L21" i="7"/>
  <c r="L26" i="7"/>
  <c r="L18" i="7"/>
  <c r="L28" i="7"/>
  <c r="L27" i="7"/>
  <c r="L20" i="7"/>
  <c r="L22" i="7"/>
  <c r="L24" i="7"/>
  <c r="L23" i="7"/>
  <c r="L19" i="7"/>
  <c r="L25" i="7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K21" i="7"/>
  <c r="K26" i="7"/>
  <c r="K18" i="7"/>
  <c r="K28" i="7"/>
  <c r="K27" i="7"/>
  <c r="K20" i="7"/>
  <c r="K22" i="7"/>
  <c r="K24" i="7"/>
  <c r="K23" i="7"/>
  <c r="K19" i="7"/>
  <c r="K25" i="7"/>
  <c r="R29" i="13"/>
  <c r="I29" i="13" s="1"/>
  <c r="R30" i="13"/>
  <c r="I30" i="13" s="1"/>
  <c r="R31" i="13"/>
  <c r="I31" i="13" s="1"/>
  <c r="R32" i="13"/>
  <c r="I32" i="13" s="1"/>
  <c r="R29" i="12"/>
  <c r="I29" i="12" s="1"/>
  <c r="R30" i="12"/>
  <c r="I30" i="12" s="1"/>
  <c r="R31" i="12"/>
  <c r="I31" i="12" s="1"/>
  <c r="R32" i="12"/>
  <c r="I32" i="12" s="1"/>
  <c r="R29" i="11"/>
  <c r="I29" i="11" s="1"/>
  <c r="R30" i="11"/>
  <c r="I30" i="11" s="1"/>
  <c r="R31" i="11"/>
  <c r="I31" i="11" s="1"/>
  <c r="R32" i="11"/>
  <c r="I32" i="11" s="1"/>
  <c r="S38" i="10"/>
  <c r="S38" i="5"/>
  <c r="S38" i="7"/>
  <c r="N8" i="5"/>
  <c r="O24" i="5"/>
  <c r="N25" i="10"/>
  <c r="N14" i="10"/>
  <c r="R20" i="13"/>
  <c r="I20" i="13" s="1"/>
  <c r="R19" i="13"/>
  <c r="I19" i="13" s="1"/>
  <c r="R27" i="12"/>
  <c r="I27" i="12" s="1"/>
  <c r="R28" i="12"/>
  <c r="I28" i="12" s="1"/>
  <c r="R20" i="11"/>
  <c r="I20" i="11" s="1"/>
  <c r="R19" i="11"/>
  <c r="I19" i="11" s="1"/>
  <c r="R21" i="12"/>
  <c r="I21" i="12" s="1"/>
  <c r="R26" i="13"/>
  <c r="I26" i="13" s="1"/>
  <c r="R26" i="11"/>
  <c r="I26" i="11" s="1"/>
  <c r="R23" i="13"/>
  <c r="I23" i="13" s="1"/>
  <c r="R24" i="13"/>
  <c r="I24" i="13" s="1"/>
  <c r="R23" i="11"/>
  <c r="I23" i="11" s="1"/>
  <c r="R24" i="11"/>
  <c r="I24" i="11" s="1"/>
  <c r="R25" i="12"/>
  <c r="I25" i="12" s="1"/>
  <c r="R22" i="12"/>
  <c r="I22" i="12" s="1"/>
  <c r="R28" i="13"/>
  <c r="I28" i="13" s="1"/>
  <c r="R27" i="13"/>
  <c r="I27" i="13" s="1"/>
  <c r="R19" i="12"/>
  <c r="I19" i="12" s="1"/>
  <c r="R20" i="12"/>
  <c r="I20" i="12" s="1"/>
  <c r="R27" i="11"/>
  <c r="I27" i="11" s="1"/>
  <c r="R28" i="11"/>
  <c r="I28" i="11" s="1"/>
  <c r="R21" i="13"/>
  <c r="I21" i="13" s="1"/>
  <c r="R21" i="11"/>
  <c r="I21" i="11" s="1"/>
  <c r="R26" i="12"/>
  <c r="I26" i="12" s="1"/>
  <c r="R24" i="12"/>
  <c r="I24" i="12" s="1"/>
  <c r="R23" i="12"/>
  <c r="I23" i="12" s="1"/>
  <c r="R25" i="13"/>
  <c r="I25" i="13" s="1"/>
  <c r="R25" i="11"/>
  <c r="I25" i="11" s="1"/>
  <c r="R22" i="13"/>
  <c r="I22" i="13" s="1"/>
  <c r="R22" i="11"/>
  <c r="I22" i="11" s="1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P37" i="7"/>
  <c r="Q37" i="7"/>
  <c r="P37" i="5"/>
  <c r="Q37" i="5"/>
  <c r="P37" i="10"/>
  <c r="Q37" i="10"/>
  <c r="Q36" i="10"/>
  <c r="P36" i="10"/>
  <c r="Q36" i="5"/>
  <c r="P36" i="5"/>
  <c r="P36" i="7"/>
  <c r="Q36" i="7"/>
  <c r="P35" i="10"/>
  <c r="Q33" i="7"/>
  <c r="P22" i="5"/>
  <c r="Q31" i="7"/>
  <c r="Q30" i="7"/>
  <c r="Q32" i="7"/>
  <c r="P26" i="5"/>
  <c r="Y10" i="16"/>
  <c r="P33" i="5"/>
  <c r="P30" i="5"/>
  <c r="X16" i="16"/>
  <c r="P21" i="5"/>
  <c r="Q25" i="7"/>
  <c r="P29" i="10"/>
  <c r="Q26" i="7"/>
  <c r="Q31" i="5"/>
  <c r="P32" i="5"/>
  <c r="P34" i="5"/>
  <c r="Q32" i="10"/>
  <c r="P27" i="10"/>
  <c r="Q22" i="10"/>
  <c r="Z8" i="16"/>
  <c r="P35" i="5"/>
  <c r="Q24" i="7"/>
  <c r="Y6" i="16"/>
  <c r="Q27" i="5"/>
  <c r="P30" i="7"/>
  <c r="Q33" i="10"/>
  <c r="P33" i="10"/>
  <c r="AA6" i="16"/>
  <c r="Q22" i="5"/>
  <c r="X12" i="16"/>
  <c r="P19" i="10"/>
  <c r="AA5" i="16"/>
  <c r="P25" i="10"/>
  <c r="Q31" i="10"/>
  <c r="P34" i="7"/>
  <c r="P31" i="7"/>
  <c r="P25" i="5"/>
  <c r="X13" i="16"/>
  <c r="P32" i="7"/>
  <c r="P29" i="7"/>
  <c r="X14" i="16"/>
  <c r="Y5" i="16"/>
  <c r="Q30" i="10"/>
  <c r="P33" i="7"/>
  <c r="Q26" i="5"/>
  <c r="Q25" i="5"/>
  <c r="Q32" i="5"/>
  <c r="Z6" i="16"/>
  <c r="Q33" i="5"/>
  <c r="X17" i="16"/>
  <c r="P24" i="10"/>
  <c r="P20" i="10"/>
  <c r="Q24" i="10"/>
  <c r="P22" i="10"/>
  <c r="Q35" i="7"/>
  <c r="Z5" i="16"/>
  <c r="Q21" i="10"/>
  <c r="Q22" i="7"/>
  <c r="Q34" i="5"/>
  <c r="Z7" i="16"/>
  <c r="Q19" i="10"/>
  <c r="Q19" i="7"/>
  <c r="Q19" i="5"/>
  <c r="Q27" i="10"/>
  <c r="Q20" i="7"/>
  <c r="Q34" i="10"/>
  <c r="X15" i="16"/>
  <c r="P25" i="7"/>
  <c r="P20" i="7"/>
  <c r="P29" i="5"/>
  <c r="Q23" i="7"/>
  <c r="Q25" i="10"/>
  <c r="P31" i="5"/>
  <c r="P32" i="10"/>
  <c r="Q30" i="5"/>
  <c r="Z10" i="16"/>
  <c r="P27" i="5"/>
  <c r="Q23" i="10"/>
  <c r="Y7" i="16"/>
  <c r="Q29" i="5"/>
  <c r="Q34" i="7"/>
  <c r="Q24" i="5"/>
  <c r="P31" i="10"/>
  <c r="P28" i="7"/>
  <c r="Y9" i="16"/>
  <c r="Q29" i="7"/>
  <c r="Q29" i="10"/>
  <c r="P21" i="7"/>
  <c r="P20" i="5"/>
  <c r="P28" i="10"/>
  <c r="Q21" i="7"/>
  <c r="P35" i="7"/>
  <c r="Q23" i="5"/>
  <c r="P21" i="10"/>
  <c r="Z9" i="16"/>
  <c r="X11" i="16"/>
  <c r="P23" i="10"/>
  <c r="AA9" i="16"/>
  <c r="Q35" i="5"/>
  <c r="AA7" i="16"/>
  <c r="P19" i="7"/>
  <c r="Q28" i="7"/>
  <c r="X18" i="16"/>
  <c r="P28" i="5"/>
  <c r="AA10" i="16"/>
  <c r="Q20" i="5"/>
  <c r="Q21" i="5"/>
  <c r="Q35" i="10"/>
  <c r="Q20" i="10"/>
  <c r="Q27" i="7"/>
  <c r="Q28" i="5"/>
  <c r="P27" i="7"/>
  <c r="P34" i="10"/>
  <c r="Q28" i="10"/>
  <c r="AA8" i="16"/>
  <c r="P23" i="5"/>
  <c r="P26" i="7"/>
  <c r="Q26" i="10"/>
  <c r="P30" i="10"/>
  <c r="P24" i="5"/>
  <c r="P24" i="7"/>
  <c r="P19" i="5"/>
  <c r="P26" i="10"/>
  <c r="R37" i="7" l="1"/>
  <c r="I37" i="7" s="1"/>
  <c r="R37" i="5"/>
  <c r="I37" i="5" s="1"/>
  <c r="R37" i="10"/>
  <c r="I37" i="10" s="1"/>
  <c r="R36" i="10"/>
  <c r="I36" i="10" s="1"/>
  <c r="R36" i="5"/>
  <c r="I36" i="5" s="1"/>
  <c r="R36" i="7"/>
  <c r="I36" i="7" s="1"/>
  <c r="R35" i="10"/>
  <c r="I35" i="10" s="1"/>
  <c r="R34" i="10"/>
  <c r="I34" i="10" s="1"/>
  <c r="R33" i="10"/>
  <c r="I33" i="10" s="1"/>
  <c r="R35" i="5"/>
  <c r="I35" i="5" s="1"/>
  <c r="R34" i="5"/>
  <c r="I34" i="5" s="1"/>
  <c r="R33" i="5"/>
  <c r="I33" i="5" s="1"/>
  <c r="R35" i="7"/>
  <c r="I35" i="7" s="1"/>
  <c r="R34" i="7"/>
  <c r="I34" i="7" s="1"/>
  <c r="R33" i="7"/>
  <c r="I33" i="7" s="1"/>
  <c r="H28" i="12"/>
  <c r="R29" i="10"/>
  <c r="I29" i="10" s="1"/>
  <c r="R30" i="10"/>
  <c r="I30" i="10" s="1"/>
  <c r="R31" i="10"/>
  <c r="I31" i="10" s="1"/>
  <c r="R32" i="10"/>
  <c r="I32" i="10" s="1"/>
  <c r="R29" i="5"/>
  <c r="I29" i="5" s="1"/>
  <c r="R30" i="5"/>
  <c r="I30" i="5" s="1"/>
  <c r="R31" i="5"/>
  <c r="I31" i="5" s="1"/>
  <c r="R32" i="5"/>
  <c r="I32" i="5" s="1"/>
  <c r="R29" i="7"/>
  <c r="I29" i="7" s="1"/>
  <c r="R30" i="7"/>
  <c r="I30" i="7" s="1"/>
  <c r="R31" i="7"/>
  <c r="I31" i="7" s="1"/>
  <c r="R32" i="7"/>
  <c r="I32" i="7" s="1"/>
  <c r="R27" i="5"/>
  <c r="I27" i="5" s="1"/>
  <c r="R20" i="5"/>
  <c r="I20" i="5" s="1"/>
  <c r="R24" i="5"/>
  <c r="I24" i="5" s="1"/>
  <c r="R21" i="10"/>
  <c r="I21" i="10" s="1"/>
  <c r="R20" i="10"/>
  <c r="I20" i="10" s="1"/>
  <c r="R19" i="10"/>
  <c r="I19" i="10" s="1"/>
  <c r="R28" i="10"/>
  <c r="I28" i="10" s="1"/>
  <c r="R27" i="10"/>
  <c r="I27" i="10" s="1"/>
  <c r="R25" i="5"/>
  <c r="I25" i="5" s="1"/>
  <c r="R26" i="5"/>
  <c r="I26" i="5" s="1"/>
  <c r="R23" i="5"/>
  <c r="I23" i="5" s="1"/>
  <c r="R23" i="10"/>
  <c r="I23" i="10" s="1"/>
  <c r="R25" i="10"/>
  <c r="I25" i="10" s="1"/>
  <c r="R24" i="10"/>
  <c r="I24" i="10" s="1"/>
  <c r="R22" i="10"/>
  <c r="I22" i="10" s="1"/>
  <c r="R19" i="5"/>
  <c r="I19" i="5" s="1"/>
  <c r="R28" i="5"/>
  <c r="I28" i="5" s="1"/>
  <c r="R22" i="5"/>
  <c r="I22" i="5" s="1"/>
  <c r="R21" i="5"/>
  <c r="I21" i="5" s="1"/>
  <c r="R26" i="10"/>
  <c r="I26" i="10" s="1"/>
  <c r="I18" i="7"/>
  <c r="R23" i="7"/>
  <c r="R21" i="7"/>
  <c r="R19" i="7"/>
  <c r="R20" i="7"/>
  <c r="R25" i="7"/>
  <c r="R26" i="7"/>
  <c r="R28" i="7"/>
  <c r="R27" i="7"/>
  <c r="R24" i="7"/>
  <c r="R22" i="7"/>
  <c r="E5" i="4"/>
  <c r="D5" i="4"/>
  <c r="W11" i="16"/>
  <c r="H29" i="12" l="1"/>
  <c r="I24" i="7"/>
  <c r="I23" i="7"/>
  <c r="I20" i="7"/>
  <c r="I28" i="7"/>
  <c r="I19" i="7"/>
  <c r="I25" i="7"/>
  <c r="I27" i="7"/>
  <c r="I22" i="7"/>
  <c r="I26" i="7"/>
  <c r="I21" i="7"/>
  <c r="X5" i="16"/>
  <c r="X9" i="16"/>
  <c r="W5" i="16"/>
  <c r="X10" i="16"/>
  <c r="X7" i="16"/>
  <c r="X8" i="16"/>
  <c r="W12" i="16"/>
  <c r="X6" i="16"/>
  <c r="H30" i="1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W13" i="16"/>
  <c r="W6" i="16"/>
  <c r="K6" i="4" l="1"/>
  <c r="S6" i="4"/>
  <c r="S7" i="4" s="1"/>
  <c r="S8" i="4" s="1"/>
  <c r="S9" i="4" s="1"/>
  <c r="S10" i="4" s="1"/>
  <c r="J6" i="4"/>
  <c r="I6" i="4"/>
  <c r="H6" i="4"/>
  <c r="U6" i="4"/>
  <c r="U7" i="4" s="1"/>
  <c r="U8" i="4" s="1"/>
  <c r="U9" i="4" s="1"/>
  <c r="U10" i="4" s="1"/>
  <c r="E13" i="16" s="1"/>
  <c r="F13" i="16" s="1"/>
  <c r="R6" i="4"/>
  <c r="R7" i="4" s="1"/>
  <c r="R8" i="4" s="1"/>
  <c r="R9" i="4" s="1"/>
  <c r="R10" i="4" s="1"/>
  <c r="T6" i="4"/>
  <c r="T7" i="4" s="1"/>
  <c r="T8" i="4" s="1"/>
  <c r="T9" i="4" s="1"/>
  <c r="T10" i="4" s="1"/>
  <c r="H31" i="12"/>
  <c r="AH7" i="16"/>
  <c r="AK7" i="16" s="1"/>
  <c r="C6" i="4"/>
  <c r="E6" i="4"/>
  <c r="F6" i="4"/>
  <c r="G6" i="4"/>
  <c r="B6" i="4"/>
  <c r="P55" i="2"/>
  <c r="O8" i="2"/>
  <c r="O12" i="2"/>
  <c r="S55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N5" i="4" s="1"/>
  <c r="N6" i="4" s="1"/>
  <c r="N7" i="4" s="1"/>
  <c r="N8" i="4" s="1"/>
  <c r="N9" i="4" s="1"/>
  <c r="N10" i="4" s="1"/>
  <c r="O11" i="2"/>
  <c r="O15" i="2"/>
  <c r="O19" i="2"/>
  <c r="N16" i="2"/>
  <c r="N12" i="2"/>
  <c r="N8" i="2"/>
  <c r="N18" i="2"/>
  <c r="N14" i="2"/>
  <c r="N10" i="2"/>
  <c r="N6" i="2"/>
  <c r="O5" i="2"/>
  <c r="W7" i="16"/>
  <c r="W14" i="16"/>
  <c r="Q5" i="4" l="1"/>
  <c r="Q6" i="4" s="1"/>
  <c r="Q7" i="4" s="1"/>
  <c r="Q8" i="4" s="1"/>
  <c r="Q9" i="4" s="1"/>
  <c r="Q10" i="4" s="1"/>
  <c r="E11" i="16" s="1"/>
  <c r="F11" i="16" s="1"/>
  <c r="X5" i="4"/>
  <c r="X6" i="4" s="1"/>
  <c r="X7" i="4" s="1"/>
  <c r="X8" i="4" s="1"/>
  <c r="X9" i="4" s="1"/>
  <c r="X10" i="4" s="1"/>
  <c r="H32" i="12"/>
  <c r="H33" i="12" s="1"/>
  <c r="H34" i="12" s="1"/>
  <c r="H35" i="12" s="1"/>
  <c r="H36" i="12" s="1"/>
  <c r="H37" i="12" s="1"/>
  <c r="O5" i="4"/>
  <c r="O6" i="4" s="1"/>
  <c r="O7" i="4" s="1"/>
  <c r="O8" i="4" s="1"/>
  <c r="O9" i="4" s="1"/>
  <c r="O10" i="4" s="1"/>
  <c r="E14" i="16" s="1"/>
  <c r="F14" i="16" s="1"/>
  <c r="O8" i="16"/>
  <c r="O9" i="16"/>
  <c r="O5" i="16"/>
  <c r="O6" i="16"/>
  <c r="G12" i="15" s="1"/>
  <c r="O10" i="16"/>
  <c r="O7" i="16"/>
  <c r="P6" i="16"/>
  <c r="G13" i="15" s="1"/>
  <c r="P10" i="16"/>
  <c r="P5" i="16"/>
  <c r="P7" i="16"/>
  <c r="P9" i="16"/>
  <c r="P8" i="16"/>
  <c r="M6" i="16"/>
  <c r="G10" i="15" s="1"/>
  <c r="M10" i="16"/>
  <c r="M7" i="16"/>
  <c r="M5" i="16"/>
  <c r="M8" i="16"/>
  <c r="M9" i="16"/>
  <c r="W5" i="4"/>
  <c r="W6" i="4" s="1"/>
  <c r="W7" i="4" s="1"/>
  <c r="L5" i="4"/>
  <c r="N8" i="16"/>
  <c r="N6" i="16"/>
  <c r="G11" i="15" s="1"/>
  <c r="N10" i="16"/>
  <c r="N5" i="16"/>
  <c r="N9" i="16"/>
  <c r="N7" i="16"/>
  <c r="M5" i="4"/>
  <c r="M6" i="4" s="1"/>
  <c r="M7" i="4" s="1"/>
  <c r="M8" i="4" s="1"/>
  <c r="M9" i="4" s="1"/>
  <c r="M10" i="4" s="1"/>
  <c r="E12" i="16" s="1"/>
  <c r="F12" i="16" s="1"/>
  <c r="P5" i="4"/>
  <c r="P6" i="4" s="1"/>
  <c r="P7" i="4" s="1"/>
  <c r="P8" i="4" s="1"/>
  <c r="P9" i="4" s="1"/>
  <c r="P10" i="4" s="1"/>
  <c r="W17" i="16"/>
  <c r="W16" i="16"/>
  <c r="W15" i="16"/>
  <c r="W8" i="16"/>
  <c r="W18" i="16"/>
  <c r="V5" i="4"/>
  <c r="W8" i="4" l="1"/>
  <c r="AJ8" i="16"/>
  <c r="L6" i="4"/>
  <c r="L7" i="4" s="1"/>
  <c r="L8" i="4" s="1"/>
  <c r="L9" i="4" s="1"/>
  <c r="L10" i="4" s="1"/>
  <c r="E5" i="16" s="1"/>
  <c r="F5" i="16" s="1"/>
  <c r="E9" i="16"/>
  <c r="F9" i="16" s="1"/>
  <c r="E10" i="16"/>
  <c r="F10" i="16" s="1"/>
  <c r="E7" i="16"/>
  <c r="F7" i="16" s="1"/>
  <c r="E8" i="16"/>
  <c r="F8" i="16" s="1"/>
  <c r="E6" i="16"/>
  <c r="F6" i="16" s="1"/>
  <c r="AJ6" i="16"/>
  <c r="V6" i="4"/>
  <c r="W9" i="16"/>
  <c r="F15" i="16" l="1"/>
  <c r="D10" i="15" s="1"/>
  <c r="W9" i="4"/>
  <c r="AJ9" i="16"/>
  <c r="C11" i="15"/>
  <c r="C12" i="15"/>
  <c r="C10" i="15"/>
  <c r="AJ7" i="16"/>
  <c r="Y6" i="4"/>
  <c r="Y5" i="4"/>
  <c r="AI6" i="16" s="1"/>
  <c r="W10" i="16"/>
  <c r="D12" i="15" l="1"/>
  <c r="D11" i="15"/>
  <c r="W10" i="4"/>
  <c r="G6" i="15" s="1"/>
  <c r="AJ10" i="16"/>
  <c r="AI7" i="16"/>
  <c r="AJ11" i="16" l="1"/>
  <c r="F6" i="15"/>
  <c r="V10" i="4"/>
  <c r="V9" i="4"/>
  <c r="Y10" i="4" l="1"/>
  <c r="AI11" i="16" s="1"/>
  <c r="Y9" i="4"/>
  <c r="V8" i="4"/>
  <c r="F5" i="15" l="1"/>
  <c r="G5" i="15"/>
  <c r="AI10" i="16"/>
  <c r="Y8" i="4"/>
  <c r="AI9" i="16" s="1"/>
  <c r="V7" i="4"/>
  <c r="Y7" i="4" l="1"/>
  <c r="AI8" i="16" s="1"/>
</calcChain>
</file>

<file path=xl/sharedStrings.xml><?xml version="1.0" encoding="utf-8"?>
<sst xmlns="http://schemas.openxmlformats.org/spreadsheetml/2006/main" count="706" uniqueCount="298">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</sst>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2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008000"/>
      <color rgb="FFCC0099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8560.9</c:v>
                </c:pt>
                <c:pt idx="1">
                  <c:v>134889.60000000001</c:v>
                </c:pt>
                <c:pt idx="2">
                  <c:v>51515.199999999997</c:v>
                </c:pt>
                <c:pt idx="3">
                  <c:v>66305.899999999994</c:v>
                </c:pt>
                <c:pt idx="4">
                  <c:v>99981.4</c:v>
                </c:pt>
                <c:pt idx="5">
                  <c:v>112232.5</c:v>
                </c:pt>
                <c:pt idx="6">
                  <c:v>52984.9</c:v>
                </c:pt>
                <c:pt idx="7">
                  <c:v>46638.1</c:v>
                </c:pt>
                <c:pt idx="8">
                  <c:v>24552.43</c:v>
                </c:pt>
                <c:pt idx="9">
                  <c:v>21529</c:v>
                </c:pt>
                <c:pt idx="10">
                  <c:v>86856.2</c:v>
                </c:pt>
                <c:pt idx="11">
                  <c:v>30361.1</c:v>
                </c:pt>
                <c:pt idx="12">
                  <c:v>47830.5</c:v>
                </c:pt>
                <c:pt idx="13">
                  <c:v>8689.5969999999998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608984"/>
        <c:axId val="338611728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35.549999</c:v>
                </c:pt>
                <c:pt idx="1">
                  <c:v>50.049999</c:v>
                </c:pt>
                <c:pt idx="2">
                  <c:v>42.369999</c:v>
                </c:pt>
                <c:pt idx="3">
                  <c:v>37.57</c:v>
                </c:pt>
                <c:pt idx="4">
                  <c:v>32.130001</c:v>
                </c:pt>
                <c:pt idx="5">
                  <c:v>35.790000999999997</c:v>
                </c:pt>
                <c:pt idx="6">
                  <c:v>32.830002</c:v>
                </c:pt>
                <c:pt idx="7">
                  <c:v>33.279998999999997</c:v>
                </c:pt>
                <c:pt idx="8">
                  <c:v>33.830002</c:v>
                </c:pt>
                <c:pt idx="9">
                  <c:v>34.19</c:v>
                </c:pt>
                <c:pt idx="10">
                  <c:v>27.58</c:v>
                </c:pt>
                <c:pt idx="11">
                  <c:v>28.51</c:v>
                </c:pt>
                <c:pt idx="12">
                  <c:v>21.15</c:v>
                </c:pt>
                <c:pt idx="13">
                  <c:v>17.14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09376"/>
        <c:axId val="338612120"/>
      </c:lineChart>
      <c:catAx>
        <c:axId val="3386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2120"/>
        <c:crosses val="autoZero"/>
        <c:auto val="1"/>
        <c:lblAlgn val="ctr"/>
        <c:lblOffset val="100"/>
        <c:noMultiLvlLbl val="0"/>
      </c:catAx>
      <c:valAx>
        <c:axId val="33861212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09376"/>
        <c:crosses val="autoZero"/>
        <c:crossBetween val="between"/>
      </c:valAx>
      <c:valAx>
        <c:axId val="33861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08984"/>
        <c:crosses val="max"/>
        <c:crossBetween val="between"/>
      </c:valAx>
      <c:catAx>
        <c:axId val="338608984"/>
        <c:scaling>
          <c:orientation val="minMax"/>
        </c:scaling>
        <c:delete val="1"/>
        <c:axPos val="b"/>
        <c:majorTickMark val="out"/>
        <c:minorTickMark val="none"/>
        <c:tickLblPos val="nextTo"/>
        <c:crossAx val="33861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35.549999</c:v>
                </c:pt>
                <c:pt idx="1">
                  <c:v>50.049999</c:v>
                </c:pt>
                <c:pt idx="2">
                  <c:v>42.369999</c:v>
                </c:pt>
                <c:pt idx="3">
                  <c:v>37.57</c:v>
                </c:pt>
                <c:pt idx="4">
                  <c:v>32.130001</c:v>
                </c:pt>
                <c:pt idx="5">
                  <c:v>35.790000999999997</c:v>
                </c:pt>
                <c:pt idx="6">
                  <c:v>32.830002</c:v>
                </c:pt>
                <c:pt idx="7">
                  <c:v>33.279998999999997</c:v>
                </c:pt>
                <c:pt idx="8">
                  <c:v>33.830002</c:v>
                </c:pt>
                <c:pt idx="9">
                  <c:v>34.19</c:v>
                </c:pt>
                <c:pt idx="10">
                  <c:v>27.58</c:v>
                </c:pt>
                <c:pt idx="11">
                  <c:v>28.51</c:v>
                </c:pt>
                <c:pt idx="12">
                  <c:v>21.15</c:v>
                </c:pt>
                <c:pt idx="13">
                  <c:v>17.14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40.338183657131353</c:v>
                </c:pt>
                <c:pt idx="1">
                  <c:v>41.309365191418223</c:v>
                </c:pt>
                <c:pt idx="2">
                  <c:v>41.415428572276404</c:v>
                </c:pt>
                <c:pt idx="3">
                  <c:v>41.030885715048761</c:v>
                </c:pt>
                <c:pt idx="4">
                  <c:v>40.140797243543886</c:v>
                </c:pt>
                <c:pt idx="5">
                  <c:v>39.7057176191895</c:v>
                </c:pt>
                <c:pt idx="6">
                  <c:v>39.018146057270549</c:v>
                </c:pt>
                <c:pt idx="7">
                  <c:v>38.444331351543497</c:v>
                </c:pt>
                <c:pt idx="8">
                  <c:v>37.982898416389148</c:v>
                </c:pt>
                <c:pt idx="9">
                  <c:v>37.603608574750233</c:v>
                </c:pt>
                <c:pt idx="10">
                  <c:v>36.601247717275214</c:v>
                </c:pt>
                <c:pt idx="11">
                  <c:v>35.792122945547696</c:v>
                </c:pt>
                <c:pt idx="12">
                  <c:v>34.327910650992926</c:v>
                </c:pt>
                <c:pt idx="13">
                  <c:v>32.609119585893637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07024"/>
        <c:axId val="338612512"/>
      </c:lineChart>
      <c:catAx>
        <c:axId val="3386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2512"/>
        <c:crosses val="autoZero"/>
        <c:auto val="1"/>
        <c:lblAlgn val="ctr"/>
        <c:lblOffset val="100"/>
        <c:noMultiLvlLbl val="0"/>
      </c:catAx>
      <c:valAx>
        <c:axId val="3386125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24.906127966591214</c:v>
                </c:pt>
                <c:pt idx="1">
                  <c:v>64.457624463650973</c:v>
                </c:pt>
                <c:pt idx="2">
                  <c:v>49.77515455594768</c:v>
                </c:pt>
                <c:pt idx="3">
                  <c:v>45.656097661265491</c:v>
                </c:pt>
                <c:pt idx="4">
                  <c:v>41.514300259864079</c:v>
                </c:pt>
                <c:pt idx="5">
                  <c:v>46.822964087155654</c:v>
                </c:pt>
                <c:pt idx="6">
                  <c:v>43.40054140936045</c:v>
                </c:pt>
                <c:pt idx="7">
                  <c:v>44.253109684319632</c:v>
                </c:pt>
                <c:pt idx="8">
                  <c:v>44.322420201031534</c:v>
                </c:pt>
                <c:pt idx="9">
                  <c:v>42.314298808810442</c:v>
                </c:pt>
                <c:pt idx="10">
                  <c:v>37.435895293057477</c:v>
                </c:pt>
                <c:pt idx="11">
                  <c:v>38.30305212984095</c:v>
                </c:pt>
                <c:pt idx="12">
                  <c:v>34.56143328322797</c:v>
                </c:pt>
                <c:pt idx="13">
                  <c:v>34.145932583700088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05848"/>
        <c:axId val="338610944"/>
      </c:lineChart>
      <c:catAx>
        <c:axId val="33860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0944"/>
        <c:crosses val="autoZero"/>
        <c:auto val="1"/>
        <c:lblAlgn val="ctr"/>
        <c:lblOffset val="100"/>
        <c:noMultiLvlLbl val="0"/>
      </c:catAx>
      <c:valAx>
        <c:axId val="338610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0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39.632856571428576</c:v>
                </c:pt>
                <c:pt idx="1">
                  <c:v>40.224999500000003</c:v>
                </c:pt>
                <c:pt idx="2">
                  <c:v>40.213570928571428</c:v>
                </c:pt>
                <c:pt idx="3">
                  <c:v>39.972856714285719</c:v>
                </c:pt>
                <c:pt idx="4">
                  <c:v>39.455714</c:v>
                </c:pt>
                <c:pt idx="5">
                  <c:v>39.248571285714284</c:v>
                </c:pt>
                <c:pt idx="6">
                  <c:v>38.795000000000002</c:v>
                </c:pt>
                <c:pt idx="7">
                  <c:v>38.399285642857144</c:v>
                </c:pt>
                <c:pt idx="8">
                  <c:v>38.007857142857141</c:v>
                </c:pt>
                <c:pt idx="9">
                  <c:v>37.496428714285706</c:v>
                </c:pt>
                <c:pt idx="10">
                  <c:v>36.55142864285714</c:v>
                </c:pt>
                <c:pt idx="11">
                  <c:v>35.659285785714282</c:v>
                </c:pt>
                <c:pt idx="12">
                  <c:v>34.354285928571421</c:v>
                </c:pt>
                <c:pt idx="13">
                  <c:v>32.997857285714275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43.622970048126682</c:v>
                </c:pt>
                <c:pt idx="1">
                  <c:v>47.037353172331407</c:v>
                </c:pt>
                <c:pt idx="2">
                  <c:v>47.009784804378931</c:v>
                </c:pt>
                <c:pt idx="3">
                  <c:v>46.89577879072769</c:v>
                </c:pt>
                <c:pt idx="4">
                  <c:v>47.554433725276084</c:v>
                </c:pt>
                <c:pt idx="5">
                  <c:v>47.576753611045532</c:v>
                </c:pt>
                <c:pt idx="6">
                  <c:v>47.80317868793982</c:v>
                </c:pt>
                <c:pt idx="7">
                  <c:v>47.87721179926816</c:v>
                </c:pt>
                <c:pt idx="8">
                  <c:v>47.772076698802636</c:v>
                </c:pt>
                <c:pt idx="9">
                  <c:v>47.256618618221324</c:v>
                </c:pt>
                <c:pt idx="10">
                  <c:v>47.427693455398924</c:v>
                </c:pt>
                <c:pt idx="11">
                  <c:v>47.002662248161414</c:v>
                </c:pt>
                <c:pt idx="12">
                  <c:v>47.836110605023748</c:v>
                </c:pt>
                <c:pt idx="13">
                  <c:v>49.247246232359231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35.64274309473047</c:v>
                </c:pt>
                <c:pt idx="1">
                  <c:v>33.412645827668598</c:v>
                </c:pt>
                <c:pt idx="2">
                  <c:v>33.417357052763926</c:v>
                </c:pt>
                <c:pt idx="3">
                  <c:v>33.049934637843748</c:v>
                </c:pt>
                <c:pt idx="4">
                  <c:v>31.356994274723913</c:v>
                </c:pt>
                <c:pt idx="5">
                  <c:v>30.920388960383036</c:v>
                </c:pt>
                <c:pt idx="6">
                  <c:v>29.786821312060184</c:v>
                </c:pt>
                <c:pt idx="7">
                  <c:v>28.921359486446129</c:v>
                </c:pt>
                <c:pt idx="8">
                  <c:v>28.243637586911643</c:v>
                </c:pt>
                <c:pt idx="9">
                  <c:v>27.736238810350088</c:v>
                </c:pt>
                <c:pt idx="10">
                  <c:v>25.675163830315352</c:v>
                </c:pt>
                <c:pt idx="11">
                  <c:v>24.315909323267149</c:v>
                </c:pt>
                <c:pt idx="12">
                  <c:v>20.872461252119091</c:v>
                </c:pt>
                <c:pt idx="13">
                  <c:v>16.748468339069316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11336"/>
        <c:axId val="338613296"/>
      </c:lineChart>
      <c:catAx>
        <c:axId val="33861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3296"/>
        <c:crosses val="autoZero"/>
        <c:auto val="1"/>
        <c:lblAlgn val="ctr"/>
        <c:lblOffset val="100"/>
        <c:noMultiLvlLbl val="0"/>
      </c:catAx>
      <c:valAx>
        <c:axId val="33861329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09/09</c:v>
                </c:pt>
                <c:pt idx="1">
                  <c:v>09/10</c:v>
                </c:pt>
                <c:pt idx="2">
                  <c:v>09/11</c:v>
                </c:pt>
                <c:pt idx="3">
                  <c:v>09/14</c:v>
                </c:pt>
                <c:pt idx="4">
                  <c:v>09/15</c:v>
                </c:pt>
                <c:pt idx="5">
                  <c:v>09/16</c:v>
                </c:pt>
                <c:pt idx="6">
                  <c:v>09/17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100000</c:v>
                </c:pt>
                <c:pt idx="1">
                  <c:v>63721.5</c:v>
                </c:pt>
                <c:pt idx="2">
                  <c:v>65134</c:v>
                </c:pt>
                <c:pt idx="3">
                  <c:v>62700.2</c:v>
                </c:pt>
                <c:pt idx="4">
                  <c:v>62700.2</c:v>
                </c:pt>
                <c:pt idx="5">
                  <c:v>61575.199999999997</c:v>
                </c:pt>
                <c:pt idx="6">
                  <c:v>57949.2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59168"/>
        <c:axId val="269156424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09/09</c:v>
                </c:pt>
                <c:pt idx="1">
                  <c:v>09/10</c:v>
                </c:pt>
                <c:pt idx="2">
                  <c:v>09/11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100000</c:v>
                </c:pt>
                <c:pt idx="1">
                  <c:v>98595.0003</c:v>
                </c:pt>
                <c:pt idx="2">
                  <c:v>98794.499349999998</c:v>
                </c:pt>
                <c:pt idx="3">
                  <c:v>100686.20004999998</c:v>
                </c:pt>
                <c:pt idx="4">
                  <c:v>100190.69995000001</c:v>
                </c:pt>
                <c:pt idx="5">
                  <c:v>99755.299849999996</c:v>
                </c:pt>
                <c:pt idx="6">
                  <c:v>99446.298949999997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59168"/>
        <c:axId val="269156424"/>
      </c:lineChart>
      <c:catAx>
        <c:axId val="2691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56424"/>
        <c:crosses val="autoZero"/>
        <c:auto val="1"/>
        <c:lblAlgn val="ctr"/>
        <c:lblOffset val="100"/>
        <c:noMultiLvlLbl val="0"/>
      </c:catAx>
      <c:valAx>
        <c:axId val="26915642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26915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 val="1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18</xdr:row>
          <xdr:rowOff>165100</xdr:rowOff>
        </xdr:from>
        <xdr:to>
          <xdr:col>8</xdr:col>
          <xdr:colOff>114300</xdr:colOff>
          <xdr:row>30</xdr:row>
          <xdr:rowOff>3486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F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transaction" displayName="tbl_transaction" ref="A4:S55" totalsRowCount="1">
  <autoFilter ref="A4:S54" xr:uid="{00000000-0009-0000-0100-000003000000}"/>
  <tableColumns count="19">
    <tableColumn id="1" xr3:uid="{00000000-0010-0000-0000-000001000000}" name="Symbol" totalsRowLabel="Total"/>
    <tableColumn id="2" xr3:uid="{00000000-0010-0000-0000-000002000000}" name="Order Date"/>
    <tableColumn id="3" xr3:uid="{00000000-0010-0000-0000-000003000000}" name="Transaction Date"/>
    <tableColumn id="4" xr3:uid="{00000000-0010-0000-0000-000004000000}" name="Transactions"/>
    <tableColumn id="5" xr3:uid="{00000000-0010-0000-0000-000005000000}" name="Cancel Reason"/>
    <tableColumn id="6" xr3:uid="{00000000-0010-0000-0000-000006000000}" name="Amount" dataDxfId="218"/>
    <tableColumn id="7" xr3:uid="{00000000-0010-0000-0000-000007000000}" name="Execution_Price" dataDxfId="217"/>
    <tableColumn id="8" xr3:uid="{00000000-0010-0000-0000-000008000000}" name="Month_order" dataDxfId="216">
      <calculatedColumnFormula>VALUE(LEFT(tbl_transaction[[#This Row],[Order Date]],FIND("/",tbl_transaction[[#This Row],[Order Date]])-1))</calculatedColumnFormula>
    </tableColumn>
    <tableColumn id="9" xr3:uid="{00000000-0010-0000-0000-000009000000}" name="Date_order" dataDxfId="215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xr3:uid="{00000000-0010-0000-0000-00000A000000}" name="Year_order" dataDxfId="214">
      <calculatedColumnFormula>MID(tbl_transaction[[#This Row],[Order Date]], FIND("/",tbl_transaction[[#This Row],[Order Date]], FIND("/", tbl_transaction[[#This Row],[Order Date]])+1)+1, 2)</calculatedColumnFormula>
    </tableColumn>
    <tableColumn id="11" xr3:uid="{00000000-0010-0000-0000-00000B000000}" name="Month_Transact" dataDxfId="213">
      <calculatedColumnFormula>VALUE(LEFT(tbl_transaction[[#This Row],[Transaction Date]],FIND("/",tbl_transaction[[#This Row],[Transaction Date]])-1))</calculatedColumnFormula>
    </tableColumn>
    <tableColumn id="12" xr3:uid="{00000000-0010-0000-0000-00000C000000}" name="Date_Transact" dataDxfId="212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xr3:uid="{00000000-0010-0000-0000-00000D000000}" name="Year_Transact" dataDxfId="211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xr3:uid="{00000000-0010-0000-0000-00000E000000}" name="Order_Date" dataDxfId="210">
      <calculatedColumnFormula>DATE(tbl_transaction[[#This Row],[Year_order]]+2000, tbl_transaction[[#This Row],[Month_order]], tbl_transaction[[#This Row],[Date_order]])</calculatedColumnFormula>
    </tableColumn>
    <tableColumn id="15" xr3:uid="{00000000-0010-0000-0000-00000F000000}" name="Transaction_Date" dataDxfId="209">
      <calculatedColumnFormula>DATE(tbl_transaction[[#This Row],[Year_Transact]]+2000,tbl_transaction[[#This Row],[Month_Transact]],tbl_transaction[[#This Row],[Date_Transact]])</calculatedColumnFormula>
    </tableColumn>
    <tableColumn id="16" xr3:uid="{00000000-0010-0000-0000-000010000000}" name="Net_Cash_Change" totalsRowFunction="sum" dataDxfId="208" totalsRowDxfId="41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xr3:uid="{00000000-0010-0000-0000-000011000000}" name="Net_Stock_Change" dataDxfId="207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xr3:uid="{00000000-0010-0000-0000-000012000000}" name="Net_Debt_Change" dataDxfId="206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xr3:uid="{00000000-0010-0000-0000-000013000000}" name="Stock Holding Change" totalsRowFunction="sum" dataDxfId="205" totalsRowDxfId="40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_IBM" displayName="tbl_IBM" ref="A4:S38" totalsRowCount="1">
  <autoFilter ref="A4:S37" xr:uid="{00000000-0009-0000-0100-00000C000000}"/>
  <tableColumns count="19">
    <tableColumn id="1" xr3:uid="{00000000-0010-0000-0900-000001000000}" name="Date" totalsRowLabel="Total" dataDxfId="113"/>
    <tableColumn id="2" xr3:uid="{00000000-0010-0000-0900-000002000000}" name="Open" dataDxfId="112"/>
    <tableColumn id="3" xr3:uid="{00000000-0010-0000-0900-000003000000}" name="High" dataDxfId="111"/>
    <tableColumn id="4" xr3:uid="{00000000-0010-0000-0900-000004000000}" name="Low" dataDxfId="110"/>
    <tableColumn id="5" xr3:uid="{00000000-0010-0000-0900-000005000000}" name="Close" dataDxfId="109"/>
    <tableColumn id="6" xr3:uid="{00000000-0010-0000-0900-000006000000}" name="Adj Close" dataDxfId="108"/>
    <tableColumn id="7" xr3:uid="{00000000-0010-0000-0900-000007000000}" name="Volume"/>
    <tableColumn id="8" xr3:uid="{00000000-0010-0000-0900-000008000000}" name="EMA" dataDxfId="107">
      <calculatedColumnFormula>IF(tbl_IBM[[#This Row],[Date]]=$A$5, $F5, EMA_Beta*$H4 + (1-EMA_Beta)*$F5)</calculatedColumnFormula>
    </tableColumn>
    <tableColumn id="9" xr3:uid="{00000000-0010-0000-0900-000009000000}" name="RSI" dataDxfId="106">
      <calculatedColumnFormula>IF(tbl_IBM[[#This Row],[RS]]= "", "", 100-(100/(1+tbl_IBM[[#This Row],[RS]])))</calculatedColumnFormula>
    </tableColumn>
    <tableColumn id="10" xr3:uid="{00000000-0010-0000-0900-00000A000000}" name="BB_Mean" dataDxfId="105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900-00000B000000}" name="BB_Upper" dataDxfId="104">
      <calculatedColumnFormula>IF(tbl_IBM[[#This Row],[BB_Mean]]="", "", tbl_IBM[[#This Row],[BB_Mean]]+(BB_Width*tbl_IBM[[#This Row],[BB_Stdev]]))</calculatedColumnFormula>
    </tableColumn>
    <tableColumn id="12" xr3:uid="{00000000-0010-0000-0900-00000C000000}" name="BB_Lower" dataDxfId="103">
      <calculatedColumnFormula>IF(tbl_IBM[[#This Row],[BB_Mean]]="", "", tbl_IBM[[#This Row],[BB_Mean]]-(BB_Width*tbl_IBM[[#This Row],[BB_Stdev]]))</calculatedColumnFormula>
    </tableColumn>
    <tableColumn id="13" xr3:uid="{00000000-0010-0000-0900-00000D000000}" name="Move" dataDxfId="102">
      <calculatedColumnFormula>IF(ROW(tbl_IBM[[#This Row],[Adj Close]])=5, 0, $F5-$F4)</calculatedColumnFormula>
    </tableColumn>
    <tableColumn id="14" xr3:uid="{00000000-0010-0000-0900-00000E000000}" name="Upmove" dataDxfId="101">
      <calculatedColumnFormula>MAX(tbl_IBM[[#This Row],[Move]],0)</calculatedColumnFormula>
    </tableColumn>
    <tableColumn id="15" xr3:uid="{00000000-0010-0000-0900-00000F000000}" name="Downmove" dataDxfId="100">
      <calculatedColumnFormula>MAX(-tbl_IBM[[#This Row],[Move]],0)</calculatedColumnFormula>
    </tableColumn>
    <tableColumn id="16" xr3:uid="{00000000-0010-0000-0900-000010000000}" name="Avg_Upmove" dataDxfId="9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900-000011000000}" name="Avg_Downmove" dataDxfId="9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900-000012000000}" name="RS" dataDxfId="97">
      <calculatedColumnFormula>IF(tbl_IBM[[#This Row],[Avg_Upmove]]="", "", tbl_IBM[[#This Row],[Avg_Upmove]]/tbl_IBM[[#This Row],[Avg_Downmove]])</calculatedColumnFormula>
    </tableColumn>
    <tableColumn id="19" xr3:uid="{00000000-0010-0000-0900-000013000000}" name="BB_Stdev" totalsRowFunction="count" dataDxfId="96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bl_ORCL" displayName="tbl_ORCL" ref="A4:S38" totalsRowCount="1">
  <autoFilter ref="A4:S37" xr:uid="{00000000-0009-0000-0100-00000D000000}"/>
  <tableColumns count="19">
    <tableColumn id="1" xr3:uid="{00000000-0010-0000-0A00-000001000000}" name="Date" totalsRowLabel="Total" dataDxfId="95"/>
    <tableColumn id="2" xr3:uid="{00000000-0010-0000-0A00-000002000000}" name="Open" totalsRowDxfId="39" dataCellStyle="Currency"/>
    <tableColumn id="3" xr3:uid="{00000000-0010-0000-0A00-000003000000}" name="High" totalsRowDxfId="38" dataCellStyle="Currency"/>
    <tableColumn id="4" xr3:uid="{00000000-0010-0000-0A00-000004000000}" name="Low" totalsRowDxfId="37" dataCellStyle="Currency"/>
    <tableColumn id="5" xr3:uid="{00000000-0010-0000-0A00-000005000000}" name="Close" totalsRowDxfId="36" dataCellStyle="Currency"/>
    <tableColumn id="6" xr3:uid="{00000000-0010-0000-0A00-000006000000}" name="Adj Close" totalsRowDxfId="35" dataCellStyle="Currency"/>
    <tableColumn id="7" xr3:uid="{00000000-0010-0000-0A00-000007000000}" name="Volume"/>
    <tableColumn id="8" xr3:uid="{00000000-0010-0000-0A00-000008000000}" name="EMA" dataDxfId="94" totalsRowDxfId="34" dataCellStyle="Currency">
      <calculatedColumnFormula>IF(tbl_ORCL[[#This Row],[Date]]=$A$5, $F5, EMA_Beta*$H4 + (1-EMA_Beta)*$F5)</calculatedColumnFormula>
    </tableColumn>
    <tableColumn id="9" xr3:uid="{00000000-0010-0000-0A00-000009000000}" name="RSI" dataDxfId="93" totalsRowDxfId="33" dataCellStyle="Currency">
      <calculatedColumnFormula>IF(tbl_ORCL[[#This Row],[RS]]= "", "", 100-(100/(1+tbl_ORCL[[#This Row],[RS]])))</calculatedColumnFormula>
    </tableColumn>
    <tableColumn id="10" xr3:uid="{00000000-0010-0000-0A00-00000A000000}" name="BB_Mean" dataDxfId="92" totalsRowDxfId="32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A00-00000B000000}" name="BB_Upper" dataDxfId="91" totalsRowDxfId="31" dataCellStyle="Currency">
      <calculatedColumnFormula>IF(tbl_ORCL[[#This Row],[BB_Mean]]="", "", tbl_ORCL[[#This Row],[BB_Mean]]+(BB_Width*tbl_ORCL[[#This Row],[BB_Stdev]]))</calculatedColumnFormula>
    </tableColumn>
    <tableColumn id="12" xr3:uid="{00000000-0010-0000-0A00-00000C000000}" name="BB_Lower" dataDxfId="90" totalsRowDxfId="30" dataCellStyle="Currency">
      <calculatedColumnFormula>IF(tbl_ORCL[[#This Row],[BB_Mean]]="", "", tbl_ORCL[[#This Row],[BB_Mean]]-(BB_Width*tbl_ORCL[[#This Row],[BB_Stdev]]))</calculatedColumnFormula>
    </tableColumn>
    <tableColumn id="13" xr3:uid="{00000000-0010-0000-0A00-00000D000000}" name="Move" dataDxfId="89" totalsRowDxfId="29" dataCellStyle="Currency">
      <calculatedColumnFormula>IF(ROW(tbl_ORCL[[#This Row],[Adj Close]])=5, 0, $F5-$F4)</calculatedColumnFormula>
    </tableColumn>
    <tableColumn id="14" xr3:uid="{00000000-0010-0000-0A00-00000E000000}" name="Upmove" dataDxfId="88" totalsRowDxfId="28" dataCellStyle="Currency">
      <calculatedColumnFormula>MAX(tbl_ORCL[[#This Row],[Move]],0)</calculatedColumnFormula>
    </tableColumn>
    <tableColumn id="15" xr3:uid="{00000000-0010-0000-0A00-00000F000000}" name="Downmove" dataDxfId="87" totalsRowDxfId="27" dataCellStyle="Currency">
      <calculatedColumnFormula>MAX(-tbl_ORCL[[#This Row],[Move]],0)</calculatedColumnFormula>
    </tableColumn>
    <tableColumn id="16" xr3:uid="{00000000-0010-0000-0A00-000010000000}" name="Avg_Upmove" dataDxfId="86" totalsRowDxfId="26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A00-000011000000}" name="Avg_Downmove" dataDxfId="85" totalsRowDxfId="25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A00-000012000000}" name="RS" dataDxfId="84" totalsRowDxfId="24" dataCellStyle="Currency">
      <calculatedColumnFormula>IF(tbl_ORCL[[#This Row],[Avg_Upmove]]="", "", tbl_ORCL[[#This Row],[Avg_Upmove]]/tbl_ORCL[[#This Row],[Avg_Downmove]])</calculatedColumnFormula>
    </tableColumn>
    <tableColumn id="19" xr3:uid="{00000000-0010-0000-0A00-000013000000}" name="BB_Stdev" totalsRowFunction="count" dataDxfId="83" totalsRowDxfId="23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bl_AKRO" displayName="tbl_AKRO" ref="A4:S37" totalsRowShown="0">
  <autoFilter ref="A4:S37" xr:uid="{00000000-0009-0000-0100-00000E000000}"/>
  <tableColumns count="19">
    <tableColumn id="1" xr3:uid="{00000000-0010-0000-0B00-000001000000}" name="Date" dataDxfId="82"/>
    <tableColumn id="2" xr3:uid="{00000000-0010-0000-0B00-000002000000}" name="Open" dataCellStyle="Currency"/>
    <tableColumn id="3" xr3:uid="{00000000-0010-0000-0B00-000003000000}" name="High" dataCellStyle="Currency"/>
    <tableColumn id="4" xr3:uid="{00000000-0010-0000-0B00-000004000000}" name="Low" dataCellStyle="Currency"/>
    <tableColumn id="5" xr3:uid="{00000000-0010-0000-0B00-000005000000}" name="Close" dataCellStyle="Currency"/>
    <tableColumn id="6" xr3:uid="{00000000-0010-0000-0B00-000006000000}" name="Adj Close" dataCellStyle="Currency"/>
    <tableColumn id="7" xr3:uid="{00000000-0010-0000-0B00-000007000000}" name="Volume"/>
    <tableColumn id="8" xr3:uid="{00000000-0010-0000-0B00-000008000000}" name="EMA" dataCellStyle="Currency">
      <calculatedColumnFormula>IF(tbl_AKRO[[#This Row],[Date]]=$A$5, $F5, EMA_Beta*$H4 + (1-EMA_Beta)*$F5)</calculatedColumnFormula>
    </tableColumn>
    <tableColumn id="9" xr3:uid="{00000000-0010-0000-0B00-000009000000}" name="RSI" dataDxfId="81">
      <calculatedColumnFormula>IF(tbl_AKRO[[#This Row],[RS]]= "", "", 100-(100/(1+tbl_AKRO[[#This Row],[RS]])))</calculatedColumnFormula>
    </tableColumn>
    <tableColumn id="10" xr3:uid="{00000000-0010-0000-0B00-00000A000000}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B00-00000B000000}" name="BB_Upper" dataDxfId="80" dataCellStyle="Currency">
      <calculatedColumnFormula>IF(tbl_AKRO[[#This Row],[BB_Mean]]="", "", tbl_AKRO[[#This Row],[BB_Mean]]+(BB_Width*tbl_AKRO[[#This Row],[BB_Stdev]]))</calculatedColumnFormula>
    </tableColumn>
    <tableColumn id="12" xr3:uid="{00000000-0010-0000-0B00-00000C000000}" name="BB_Lower" dataDxfId="79" dataCellStyle="Currency">
      <calculatedColumnFormula>IF(tbl_AKRO[[#This Row],[BB_Mean]]="", "", tbl_AKRO[[#This Row],[BB_Mean]]-(BB_Width*tbl_AKRO[[#This Row],[BB_Stdev]]))</calculatedColumnFormula>
    </tableColumn>
    <tableColumn id="13" xr3:uid="{00000000-0010-0000-0B00-00000D000000}" name="Move" dataDxfId="78">
      <calculatedColumnFormula>IF(ROW(tbl_AKRO[[#This Row],[Adj Close]])=5, 0, $F5-$F4)</calculatedColumnFormula>
    </tableColumn>
    <tableColumn id="14" xr3:uid="{00000000-0010-0000-0B00-00000E000000}" name="Upmove" dataDxfId="77">
      <calculatedColumnFormula>MAX(tbl_AKRO[[#This Row],[Move]],0)</calculatedColumnFormula>
    </tableColumn>
    <tableColumn id="15" xr3:uid="{00000000-0010-0000-0B00-00000F000000}" name="Downmove" dataDxfId="76">
      <calculatedColumnFormula>MAX(-tbl_AKRO[[#This Row],[Move]],0)</calculatedColumnFormula>
    </tableColumn>
    <tableColumn id="16" xr3:uid="{00000000-0010-0000-0B00-000010000000}" name="Avg_Upmove" dataDxfId="7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B00-000011000000}" name="Avg_Downmove" dataDxfId="7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B00-000012000000}" name="RS" dataDxfId="73">
      <calculatedColumnFormula>IF(tbl_AKRO[[#This Row],[Avg_Upmove]]="", "", tbl_AKRO[[#This Row],[Avg_Upmove]]/tbl_AKRO[[#This Row],[Avg_Downmove]])</calculatedColumnFormula>
    </tableColumn>
    <tableColumn id="19" xr3:uid="{00000000-0010-0000-0B00-000013000000}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bl_FDX" displayName="tbl_FDX" ref="A4:S37" totalsRowShown="0">
  <autoFilter ref="A4:S37" xr:uid="{00000000-0009-0000-0100-000010000000}"/>
  <tableColumns count="19">
    <tableColumn id="1" xr3:uid="{00000000-0010-0000-0C00-000001000000}" name="Date" dataDxfId="72"/>
    <tableColumn id="2" xr3:uid="{00000000-0010-0000-0C00-000002000000}" name="Open" dataCellStyle="Currency"/>
    <tableColumn id="3" xr3:uid="{00000000-0010-0000-0C00-000003000000}" name="High" dataCellStyle="Currency"/>
    <tableColumn id="4" xr3:uid="{00000000-0010-0000-0C00-000004000000}" name="Low" dataCellStyle="Currency"/>
    <tableColumn id="5" xr3:uid="{00000000-0010-0000-0C00-000005000000}" name="Close" dataCellStyle="Currency"/>
    <tableColumn id="6" xr3:uid="{00000000-0010-0000-0C00-000006000000}" name="Adj Close" dataCellStyle="Currency"/>
    <tableColumn id="7" xr3:uid="{00000000-0010-0000-0C00-000007000000}" name="Volume"/>
    <tableColumn id="8" xr3:uid="{00000000-0010-0000-0C00-000008000000}" name="EMA" dataCellStyle="Currency">
      <calculatedColumnFormula>IF(tbl_FDX[[#This Row],[Date]]=$A$5, $F5, EMA_Beta*$H4 + (1-EMA_Beta)*$F5)</calculatedColumnFormula>
    </tableColumn>
    <tableColumn id="9" xr3:uid="{00000000-0010-0000-0C00-000009000000}" name="RSI" dataDxfId="71">
      <calculatedColumnFormula>IF(tbl_FDX[[#This Row],[RS]]= "", "", 100-(100/(1+tbl_FDX[[#This Row],[RS]])))</calculatedColumnFormula>
    </tableColumn>
    <tableColumn id="10" xr3:uid="{00000000-0010-0000-0C00-00000A000000}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C00-00000B000000}" name="BB_Upper" dataCellStyle="Currency">
      <calculatedColumnFormula>IF(tbl_FDX[[#This Row],[BB_Mean]]="", "", tbl_FDX[[#This Row],[BB_Mean]]+(BB_Width*tbl_FDX[[#This Row],[BB_Stdev]]))</calculatedColumnFormula>
    </tableColumn>
    <tableColumn id="12" xr3:uid="{00000000-0010-0000-0C00-00000C000000}" name="BB_Lower" dataDxfId="70" dataCellStyle="Currency">
      <calculatedColumnFormula>IF(tbl_FDX[[#This Row],[BB_Mean]]="", "", tbl_FDX[[#This Row],[BB_Mean]]-(BB_Width*tbl_FDX[[#This Row],[BB_Stdev]]))</calculatedColumnFormula>
    </tableColumn>
    <tableColumn id="13" xr3:uid="{00000000-0010-0000-0C00-00000D000000}" name="Move" dataDxfId="69">
      <calculatedColumnFormula>IF(ROW(tbl_FDX[[#This Row],[Adj Close]])=5, 0, $F5-$F4)</calculatedColumnFormula>
    </tableColumn>
    <tableColumn id="14" xr3:uid="{00000000-0010-0000-0C00-00000E000000}" name="Upmove" dataDxfId="68">
      <calculatedColumnFormula>MAX(tbl_FDX[[#This Row],[Move]],0)</calculatedColumnFormula>
    </tableColumn>
    <tableColumn id="15" xr3:uid="{00000000-0010-0000-0C00-00000F000000}" name="Downmove" dataDxfId="67">
      <calculatedColumnFormula>MAX(-tbl_FDX[[#This Row],[Move]],0)</calculatedColumnFormula>
    </tableColumn>
    <tableColumn id="16" xr3:uid="{00000000-0010-0000-0C00-000010000000}" name="Avg_Upmove" dataDxfId="6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C00-000011000000}" name="Avg_Downmove" dataDxfId="6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C00-000012000000}" name="RS" dataDxfId="64">
      <calculatedColumnFormula>IF(tbl_FDX[[#This Row],[Avg_Upmove]]="", "", tbl_FDX[[#This Row],[Avg_Upmove]]/tbl_FDX[[#This Row],[Avg_Downmove]])</calculatedColumnFormula>
    </tableColumn>
    <tableColumn id="19" xr3:uid="{00000000-0010-0000-0C00-000013000000}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bl_NKLA" displayName="tbl_NKLA" ref="A4:S37" totalsRowShown="0">
  <autoFilter ref="A4:S37" xr:uid="{00000000-0009-0000-0100-000011000000}"/>
  <tableColumns count="19">
    <tableColumn id="1" xr3:uid="{00000000-0010-0000-0D00-000001000000}" name="Date"/>
    <tableColumn id="2" xr3:uid="{00000000-0010-0000-0D00-000002000000}" name="Open"/>
    <tableColumn id="3" xr3:uid="{00000000-0010-0000-0D00-000003000000}" name="High"/>
    <tableColumn id="4" xr3:uid="{00000000-0010-0000-0D00-000004000000}" name="Low"/>
    <tableColumn id="5" xr3:uid="{00000000-0010-0000-0D00-000005000000}" name="Close"/>
    <tableColumn id="6" xr3:uid="{00000000-0010-0000-0D00-000006000000}" name="Adj Close"/>
    <tableColumn id="7" xr3:uid="{00000000-0010-0000-0D00-000007000000}" name="Volume"/>
    <tableColumn id="8" xr3:uid="{00000000-0010-0000-0D00-000008000000}" name="EMA" dataCellStyle="Currency">
      <calculatedColumnFormula>IF(tbl_NKLA[[#This Row],[Date]]=$A$5, $F5, EMA_Beta*$H4 + (1-EMA_Beta)*$F5)</calculatedColumnFormula>
    </tableColumn>
    <tableColumn id="9" xr3:uid="{00000000-0010-0000-0D00-000009000000}" name="RSI" dataDxfId="63">
      <calculatedColumnFormula>IF(tbl_NKLA[[#This Row],[RS]]= "", "", 100-(100/(1+tbl_NKLA[[#This Row],[RS]])))</calculatedColumnFormula>
    </tableColumn>
    <tableColumn id="10" xr3:uid="{00000000-0010-0000-0D00-00000A000000}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D00-00000B000000}" name="BB_Upper" dataCellStyle="Currency">
      <calculatedColumnFormula>IF(tbl_NKLA[[#This Row],[BB_Mean]]="", "", tbl_NKLA[[#This Row],[BB_Mean]]+(BB_Width*tbl_NKLA[[#This Row],[BB_Stdev]]))</calculatedColumnFormula>
    </tableColumn>
    <tableColumn id="12" xr3:uid="{00000000-0010-0000-0D00-00000C000000}" name="BB_Lower" dataCellStyle="Currency">
      <calculatedColumnFormula>IF(tbl_NKLA[[#This Row],[BB_Mean]]="", "", tbl_NKLA[[#This Row],[BB_Mean]]-(BB_Width*tbl_NKLA[[#This Row],[BB_Stdev]]))</calculatedColumnFormula>
    </tableColumn>
    <tableColumn id="13" xr3:uid="{00000000-0010-0000-0D00-00000D000000}" name="Move" dataDxfId="62">
      <calculatedColumnFormula>IF(ROW(tbl_NKLA[[#This Row],[Adj Close]])=5, 0, $F5-$F4)</calculatedColumnFormula>
    </tableColumn>
    <tableColumn id="14" xr3:uid="{00000000-0010-0000-0D00-00000E000000}" name="Upmove" dataDxfId="61">
      <calculatedColumnFormula>MAX(tbl_NKLA[[#This Row],[Move]],0)</calculatedColumnFormula>
    </tableColumn>
    <tableColumn id="15" xr3:uid="{00000000-0010-0000-0D00-00000F000000}" name="Downmove" dataDxfId="60">
      <calculatedColumnFormula>MAX(-tbl_NKLA[[#This Row],[Move]],0)</calculatedColumnFormula>
    </tableColumn>
    <tableColumn id="16" xr3:uid="{00000000-0010-0000-0D00-000010000000}" name="Avg_Upmove" dataDxfId="5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D00-000011000000}" name="Avg_Downmove" dataDxfId="5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D00-000012000000}" name="RS" dataDxfId="57">
      <calculatedColumnFormula>IF(tbl_NKLA[[#This Row],[Avg_Upmove]]="", "", tbl_NKLA[[#This Row],[Avg_Upmove]]/tbl_NKLA[[#This Row],[Avg_Downmove]])</calculatedColumnFormula>
    </tableColumn>
    <tableColumn id="19" xr3:uid="{00000000-0010-0000-0D00-000013000000}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bl_SPXS" displayName="tbl_SPXS" ref="A4:S37" totalsRowShown="0">
  <autoFilter ref="A4:S37" xr:uid="{00000000-0009-0000-0100-000012000000}"/>
  <tableColumns count="19">
    <tableColumn id="1" xr3:uid="{00000000-0010-0000-0E00-000001000000}" name="Date" dataDxfId="56"/>
    <tableColumn id="2" xr3:uid="{00000000-0010-0000-0E00-000002000000}" name="Open" dataCellStyle="Currency"/>
    <tableColumn id="3" xr3:uid="{00000000-0010-0000-0E00-000003000000}" name="High" dataCellStyle="Currency"/>
    <tableColumn id="4" xr3:uid="{00000000-0010-0000-0E00-000004000000}" name="Low" dataCellStyle="Currency"/>
    <tableColumn id="5" xr3:uid="{00000000-0010-0000-0E00-000005000000}" name="Close" dataCellStyle="Currency"/>
    <tableColumn id="6" xr3:uid="{00000000-0010-0000-0E00-000006000000}" name="Adj Close" dataCellStyle="Currency"/>
    <tableColumn id="7" xr3:uid="{00000000-0010-0000-0E00-000007000000}" name="Volume"/>
    <tableColumn id="8" xr3:uid="{00000000-0010-0000-0E00-000008000000}" name="EMA" dataCellStyle="Currency">
      <calculatedColumnFormula>IF(tbl_SPXS[[#This Row],[Date]]=$A$5, $F5, EMA_Beta*$H4 + (1-EMA_Beta)*$F5)</calculatedColumnFormula>
    </tableColumn>
    <tableColumn id="9" xr3:uid="{00000000-0010-0000-0E00-000009000000}" name="RSI" dataDxfId="55">
      <calculatedColumnFormula>IF(tbl_SPXS[[#This Row],[RS]]= "", "", 100-(100/(1+tbl_SPXS[[#This Row],[RS]])))</calculatedColumnFormula>
    </tableColumn>
    <tableColumn id="10" xr3:uid="{00000000-0010-0000-0E00-00000A000000}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E00-00000B000000}" name="BB_Upper" dataCellStyle="Currency">
      <calculatedColumnFormula>IF(tbl_SPXS[[#This Row],[BB_Mean]]="", "", tbl_SPXS[[#This Row],[BB_Mean]]+(BB_Width*tbl_SPXS[[#This Row],[BB_Stdev]]))</calculatedColumnFormula>
    </tableColumn>
    <tableColumn id="12" xr3:uid="{00000000-0010-0000-0E00-00000C000000}" name="BB_Lower" dataCellStyle="Currency">
      <calculatedColumnFormula>IF(tbl_SPXS[[#This Row],[BB_Mean]]="", "", tbl_SPXS[[#This Row],[BB_Mean]]-(BB_Width*tbl_SPXS[[#This Row],[BB_Stdev]]))</calculatedColumnFormula>
    </tableColumn>
    <tableColumn id="13" xr3:uid="{00000000-0010-0000-0E00-00000D000000}" name="Move" dataDxfId="54">
      <calculatedColumnFormula>IF(ROW(tbl_SPXS[[#This Row],[Adj Close]])=5, 0, $F5-$F4)</calculatedColumnFormula>
    </tableColumn>
    <tableColumn id="14" xr3:uid="{00000000-0010-0000-0E00-00000E000000}" name="Upmove" dataDxfId="53">
      <calculatedColumnFormula>MAX(tbl_SPXS[[#This Row],[Move]],0)</calculatedColumnFormula>
    </tableColumn>
    <tableColumn id="15" xr3:uid="{00000000-0010-0000-0E00-00000F000000}" name="Downmove" dataDxfId="52">
      <calculatedColumnFormula>MAX(-tbl_SPXS[[#This Row],[Move]],0)</calculatedColumnFormula>
    </tableColumn>
    <tableColumn id="16" xr3:uid="{00000000-0010-0000-0E00-000010000000}" name="Avg_Upmove" dataDxfId="5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E00-000011000000}" name="Avg_Downmove" dataDxfId="5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E00-000012000000}" name="RS" dataDxfId="49">
      <calculatedColumnFormula>IF(tbl_SPXS[[#This Row],[Avg_Upmove]]="", "", tbl_SPXS[[#This Row],[Avg_Upmove]]/tbl_SPXS[[#This Row],[Avg_Downmove]])</calculatedColumnFormula>
    </tableColumn>
    <tableColumn id="19" xr3:uid="{00000000-0010-0000-0E00-000013000000}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tbl_holdings" displayName="tbl_holdings" ref="B4:F15" totalsRowCount="1">
  <autoFilter ref="B4:F14" xr:uid="{00000000-0009-0000-0100-00000B000000}"/>
  <tableColumns count="5">
    <tableColumn id="1" xr3:uid="{00000000-0010-0000-0F00-000001000000}" name="Index" totalsRowLabel="Total"/>
    <tableColumn id="2" xr3:uid="{00000000-0010-0000-0F00-000002000000}" name="Stock">
      <calculatedColumnFormula>INDEX(Symbol,B5)</calculatedColumnFormula>
    </tableColumn>
    <tableColumn id="3" xr3:uid="{00000000-0010-0000-0F00-000003000000}" name="Current Price">
      <calculatedColumnFormula>INDEX(INDIRECT("tbl_"&amp;C5),COUNT(INDIRECT("tbl_"&amp;C5&amp;"[Date]")), MATCH("Adj close", Price_Header,0))</calculatedColumnFormula>
    </tableColumn>
    <tableColumn id="4" xr3:uid="{00000000-0010-0000-0F00-000004000000}" name="# Holdings">
      <calculatedColumnFormula>INDEX(tbl_position[], COUNT(tbl_position[Date]), MATCH("Shares_"&amp;C5, pos_header,0))</calculatedColumnFormula>
    </tableColumn>
    <tableColumn id="5" xr3:uid="{00000000-0010-0000-0F00-000005000000}" name="Total" totalsRowFunction="sum" dataDxfId="48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bl_transsummary" displayName="tbl_transsummary" ref="J4:P10" totalsRowShown="0">
  <autoFilter ref="J4:P10" xr:uid="{00000000-0009-0000-0100-00000F000000}"/>
  <tableColumns count="7">
    <tableColumn id="1" xr3:uid="{00000000-0010-0000-1000-000001000000}" name="Index"/>
    <tableColumn id="2" xr3:uid="{00000000-0010-0000-1000-000002000000}" name="Start" dataDxfId="47">
      <calculatedColumnFormula>K4+7</calculatedColumnFormula>
    </tableColumn>
    <tableColumn id="3" xr3:uid="{00000000-0010-0000-1000-000003000000}" name="End" dataDxfId="46">
      <calculatedColumnFormula>L4+7</calculatedColumnFormula>
    </tableColumn>
    <tableColumn id="4" xr3:uid="{00000000-0010-0000-1000-000004000000}" name="BUY" dataDxfId="45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xr3:uid="{00000000-0010-0000-1000-000005000000}" name="SELL" dataDxfId="44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xr3:uid="{00000000-0010-0000-1000-000006000000}" name="SHORT" dataDxfId="43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xr3:uid="{00000000-0010-0000-1000-000007000000}" name="COVER" dataDxfId="42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ymbol" displayName="tbl_symbol" ref="A3:A13" totalsRowShown="0" headerRowDxfId="204">
  <autoFilter ref="A3:A13" xr:uid="{00000000-0009-0000-0100-000001000000}"/>
  <tableColumns count="1">
    <tableColumn id="1" xr3:uid="{00000000-0010-0000-0100-000001000000}" name="Symbo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transtype" displayName="tbl_transtype" ref="C3:C7" totalsRowShown="0" headerRowDxfId="203">
  <autoFilter ref="C3:C7" xr:uid="{00000000-0009-0000-0100-000002000000}"/>
  <tableColumns count="1">
    <tableColumn id="1" xr3:uid="{00000000-0010-0000-0200-000001000000}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bl_Metrics" displayName="tbl_Metrics" ref="E3:E6" totalsRowShown="0" headerRowDxfId="202">
  <autoFilter ref="E3:E6" xr:uid="{00000000-0009-0000-0100-000007000000}"/>
  <tableColumns count="1">
    <tableColumn id="1" xr3:uid="{00000000-0010-0000-0300-000001000000}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position" displayName="tbl_position" ref="A4:Y11" totalsRowCount="1">
  <autoFilter ref="A4:Y10" xr:uid="{00000000-0009-0000-0100-000004000000}"/>
  <tableColumns count="25">
    <tableColumn id="1" xr3:uid="{00000000-0010-0000-0400-000001000000}" name="Date" totalsRowLabel="Total" dataDxfId="201"/>
    <tableColumn id="2" xr3:uid="{00000000-0010-0000-0400-000002000000}" name="Price_AAPL" dataCellStyle="Currency">
      <calculatedColumnFormula>VLOOKUP(tbl_position[[#This Row],[Date]], tbl_AAPL[], 5, 0)</calculatedColumnFormula>
    </tableColumn>
    <tableColumn id="3" xr3:uid="{00000000-0010-0000-0400-000003000000}" name="Price_RIOT" dataDxfId="200" dataCellStyle="Currency">
      <calculatedColumnFormula>VLOOKUP(tbl_position[[#This Row],[Date]], tbl_RIOT[], 5, 0)</calculatedColumnFormula>
    </tableColumn>
    <tableColumn id="4" xr3:uid="{00000000-0010-0000-0400-000004000000}" name="Price_HD" totalsRowDxfId="199" dataCellStyle="Currency">
      <calculatedColumnFormula>VLOOKUP(tbl_position[[#This Row],[Date]], tbl_HD[], 5, 0)</calculatedColumnFormula>
    </tableColumn>
    <tableColumn id="5" xr3:uid="{00000000-0010-0000-0400-000005000000}" name="Price_WMT" dataDxfId="198" dataCellStyle="Currency">
      <calculatedColumnFormula>VLOOKUP(tbl_position[[#This Row],[Date]], tbl_WMT[], 5, 0)</calculatedColumnFormula>
    </tableColumn>
    <tableColumn id="6" xr3:uid="{00000000-0010-0000-0400-000006000000}" name="Price_IBM" dataDxfId="197" dataCellStyle="Currency">
      <calculatedColumnFormula>VLOOKUP(tbl_position[[#This Row],[Date]], tbl_IBM[], 5, 0)</calculatedColumnFormula>
    </tableColumn>
    <tableColumn id="7" xr3:uid="{00000000-0010-0000-0400-000007000000}" name="Price_ORCL" dataDxfId="196" dataCellStyle="Currency">
      <calculatedColumnFormula>VLOOKUP(tbl_position[[#This Row],[Date]], tbl_ORCL[], 5, 0)</calculatedColumnFormula>
    </tableColumn>
    <tableColumn id="20" xr3:uid="{00000000-0010-0000-0400-000014000000}" name="Price_AKRO" dataDxfId="195" dataCellStyle="Currency">
      <calculatedColumnFormula>VLOOKUP(tbl_position[[#This Row],[Date]], tbl_AKRO[], 5, 0)</calculatedColumnFormula>
    </tableColumn>
    <tableColumn id="19" xr3:uid="{00000000-0010-0000-0400-000013000000}" name="Price_FDX" dataDxfId="194" dataCellStyle="Currency">
      <calculatedColumnFormula>VLOOKUP(tbl_position[[#This Row],[Date]], tbl_FDX[], 5, 0)</calculatedColumnFormula>
    </tableColumn>
    <tableColumn id="21" xr3:uid="{00000000-0010-0000-0400-000015000000}" name="Price_NKLA" dataDxfId="193" dataCellStyle="Currency">
      <calculatedColumnFormula>VLOOKUP(tbl_position[[#This Row],[Date]], tbl_NKLA[], 5, 0)</calculatedColumnFormula>
    </tableColumn>
    <tableColumn id="22" xr3:uid="{00000000-0010-0000-0400-000016000000}" name="Price_SPXS" dataDxfId="192" dataCellStyle="Currency">
      <calculatedColumnFormula>VLOOKUP(tbl_position[[#This Row],[Date]], tbl_SPXS[], 5, 0)</calculatedColumnFormula>
    </tableColumn>
    <tableColumn id="8" xr3:uid="{00000000-0010-0000-0400-000008000000}" name="Shares_AAPL" dataDxfId="191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calculatedColumnFormula>
    </tableColumn>
    <tableColumn id="9" xr3:uid="{00000000-0010-0000-0400-000009000000}" name="Shares_RIOT" dataDxfId="190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calculatedColumnFormula>
    </tableColumn>
    <tableColumn id="10" xr3:uid="{00000000-0010-0000-0400-00000A000000}" name="Shares_HD" dataDxfId="189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calculatedColumnFormula>
    </tableColumn>
    <tableColumn id="11" xr3:uid="{00000000-0010-0000-0400-00000B000000}" name="Shares_WMT" dataDxfId="188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calculatedColumnFormula>
    </tableColumn>
    <tableColumn id="12" xr3:uid="{00000000-0010-0000-0400-00000C000000}" name="Shares_IBM" dataDxfId="187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calculatedColumnFormula>
    </tableColumn>
    <tableColumn id="13" xr3:uid="{00000000-0010-0000-0400-00000D000000}" name="Shares_ORCL" dataDxfId="186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calculatedColumnFormula>
    </tableColumn>
    <tableColumn id="26" xr3:uid="{00000000-0010-0000-0400-00001A000000}" name="Shares_AKRO" dataDxfId="185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calculatedColumnFormula>
    </tableColumn>
    <tableColumn id="25" xr3:uid="{00000000-0010-0000-0400-000019000000}" name="Shares_FDX" dataDxfId="184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calculatedColumnFormula>
    </tableColumn>
    <tableColumn id="24" xr3:uid="{00000000-0010-0000-0400-000018000000}" name="Shares_NKLA" dataDxfId="183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calculatedColumnFormula>
    </tableColumn>
    <tableColumn id="23" xr3:uid="{00000000-0010-0000-0400-000017000000}" name="Shares_SPXS" dataDxfId="182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calculatedColumnFormula>
    </tableColumn>
    <tableColumn id="14" xr3:uid="{00000000-0010-0000-0400-00000E000000}" name="Shares_Holding" dataCellStyle="Currency">
      <calculatedColumnFormula xml:space="preserve"> SUMPRODUCT(INDIRECT(ADDRESS(ROW(V5), 2)):INDIRECT(ADDRESS(ROW(V5), MATCH("Shares_AAPL", pos_header,0)-1)), INDIRECT(ADDRESS(ROW(V5), MATCH("Shares_AAPL", pos_header,0))): INDIRECT(ADDRESS(ROW(V5), MATCH("Shares_Holding", pos_header,0)-1)))</calculatedColumnFormula>
    </tableColumn>
    <tableColumn id="15" xr3:uid="{00000000-0010-0000-0400-00000F000000}" name="Cash_Holding" dataDxfId="181" totalsRowDxfId="180" dataCellStyle="Currency">
      <calculatedColumnFormula>SUMIFS(tbl_transaction[Net_Cash_Change], tbl_transaction[Transaction_Date],tbl_position[[#This Row],[Date]])+IF(tbl_position[[#This Row],[Date]]=$A$5, 100000, $W4)</calculatedColumnFormula>
    </tableColumn>
    <tableColumn id="16" xr3:uid="{00000000-0010-0000-0400-000010000000}" name="Liabilities_Holding" dataDxfId="179">
      <calculatedColumnFormula>SUMIFS(tbl_transaction[Net_Debt_Change], tbl_transaction[Transaction_Date],tbl_position[[#This Row],[Date]])+IF(tbl_position[[#This Row],[Date]]=$A$5, 0, $X4)</calculatedColumnFormula>
    </tableColumn>
    <tableColumn id="18" xr3:uid="{00000000-0010-0000-0400-000012000000}" name="Total_Net_Asset" dataDxfId="178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HD" displayName="tbl_HD" ref="A4:S38" totalsRowCount="1">
  <autoFilter ref="A4:S37" xr:uid="{00000000-0009-0000-0100-000005000000}"/>
  <tableColumns count="19">
    <tableColumn id="1" xr3:uid="{00000000-0010-0000-0500-000001000000}" name="Date" totalsRowLabel="Total" dataDxfId="177"/>
    <tableColumn id="2" xr3:uid="{00000000-0010-0000-0500-000002000000}" name="Open" dataDxfId="176"/>
    <tableColumn id="3" xr3:uid="{00000000-0010-0000-0500-000003000000}" name="High" dataDxfId="175"/>
    <tableColumn id="4" xr3:uid="{00000000-0010-0000-0500-000004000000}" name="Low" dataDxfId="174"/>
    <tableColumn id="5" xr3:uid="{00000000-0010-0000-0500-000005000000}" name="Close" dataDxfId="173"/>
    <tableColumn id="6" xr3:uid="{00000000-0010-0000-0500-000006000000}" name="Adj Close" dataDxfId="172"/>
    <tableColumn id="7" xr3:uid="{00000000-0010-0000-0500-000007000000}" name="Volume"/>
    <tableColumn id="8" xr3:uid="{00000000-0010-0000-0500-000008000000}" name="EMA" totalsRowDxfId="4" dataCellStyle="Currency">
      <calculatedColumnFormula>IF(tbl_HD[[#This Row],[Date]]=$A$5, $F5, EMA_Beta*$H4 + (1-EMA_Beta)*$F5)</calculatedColumnFormula>
    </tableColumn>
    <tableColumn id="9" xr3:uid="{00000000-0010-0000-0500-000009000000}" name="RSI" dataDxfId="171">
      <calculatedColumnFormula>IF(tbl_HD[[#This Row],[RS]]= "", "", 100-(100/(1+tbl_HD[[#This Row],[RS]])))</calculatedColumnFormula>
    </tableColumn>
    <tableColumn id="10" xr3:uid="{00000000-0010-0000-0500-00000A000000}" name="BB_Mean" totalsRowDxfId="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500-00000B000000}" name="BB_Upper" dataDxfId="170" totalsRowDxfId="2" dataCellStyle="Currency">
      <calculatedColumnFormula>IF(tbl_HD[[#This Row],[BB_Mean]]="", "", tbl_HD[[#This Row],[BB_Mean]]+(BB_Width*tbl_HD[[#This Row],[BB_Stdev]]))</calculatedColumnFormula>
    </tableColumn>
    <tableColumn id="12" xr3:uid="{00000000-0010-0000-0500-00000C000000}" name="BB_Lower" dataDxfId="169" totalsRowDxfId="1" dataCellStyle="Currency">
      <calculatedColumnFormula>IF(tbl_HD[[#This Row],[BB_Mean]]="", "", tbl_HD[[#This Row],[BB_Mean]]-(BB_Width*tbl_HD[[#This Row],[BB_Stdev]]))</calculatedColumnFormula>
    </tableColumn>
    <tableColumn id="13" xr3:uid="{00000000-0010-0000-0500-00000D000000}" name="Move" dataDxfId="168">
      <calculatedColumnFormula>IF(ROW(tbl_HD[[#This Row],[Adj Close]])=5, 0, $F5-$F4)</calculatedColumnFormula>
    </tableColumn>
    <tableColumn id="14" xr3:uid="{00000000-0010-0000-0500-00000E000000}" name="Upmove" dataDxfId="167">
      <calculatedColumnFormula>MAX(tbl_HD[[#This Row],[Move]],0)</calculatedColumnFormula>
    </tableColumn>
    <tableColumn id="15" xr3:uid="{00000000-0010-0000-0500-00000F000000}" name="Downmove" dataDxfId="166">
      <calculatedColumnFormula>MAX(-tbl_HD[[#This Row],[Move]],0)</calculatedColumnFormula>
    </tableColumn>
    <tableColumn id="16" xr3:uid="{00000000-0010-0000-0500-000010000000}" name="Avg_Upmove" dataDxfId="16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500-000011000000}" name="Avg_Downmove" dataDxfId="16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500-000012000000}" name="RS" dataDxfId="163">
      <calculatedColumnFormula>IF(tbl_HD[[#This Row],[Avg_Upmove]]="", "", tbl_HD[[#This Row],[Avg_Upmove]]/tbl_HD[[#This Row],[Avg_Downmove]])</calculatedColumnFormula>
    </tableColumn>
    <tableColumn id="19" xr3:uid="{00000000-0010-0000-0500-000013000000}" name="BB_Stdev" totalsRowFunction="count" totalsRowDxfId="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bl_AAPL" displayName="tbl_AAPL" ref="A4:S38" totalsRowCount="1">
  <autoFilter ref="A4:S37" xr:uid="{00000000-0009-0000-0100-000006000000}"/>
  <tableColumns count="19">
    <tableColumn id="1" xr3:uid="{00000000-0010-0000-0600-000001000000}" name="Date" totalsRowLabel="Total" dataDxfId="162"/>
    <tableColumn id="2" xr3:uid="{00000000-0010-0000-0600-000002000000}" name="Open" totalsRowDxfId="21" dataCellStyle="Currency"/>
    <tableColumn id="3" xr3:uid="{00000000-0010-0000-0600-000003000000}" name="High" totalsRowDxfId="20" dataCellStyle="Currency"/>
    <tableColumn id="4" xr3:uid="{00000000-0010-0000-0600-000004000000}" name="Low" totalsRowDxfId="19" dataCellStyle="Currency"/>
    <tableColumn id="5" xr3:uid="{00000000-0010-0000-0600-000005000000}" name="Close" totalsRowDxfId="18" dataCellStyle="Currency"/>
    <tableColumn id="6" xr3:uid="{00000000-0010-0000-0600-000006000000}" name="Adj Close" totalsRowDxfId="17" dataCellStyle="Currency"/>
    <tableColumn id="7" xr3:uid="{00000000-0010-0000-0600-000007000000}" name="Volume"/>
    <tableColumn id="8" xr3:uid="{00000000-0010-0000-0600-000008000000}" name="EMA" dataDxfId="161" totalsRowDxfId="16" dataCellStyle="Currency">
      <calculatedColumnFormula>IF(tbl_AAPL[[#This Row],[Date]]=$A$5, $F5, EMA_Beta*$H4 + (1-EMA_Beta)*$F5)</calculatedColumnFormula>
    </tableColumn>
    <tableColumn id="9" xr3:uid="{00000000-0010-0000-0600-000009000000}" name="RSI" dataDxfId="160" totalsRowDxfId="15" dataCellStyle="Currency">
      <calculatedColumnFormula>IF(tbl_AAPL[[#This Row],[RS]]= "", "", 100-(100/(1+tbl_AAPL[[#This Row],[RS]])))</calculatedColumnFormula>
    </tableColumn>
    <tableColumn id="10" xr3:uid="{00000000-0010-0000-0600-00000A000000}" name="BB_Mean" dataDxfId="159" totalsRowDxfId="14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600-00000B000000}" name="BB_Upper" dataDxfId="158" totalsRowDxfId="13" dataCellStyle="Currency">
      <calculatedColumnFormula>IF(tbl_AAPL[[#This Row],[BB_Mean]]="", "", tbl_AAPL[[#This Row],[BB_Mean]]+(BB_Width*tbl_AAPL[[#This Row],[BB_Stdev]]))</calculatedColumnFormula>
    </tableColumn>
    <tableColumn id="12" xr3:uid="{00000000-0010-0000-0600-00000C000000}" name="BB_Lower" dataDxfId="157" totalsRowDxfId="12" dataCellStyle="Currency">
      <calculatedColumnFormula>IF(tbl_AAPL[[#This Row],[BB_Mean]]="", "", tbl_AAPL[[#This Row],[BB_Mean]]-(BB_Width*tbl_AAPL[[#This Row],[BB_Stdev]]))</calculatedColumnFormula>
    </tableColumn>
    <tableColumn id="13" xr3:uid="{00000000-0010-0000-0600-00000D000000}" name="Move" dataDxfId="156" totalsRowDxfId="11" dataCellStyle="Currency">
      <calculatedColumnFormula>IF(ROW(tbl_AAPL[[#This Row],[Adj Close]])=5, 0, $F5-$F4)</calculatedColumnFormula>
    </tableColumn>
    <tableColumn id="14" xr3:uid="{00000000-0010-0000-0600-00000E000000}" name="Upmove" dataDxfId="155" totalsRowDxfId="10" dataCellStyle="Currency">
      <calculatedColumnFormula>MAX(tbl_AAPL[[#This Row],[Move]],0)</calculatedColumnFormula>
    </tableColumn>
    <tableColumn id="15" xr3:uid="{00000000-0010-0000-0600-00000F000000}" name="Downmove" dataDxfId="154" totalsRowDxfId="9" dataCellStyle="Currency">
      <calculatedColumnFormula>MAX(-tbl_AAPL[[#This Row],[Move]],0)</calculatedColumnFormula>
    </tableColumn>
    <tableColumn id="16" xr3:uid="{00000000-0010-0000-0600-000010000000}" name="Avg_Upmove" dataDxfId="153" totalsRowDxfId="8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600-000011000000}" name="Avg_Downmove" dataDxfId="152" totalsRowDxfId="7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600-000012000000}" name="RS" dataDxfId="151" totalsRowDxfId="6" dataCellStyle="Currency">
      <calculatedColumnFormula>IF(tbl_AAPL[[#This Row],[Avg_Upmove]]="", "", tbl_AAPL[[#This Row],[Avg_Upmove]]/tbl_AAPL[[#This Row],[Avg_Downmove]])</calculatedColumnFormula>
    </tableColumn>
    <tableColumn id="19" xr3:uid="{00000000-0010-0000-0600-000013000000}" name="BB_Stdev" totalsRowFunction="count" dataDxfId="150" totalsRowDxfId="5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bl_WMT" displayName="tbl_WMT" ref="A4:S38" totalsRowCount="1">
  <autoFilter ref="A4:S37" xr:uid="{00000000-0009-0000-0100-000009000000}"/>
  <tableColumns count="19">
    <tableColumn id="1" xr3:uid="{00000000-0010-0000-0700-000001000000}" name="Date" totalsRowLabel="Total" dataDxfId="149"/>
    <tableColumn id="2" xr3:uid="{00000000-0010-0000-0700-000002000000}" name="Open" dataDxfId="148"/>
    <tableColumn id="3" xr3:uid="{00000000-0010-0000-0700-000003000000}" name="High" dataDxfId="147"/>
    <tableColumn id="4" xr3:uid="{00000000-0010-0000-0700-000004000000}" name="Low" dataDxfId="146"/>
    <tableColumn id="5" xr3:uid="{00000000-0010-0000-0700-000005000000}" name="Close" dataDxfId="145"/>
    <tableColumn id="6" xr3:uid="{00000000-0010-0000-0700-000006000000}" name="Adj Close" dataDxfId="144"/>
    <tableColumn id="7" xr3:uid="{00000000-0010-0000-0700-000007000000}" name="Volume"/>
    <tableColumn id="8" xr3:uid="{00000000-0010-0000-0700-000008000000}" name="EMA" dataDxfId="143">
      <calculatedColumnFormula>IF(tbl_WMT[[#This Row],[Date]]=$A$5, $F5, EMA_Beta*$H4 + (1-EMA_Beta)*$F5)</calculatedColumnFormula>
    </tableColumn>
    <tableColumn id="9" xr3:uid="{00000000-0010-0000-0700-000009000000}" name="RSI" dataDxfId="142" totalsRowDxfId="22" dataCellStyle="Currency">
      <calculatedColumnFormula>IF(tbl_WMT[[#This Row],[RS]]= "", "", 100-(100/(1+tbl_WMT[[#This Row],[RS]])))</calculatedColumnFormula>
    </tableColumn>
    <tableColumn id="10" xr3:uid="{00000000-0010-0000-0700-00000A000000}" name="BB_Mean" dataDxfId="141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700-00000B000000}" name="BB_Upper" dataDxfId="140">
      <calculatedColumnFormula>IF(tbl_WMT[[#This Row],[BB_Mean]]="", "", tbl_WMT[[#This Row],[BB_Mean]]+(BB_Width*tbl_WMT[[#This Row],[BB_Stdev]]))</calculatedColumnFormula>
    </tableColumn>
    <tableColumn id="12" xr3:uid="{00000000-0010-0000-0700-00000C000000}" name="BB_Lower" dataDxfId="139">
      <calculatedColumnFormula>IF(tbl_WMT[[#This Row],[BB_Mean]]="", "", tbl_WMT[[#This Row],[BB_Mean]]-(BB_Width*tbl_WMT[[#This Row],[BB_Stdev]]))</calculatedColumnFormula>
    </tableColumn>
    <tableColumn id="13" xr3:uid="{00000000-0010-0000-0700-00000D000000}" name="Move" dataDxfId="138">
      <calculatedColumnFormula>IF(ROW(tbl_WMT[[#This Row],[Adj Close]])=5, 0, $F5-$F4)</calculatedColumnFormula>
    </tableColumn>
    <tableColumn id="14" xr3:uid="{00000000-0010-0000-0700-00000E000000}" name="Upmove" dataDxfId="137">
      <calculatedColumnFormula>MAX(tbl_WMT[[#This Row],[Move]],0)</calculatedColumnFormula>
    </tableColumn>
    <tableColumn id="15" xr3:uid="{00000000-0010-0000-0700-00000F000000}" name="Downmove" dataDxfId="136">
      <calculatedColumnFormula>MAX(-tbl_WMT[[#This Row],[Move]],0)</calculatedColumnFormula>
    </tableColumn>
    <tableColumn id="16" xr3:uid="{00000000-0010-0000-0700-000010000000}" name="Avg_Upmove" dataDxfId="13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700-000011000000}" name="Avg_Downmove" dataDxfId="13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700-000012000000}" name="RS" dataDxfId="133">
      <calculatedColumnFormula>IF(tbl_WMT[[#This Row],[Avg_Upmove]]="", "", tbl_WMT[[#This Row],[Avg_Upmove]]/tbl_WMT[[#This Row],[Avg_Downmove]])</calculatedColumnFormula>
    </tableColumn>
    <tableColumn id="19" xr3:uid="{00000000-0010-0000-0700-000013000000}" name="BB_Stdev" totalsRowFunction="count" dataDxfId="132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bl_RIOT" displayName="tbl_RIOT" ref="A4:S38" totalsRowCount="1">
  <autoFilter ref="A4:S37" xr:uid="{00000000-0009-0000-0100-00000A000000}"/>
  <tableColumns count="19">
    <tableColumn id="1" xr3:uid="{00000000-0010-0000-0800-000001000000}" name="Date" totalsRowLabel="Total" dataDxfId="131"/>
    <tableColumn id="2" xr3:uid="{00000000-0010-0000-0800-000002000000}" name="Open" dataDxfId="130"/>
    <tableColumn id="3" xr3:uid="{00000000-0010-0000-0800-000003000000}" name="High" dataDxfId="129"/>
    <tableColumn id="4" xr3:uid="{00000000-0010-0000-0800-000004000000}" name="Low" dataDxfId="128"/>
    <tableColumn id="5" xr3:uid="{00000000-0010-0000-0800-000005000000}" name="Close" dataDxfId="127"/>
    <tableColumn id="6" xr3:uid="{00000000-0010-0000-0800-000006000000}" name="Adj Close" dataDxfId="126"/>
    <tableColumn id="7" xr3:uid="{00000000-0010-0000-0800-000007000000}" name="Volume"/>
    <tableColumn id="8" xr3:uid="{00000000-0010-0000-0800-000008000000}" name="EMA" dataDxfId="125">
      <calculatedColumnFormula>IF(tbl_RIOT[[#This Row],[Date]]=$A$5, $F5, EMA_Beta*$H4 + (1-EMA_Beta)*$F5)</calculatedColumnFormula>
    </tableColumn>
    <tableColumn id="9" xr3:uid="{00000000-0010-0000-0800-000009000000}" name="RSI" dataDxfId="124">
      <calculatedColumnFormula>IF(tbl_RIOT[[#This Row],[RS]]= "", "", 100-(100/(1+tbl_RIOT[[#This Row],[RS]])))</calculatedColumnFormula>
    </tableColumn>
    <tableColumn id="10" xr3:uid="{00000000-0010-0000-0800-00000A000000}" name="BB_Mean" dataDxfId="123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800-00000B000000}" name="BB_Upper" dataDxfId="122">
      <calculatedColumnFormula>IF(tbl_RIOT[[#This Row],[BB_Mean]]="", "", tbl_RIOT[[#This Row],[BB_Mean]]+(BB_Width*tbl_RIOT[[#This Row],[BB_Stdev]]))</calculatedColumnFormula>
    </tableColumn>
    <tableColumn id="12" xr3:uid="{00000000-0010-0000-0800-00000C000000}" name="BB_Lower" dataDxfId="121">
      <calculatedColumnFormula>IF(tbl_RIOT[[#This Row],[BB_Mean]]="", "", tbl_RIOT[[#This Row],[BB_Mean]]-(BB_Width*tbl_RIOT[[#This Row],[BB_Stdev]]))</calculatedColumnFormula>
    </tableColumn>
    <tableColumn id="13" xr3:uid="{00000000-0010-0000-0800-00000D000000}" name="Move" dataDxfId="120">
      <calculatedColumnFormula>IF(ROW(tbl_RIOT[[#This Row],[Adj Close]])=5, 0, $F5-$F4)</calculatedColumnFormula>
    </tableColumn>
    <tableColumn id="14" xr3:uid="{00000000-0010-0000-0800-00000E000000}" name="Upmove" dataDxfId="119">
      <calculatedColumnFormula>MAX(tbl_RIOT[[#This Row],[Move]],0)</calculatedColumnFormula>
    </tableColumn>
    <tableColumn id="15" xr3:uid="{00000000-0010-0000-0800-00000F000000}" name="Downmove" dataDxfId="118">
      <calculatedColumnFormula>MAX(-tbl_RIOT[[#This Row],[Move]],0)</calculatedColumnFormula>
    </tableColumn>
    <tableColumn id="16" xr3:uid="{00000000-0010-0000-0800-000010000000}" name="Avg_Upmove" dataDxfId="11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800-000011000000}" name="Avg_Downmove" dataDxfId="11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800-000012000000}" name="RS" dataDxfId="115">
      <calculatedColumnFormula>IF(tbl_RIOT[[#This Row],[Avg_Upmove]]="", "", tbl_RIOT[[#This Row],[Avg_Upmove]]/tbl_RIOT[[#This Row],[Avg_Downmove]])</calculatedColumnFormula>
    </tableColumn>
    <tableColumn id="19" xr3:uid="{00000000-0010-0000-0800-000013000000}" name="BB_Stdev" totalsRowFunction="count" dataDxfId="114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125"/>
  <sheetViews>
    <sheetView topLeftCell="A19" workbookViewId="0">
      <selection activeCell="M44" sqref="M44"/>
    </sheetView>
  </sheetViews>
  <sheetFormatPr defaultRowHeight="14.5" x14ac:dyDescent="0.35"/>
  <cols>
    <col min="10" max="10" width="10.81640625" customWidth="1"/>
  </cols>
  <sheetData>
    <row r="1" spans="1:9" ht="23.5" x14ac:dyDescent="0.55000000000000004">
      <c r="B1" s="5" t="s">
        <v>0</v>
      </c>
      <c r="C1" s="5"/>
      <c r="D1" s="5"/>
      <c r="E1" s="5"/>
      <c r="F1" s="6"/>
      <c r="G1" s="6"/>
      <c r="H1" s="6"/>
    </row>
    <row r="3" spans="1:9" ht="15.5" x14ac:dyDescent="0.3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35">
      <c r="B4" t="s">
        <v>3</v>
      </c>
    </row>
    <row r="5" spans="1:9" x14ac:dyDescent="0.35">
      <c r="B5" t="s">
        <v>4</v>
      </c>
    </row>
    <row r="6" spans="1:9" x14ac:dyDescent="0.35">
      <c r="B6" t="s">
        <v>10</v>
      </c>
    </row>
    <row r="8" spans="1:9" ht="15.5" x14ac:dyDescent="0.3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35">
      <c r="B9" t="s">
        <v>7</v>
      </c>
    </row>
    <row r="10" spans="1:9" x14ac:dyDescent="0.35">
      <c r="B10" t="s">
        <v>8</v>
      </c>
    </row>
    <row r="11" spans="1:9" x14ac:dyDescent="0.35">
      <c r="B11" t="s">
        <v>9</v>
      </c>
    </row>
    <row r="13" spans="1:9" ht="15.5" x14ac:dyDescent="0.3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35">
      <c r="B14" t="s">
        <v>13</v>
      </c>
    </row>
    <row r="15" spans="1:9" x14ac:dyDescent="0.35">
      <c r="B15" t="s">
        <v>14</v>
      </c>
    </row>
    <row r="18" spans="1:13" ht="19" thickBot="1" x14ac:dyDescent="0.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" thickBot="1" x14ac:dyDescent="0.4">
      <c r="A19" t="s">
        <v>88</v>
      </c>
      <c r="J19" s="34" t="s">
        <v>104</v>
      </c>
      <c r="K19" s="35" t="s">
        <v>105</v>
      </c>
      <c r="L19" s="35"/>
      <c r="M19" s="36"/>
    </row>
    <row r="20" spans="1:13" ht="15" thickBot="1" x14ac:dyDescent="0.4">
      <c r="A20" t="s">
        <v>89</v>
      </c>
      <c r="J20" s="38" t="s">
        <v>106</v>
      </c>
      <c r="K20" s="39" t="s">
        <v>107</v>
      </c>
      <c r="L20" s="32"/>
      <c r="M20" s="33"/>
    </row>
    <row r="21" spans="1:13" ht="16" thickBot="1" x14ac:dyDescent="0.4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3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3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3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3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3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3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3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3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3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3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3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3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3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3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3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" thickBot="1" x14ac:dyDescent="0.4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" thickBot="1" x14ac:dyDescent="0.4"/>
    <row r="39" spans="1:16" x14ac:dyDescent="0.3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" thickBot="1" x14ac:dyDescent="0.4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" thickBot="1" x14ac:dyDescent="0.4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3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3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3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3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3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" thickBot="1" x14ac:dyDescent="0.4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35">
      <c r="A49" t="s">
        <v>145</v>
      </c>
    </row>
    <row r="50" spans="1:10" ht="15" thickBot="1" x14ac:dyDescent="0.4">
      <c r="A50" t="s">
        <v>128</v>
      </c>
    </row>
    <row r="51" spans="1:10" ht="16" thickBot="1" x14ac:dyDescent="0.4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3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3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3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3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3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3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3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3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3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3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3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" thickBot="1" x14ac:dyDescent="0.4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35">
      <c r="A65" t="s">
        <v>146</v>
      </c>
    </row>
    <row r="66" spans="1:10" x14ac:dyDescent="0.35">
      <c r="A66" t="s">
        <v>147</v>
      </c>
    </row>
    <row r="68" spans="1:10" ht="18.5" x14ac:dyDescent="0.45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5" x14ac:dyDescent="0.45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5" x14ac:dyDescent="0.35">
      <c r="A99" t="s">
        <v>151</v>
      </c>
    </row>
    <row r="100" spans="1:9" x14ac:dyDescent="0.35">
      <c r="A100" t="s">
        <v>154</v>
      </c>
    </row>
    <row r="101" spans="1:9" x14ac:dyDescent="0.35">
      <c r="A101" t="s">
        <v>155</v>
      </c>
    </row>
    <row r="102" spans="1:9" x14ac:dyDescent="0.35">
      <c r="A102" t="s">
        <v>156</v>
      </c>
    </row>
    <row r="103" spans="1:9" ht="15.5" x14ac:dyDescent="0.35">
      <c r="A103" t="s">
        <v>152</v>
      </c>
    </row>
    <row r="104" spans="1:9" x14ac:dyDescent="0.35">
      <c r="A104" t="s">
        <v>157</v>
      </c>
    </row>
    <row r="105" spans="1:9" ht="15.5" x14ac:dyDescent="0.35">
      <c r="A105" t="s">
        <v>153</v>
      </c>
    </row>
    <row r="106" spans="1:9" x14ac:dyDescent="0.35">
      <c r="A106" t="s">
        <v>158</v>
      </c>
    </row>
    <row r="125" spans="2:9" ht="18.5" x14ac:dyDescent="0.45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8"/>
  <sheetViews>
    <sheetView topLeftCell="A28" zoomScale="175" workbookViewId="0">
      <selection activeCell="G38" sqref="G38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170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3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3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3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3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3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3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3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3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3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3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3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3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3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3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3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122.76</v>
      </c>
      <c r="G33">
        <v>5391600</v>
      </c>
      <c r="H33" s="48">
        <f>IF(tbl_IBM[[#This Row],[Date]]=$A$5, $F33, EMA_Beta*$H32 + (1-EMA_Beta)*$F33)</f>
        <v>123.52812357660245</v>
      </c>
      <c r="I33" s="46">
        <f ca="1">IF(tbl_IBM[[#This Row],[RS]]= "", "", 100-(100/(1+tbl_IBM[[#This Row],[RS]])))</f>
        <v>44.949714901568008</v>
      </c>
      <c r="J33" s="48">
        <f ca="1">IF(ROW($N33)-4&lt;BB_Periods, "", AVERAGE(INDIRECT(ADDRESS(ROW($F33)-RSI_Periods +1, MATCH("Adj Close", Price_Header,0))): INDIRECT(ADDRESS(ROW($F33),MATCH("Adj Close", Price_Header,0)))))</f>
        <v>123.11142771428571</v>
      </c>
      <c r="K33" s="48">
        <f ca="1">IF(tbl_IBM[[#This Row],[BB_Mean]]="", "", tbl_IBM[[#This Row],[BB_Mean]]+(BB_Width*tbl_IBM[[#This Row],[BB_Stdev]]))</f>
        <v>126.95282578922412</v>
      </c>
      <c r="L33" s="48">
        <f ca="1">IF(tbl_IBM[[#This Row],[BB_Mean]]="", "", tbl_IBM[[#This Row],[BB_Mean]]-(BB_Width*tbl_IBM[[#This Row],[BB_Stdev]]))</f>
        <v>119.2700296393473</v>
      </c>
      <c r="M33" s="46">
        <f>IF(ROW(tbl_IBM[[#This Row],[Adj Close]])=5, 0, $F33-$F32)</f>
        <v>-2.1599980000000016</v>
      </c>
      <c r="N33" s="46">
        <f>MAX(tbl_IBM[[#This Row],[Move]],0)</f>
        <v>0</v>
      </c>
      <c r="O33" s="46">
        <f>MAX(-tbl_IBM[[#This Row],[Move]],0)</f>
        <v>2.1599980000000016</v>
      </c>
      <c r="P33" s="46">
        <f ca="1">IF(ROW($N33)-5&lt;RSI_Periods, "", AVERAGE(INDIRECT(ADDRESS(ROW($N33)-RSI_Periods +1, MATCH("Upmove", Price_Header,0))): INDIRECT(ADDRESS(ROW($N33),MATCH("Upmove", Price_Header,0)))))</f>
        <v>0.73428557142857287</v>
      </c>
      <c r="Q33" s="46">
        <f ca="1">IF(ROW($O33)-5&lt;RSI_Periods, "", AVERAGE(INDIRECT(ADDRESS(ROW($O33)-RSI_Periods +1, MATCH("Downmove", Price_Header,0))): INDIRECT(ADDRESS(ROW($O33),MATCH("Downmove", Price_Header,0)))))</f>
        <v>0.89928557142857202</v>
      </c>
      <c r="R33" s="46">
        <f ca="1">IF(tbl_IBM[[#This Row],[Avg_Upmove]]="", "", tbl_IBM[[#This Row],[Avg_Upmove]]/tbl_IBM[[#This Row],[Avg_Downmove]])</f>
        <v>0.81652101930437271</v>
      </c>
      <c r="S33" s="48">
        <f ca="1">IF(ROW($N33)-4&lt;BB_Periods, "", _xlfn.STDEV.S(INDIRECT(ADDRESS(ROW($F33)-RSI_Periods +1, MATCH("Adj Close", Price_Header,0))): INDIRECT(ADDRESS(ROW($F33),MATCH("Adj Close", Price_Header,0)))))</f>
        <v>1.9206990374692083</v>
      </c>
    </row>
    <row r="34" spans="1:19" x14ac:dyDescent="0.3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120.25</v>
      </c>
      <c r="G34">
        <v>5311400</v>
      </c>
      <c r="H34" s="48">
        <f>IF(tbl_IBM[[#This Row],[Date]]=$A$5, $F34, EMA_Beta*$H33 + (1-EMA_Beta)*$F34)</f>
        <v>123.2003112189422</v>
      </c>
      <c r="I34" s="46">
        <f ca="1">IF(tbl_IBM[[#This Row],[RS]]= "", "", 100-(100/(1+tbl_IBM[[#This Row],[RS]])))</f>
        <v>43.522441199604053</v>
      </c>
      <c r="J34" s="48">
        <f ca="1">IF(ROW($N34)-4&lt;BB_Periods, "", AVERAGE(INDIRECT(ADDRESS(ROW($F34)-RSI_Periods +1, MATCH("Adj Close", Price_Header,0))): INDIRECT(ADDRESS(ROW($F34),MATCH("Adj Close", Price_Header,0)))))</f>
        <v>122.89285642857143</v>
      </c>
      <c r="K34" s="48">
        <f ca="1">IF(tbl_IBM[[#This Row],[BB_Mean]]="", "", tbl_IBM[[#This Row],[BB_Mean]]+(BB_Width*tbl_IBM[[#This Row],[BB_Stdev]]))</f>
        <v>127.02295655816515</v>
      </c>
      <c r="L34" s="48">
        <f ca="1">IF(tbl_IBM[[#This Row],[BB_Mean]]="", "", tbl_IBM[[#This Row],[BB_Mean]]-(BB_Width*tbl_IBM[[#This Row],[BB_Stdev]]))</f>
        <v>118.76275629897772</v>
      </c>
      <c r="M34" s="46">
        <f>IF(ROW(tbl_IBM[[#This Row],[Adj Close]])=5, 0, $F34-$F33)</f>
        <v>-2.5100000000000051</v>
      </c>
      <c r="N34" s="46">
        <f>MAX(tbl_IBM[[#This Row],[Move]],0)</f>
        <v>0</v>
      </c>
      <c r="O34" s="46">
        <f>MAX(-tbl_IBM[[#This Row],[Move]],0)</f>
        <v>2.5100000000000051</v>
      </c>
      <c r="P34" s="46">
        <f ca="1">IF(ROW($N34)-5&lt;RSI_Periods, "", AVERAGE(INDIRECT(ADDRESS(ROW($N34)-RSI_Periods +1, MATCH("Upmove", Price_Header,0))): INDIRECT(ADDRESS(ROW($N34),MATCH("Upmove", Price_Header,0)))))</f>
        <v>0.73428557142857287</v>
      </c>
      <c r="Q34" s="46">
        <f ca="1">IF(ROW($O34)-5&lt;RSI_Periods, "", AVERAGE(INDIRECT(ADDRESS(ROW($O34)-RSI_Periods +1, MATCH("Downmove", Price_Header,0))): INDIRECT(ADDRESS(ROW($O34),MATCH("Downmove", Price_Header,0)))))</f>
        <v>0.95285685714285806</v>
      </c>
      <c r="R34" s="46">
        <f ca="1">IF(tbl_IBM[[#This Row],[Avg_Upmove]]="", "", tbl_IBM[[#This Row],[Avg_Upmove]]/tbl_IBM[[#This Row],[Avg_Downmove]])</f>
        <v>0.77061477379753418</v>
      </c>
      <c r="S34" s="48">
        <f ca="1">IF(ROW($N34)-4&lt;BB_Periods, "", _xlfn.STDEV.S(INDIRECT(ADDRESS(ROW($F34)-RSI_Periods +1, MATCH("Adj Close", Price_Header,0))): INDIRECT(ADDRESS(ROW($F34),MATCH("Adj Close", Price_Header,0)))))</f>
        <v>2.0650500647968548</v>
      </c>
    </row>
    <row r="35" spans="1:19" x14ac:dyDescent="0.3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120.51</v>
      </c>
      <c r="G35">
        <v>2956300</v>
      </c>
      <c r="H35" s="48">
        <f>IF(tbl_IBM[[#This Row],[Date]]=$A$5, $F35, EMA_Beta*$H34 + (1-EMA_Beta)*$F35)</f>
        <v>122.93128009704799</v>
      </c>
      <c r="I35" s="46">
        <f ca="1">IF(tbl_IBM[[#This Row],[RS]]= "", "", 100-(100/(1+tbl_IBM[[#This Row],[RS]])))</f>
        <v>43.926012579240279</v>
      </c>
      <c r="J35" s="48">
        <f ca="1">IF(ROW($N35)-4&lt;BB_Periods, "", AVERAGE(INDIRECT(ADDRESS(ROW($F35)-RSI_Periods +1, MATCH("Adj Close", Price_Header,0))): INDIRECT(ADDRESS(ROW($F35),MATCH("Adj Close", Price_Header,0)))))</f>
        <v>122.68642771428571</v>
      </c>
      <c r="K35" s="48">
        <f ca="1">IF(tbl_IBM[[#This Row],[BB_Mean]]="", "", tbl_IBM[[#This Row],[BB_Mean]]+(BB_Width*tbl_IBM[[#This Row],[BB_Stdev]]))</f>
        <v>126.99248219044792</v>
      </c>
      <c r="L35" s="48">
        <f ca="1">IF(tbl_IBM[[#This Row],[BB_Mean]]="", "", tbl_IBM[[#This Row],[BB_Mean]]-(BB_Width*tbl_IBM[[#This Row],[BB_Stdev]]))</f>
        <v>118.38037323812351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0.74642814285714409</v>
      </c>
      <c r="Q35" s="46">
        <f ca="1">IF(ROW($O35)-5&lt;RSI_Periods, "", AVERAGE(INDIRECT(ADDRESS(ROW($O35)-RSI_Periods +1, MATCH("Downmove", Price_Header,0))): INDIRECT(ADDRESS(ROW($O35),MATCH("Downmove", Price_Header,0)))))</f>
        <v>0.95285685714285806</v>
      </c>
      <c r="R35" s="46">
        <f ca="1">IF(tbl_IBM[[#This Row],[Avg_Upmove]]="", "", tbl_IBM[[#This Row],[Avg_Upmove]]/tbl_IBM[[#This Row],[Avg_Downmove]])</f>
        <v>0.7833581059544551</v>
      </c>
      <c r="S35" s="48">
        <f ca="1">IF(ROW($N35)-4&lt;BB_Periods, "", _xlfn.STDEV.S(INDIRECT(ADDRESS(ROW($F35)-RSI_Periods +1, MATCH("Adj Close", Price_Header,0))): INDIRECT(ADDRESS(ROW($F35),MATCH("Adj Close", Price_Header,0)))))</f>
        <v>2.1530272380811031</v>
      </c>
    </row>
    <row r="36" spans="1:19" x14ac:dyDescent="0.3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118.83</v>
      </c>
      <c r="G36">
        <v>3937600</v>
      </c>
      <c r="H36" s="48">
        <f>IF(tbl_IBM[[#This Row],[Date]]=$A$5, $F36, EMA_Beta*$H35 + (1-EMA_Beta)*$F36)</f>
        <v>122.52115208734318</v>
      </c>
      <c r="I36" s="46">
        <f ca="1">IF(tbl_IBM[[#This Row],[RS]]= "", "", 100-(100/(1+tbl_IBM[[#This Row],[RS]])))</f>
        <v>27.404559081902391</v>
      </c>
      <c r="J36" s="48">
        <f ca="1">IF(ROW($N36)-4&lt;BB_Periods, "", AVERAGE(INDIRECT(ADDRESS(ROW($F36)-RSI_Periods +1, MATCH("Adj Close", Price_Header,0))): INDIRECT(ADDRESS(ROW($F36),MATCH("Adj Close", Price_Header,0)))))</f>
        <v>122.01857107142858</v>
      </c>
      <c r="K36" s="48">
        <f ca="1">IF(tbl_IBM[[#This Row],[BB_Mean]]="", "", tbl_IBM[[#This Row],[BB_Mean]]+(BB_Width*tbl_IBM[[#This Row],[BB_Stdev]]))</f>
        <v>125.46977652301021</v>
      </c>
      <c r="L36" s="48">
        <f ca="1">IF(tbl_IBM[[#This Row],[BB_Mean]]="", "", tbl_IBM[[#This Row],[BB_Mean]]-(BB_Width*tbl_IBM[[#This Row],[BB_Stdev]]))</f>
        <v>118.56736561984695</v>
      </c>
      <c r="M36" s="46">
        <f>IF(ROW(tbl_IBM[[#This Row],[Adj Close]])=5, 0, $F36-$F35)</f>
        <v>-1.6800000000000068</v>
      </c>
      <c r="N36" s="46">
        <f>MAX(tbl_IBM[[#This Row],[Move]],0)</f>
        <v>0</v>
      </c>
      <c r="O36" s="46">
        <f>MAX(-tbl_IBM[[#This Row],[Move]],0)</f>
        <v>1.6800000000000068</v>
      </c>
      <c r="P36" s="46">
        <f ca="1">IF(ROW($N36)-5&lt;RSI_Periods, "", AVERAGE(INDIRECT(ADDRESS(ROW($N36)-RSI_Periods +1, MATCH("Upmove", Price_Header,0))): INDIRECT(ADDRESS(ROW($N36),MATCH("Upmove", Price_Header,0)))))</f>
        <v>0.40500021428571592</v>
      </c>
      <c r="Q36" s="46">
        <f ca="1">IF(ROW($O36)-5&lt;RSI_Periods, "", AVERAGE(INDIRECT(ADDRESS(ROW($O36)-RSI_Periods +1, MATCH("Downmove", Price_Header,0))): INDIRECT(ADDRESS(ROW($O36),MATCH("Downmove", Price_Header,0)))))</f>
        <v>1.0728568571428585</v>
      </c>
      <c r="R36" s="46">
        <f ca="1">IF(tbl_IBM[[#This Row],[Avg_Upmove]]="", "", tbl_IBM[[#This Row],[Avg_Upmove]]/tbl_IBM[[#This Row],[Avg_Downmove]])</f>
        <v>0.37749697137069915</v>
      </c>
      <c r="S36" s="48">
        <f ca="1">IF(ROW($N36)-4&lt;BB_Periods, "", _xlfn.STDEV.S(INDIRECT(ADDRESS(ROW($F36)-RSI_Periods +1, MATCH("Adj Close", Price_Header,0))): INDIRECT(ADDRESS(ROW($F36),MATCH("Adj Close", Price_Header,0)))))</f>
        <v>1.7256027257908149</v>
      </c>
    </row>
    <row r="37" spans="1:19" x14ac:dyDescent="0.35">
      <c r="A37" s="8">
        <v>44098</v>
      </c>
      <c r="B37" s="48">
        <v>120.8</v>
      </c>
      <c r="C37" s="48">
        <v>118.28</v>
      </c>
      <c r="D37" s="48">
        <v>116.48</v>
      </c>
      <c r="E37" s="48">
        <v>116.7</v>
      </c>
      <c r="F37" s="48">
        <v>116.7</v>
      </c>
      <c r="G37">
        <v>359306</v>
      </c>
      <c r="H37" s="48">
        <f>IF(tbl_IBM[[#This Row],[Date]]=$A$5, $F37, EMA_Beta*$H36 + (1-EMA_Beta)*$F37)</f>
        <v>121.93903687860887</v>
      </c>
      <c r="I37" s="46">
        <f ca="1">IF(tbl_IBM[[#This Row],[RS]]= "", "", 100-(100/(1+tbl_IBM[[#This Row],[RS]])))</f>
        <v>29.701425400509422</v>
      </c>
      <c r="J37" s="48">
        <f ca="1">IF(ROW($N37)-4&lt;BB_Periods, "", AVERAGE(INDIRECT(ADDRESS(ROW($F37)-RSI_Periods +1, MATCH("Adj Close", Price_Header,0))): INDIRECT(ADDRESS(ROW($F37),MATCH("Adj Close", Price_Header,0)))))</f>
        <v>121.46499985714286</v>
      </c>
      <c r="K37" s="48">
        <f ca="1">IF(tbl_IBM[[#This Row],[BB_Mean]]="", "", tbl_IBM[[#This Row],[BB_Mean]]+(BB_Width*tbl_IBM[[#This Row],[BB_Stdev]]))</f>
        <v>125.64536984150637</v>
      </c>
      <c r="L37" s="48">
        <f ca="1">IF(tbl_IBM[[#This Row],[BB_Mean]]="", "", tbl_IBM[[#This Row],[BB_Mean]]-(BB_Width*tbl_IBM[[#This Row],[BB_Stdev]]))</f>
        <v>117.28462987277935</v>
      </c>
      <c r="M37" s="46">
        <f>IF(ROW(tbl_IBM[[#This Row],[Adj Close]])=5, 0, $F37-$F36)</f>
        <v>-2.1299999999999955</v>
      </c>
      <c r="N37" s="46">
        <f>MAX(tbl_IBM[[#This Row],[Move]],0)</f>
        <v>0</v>
      </c>
      <c r="O37" s="46">
        <f>MAX(-tbl_IBM[[#This Row],[Move]],0)</f>
        <v>2.1299999999999955</v>
      </c>
      <c r="P37" s="46">
        <f ca="1">IF(ROW($N37)-5&lt;RSI_Periods, "", AVERAGE(INDIRECT(ADDRESS(ROW($N37)-RSI_Periods +1, MATCH("Upmove", Price_Header,0))): INDIRECT(ADDRESS(ROW($N37),MATCH("Upmove", Price_Header,0)))))</f>
        <v>0.40500021428571592</v>
      </c>
      <c r="Q37" s="46">
        <f ca="1">IF(ROW($O37)-5&lt;RSI_Periods, "", AVERAGE(INDIRECT(ADDRESS(ROW($O37)-RSI_Periods +1, MATCH("Downmove", Price_Header,0))): INDIRECT(ADDRESS(ROW($O37),MATCH("Downmove", Price_Header,0)))))</f>
        <v>0.95857142857142974</v>
      </c>
      <c r="R37" s="46">
        <f ca="1">IF(tbl_IBM[[#This Row],[Avg_Upmove]]="", "", tbl_IBM[[#This Row],[Avg_Upmove]]/tbl_IBM[[#This Row],[Avg_Downmove]])</f>
        <v>0.42250394932936036</v>
      </c>
      <c r="S37" s="48">
        <f ca="1">IF(ROW($N37)-4&lt;BB_Periods, "", _xlfn.STDEV.S(INDIRECT(ADDRESS(ROW($F37)-RSI_Periods +1, MATCH("Adj Close", Price_Header,0))): INDIRECT(ADDRESS(ROW($F37),MATCH("Adj Close", Price_Header,0)))))</f>
        <v>2.0901849921817512</v>
      </c>
    </row>
    <row r="38" spans="1:19" x14ac:dyDescent="0.35">
      <c r="A38" t="s">
        <v>162</v>
      </c>
      <c r="S38">
        <f ca="1">SUBTOTAL(103,tbl_IBM[BB_Stdev])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topLeftCell="A24" workbookViewId="0">
      <selection activeCell="G38" sqref="G38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171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3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3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3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3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3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3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3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3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3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3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3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3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3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3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3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8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8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8">
        <f ca="1">IF(tbl_ORCL[[#This Row],[BB_Mean]]="", "", tbl_ORCL[[#This Row],[BB_Mean]]+(BB_Width*tbl_ORCL[[#This Row],[BB_Stdev]]))</f>
        <v>61.730356021734529</v>
      </c>
      <c r="L33" s="128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8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3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8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8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8">
        <f ca="1">IF(tbl_ORCL[[#This Row],[BB_Mean]]="", "", tbl_ORCL[[#This Row],[BB_Mean]]+(BB_Width*tbl_ORCL[[#This Row],[BB_Stdev]]))</f>
        <v>62.209970621671268</v>
      </c>
      <c r="L34" s="128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8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3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8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8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8">
        <f ca="1">IF(tbl_ORCL[[#This Row],[BB_Mean]]="", "", tbl_ORCL[[#This Row],[BB_Mean]]+(BB_Width*tbl_ORCL[[#This Row],[BB_Stdev]]))</f>
        <v>62.568744090614722</v>
      </c>
      <c r="L35" s="128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8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3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8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8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8">
        <f ca="1">IF(tbl_ORCL[[#This Row],[BB_Mean]]="", "", tbl_ORCL[[#This Row],[BB_Mean]]+(BB_Width*tbl_ORCL[[#This Row],[BB_Stdev]]))</f>
        <v>62.561677531216901</v>
      </c>
      <c r="L36" s="128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8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35">
      <c r="A37" s="8">
        <v>44098</v>
      </c>
      <c r="B37" s="10">
        <v>60.11</v>
      </c>
      <c r="C37" s="10">
        <v>58.99</v>
      </c>
      <c r="D37" s="10">
        <v>58.3</v>
      </c>
      <c r="E37" s="10">
        <v>58.31</v>
      </c>
      <c r="F37" s="10">
        <v>58.31</v>
      </c>
      <c r="G37">
        <v>650085</v>
      </c>
      <c r="H37" s="128">
        <f>IF(tbl_ORCL[[#This Row],[Date]]=$A$5, $F37, EMA_Beta*$H36 + (1-EMA_Beta)*$F37)</f>
        <v>58.529247446490437</v>
      </c>
      <c r="I37" s="50">
        <f ca="1">IF(tbl_ORCL[[#This Row],[RS]]= "", "", 100-(100/(1+tbl_ORCL[[#This Row],[RS]])))</f>
        <v>54.715518316445838</v>
      </c>
      <c r="J37" s="128">
        <f ca="1">IF(ROW($N37)-4&lt;BB_Periods, "", AVERAGE(INDIRECT(ADDRESS(ROW($F37)-RSI_Periods +1, MATCH("Adj Close", Price_Header,0))): INDIRECT(ADDRESS(ROW($F37),MATCH("Adj Close", Price_Header,0)))))</f>
        <v>58.700000071428576</v>
      </c>
      <c r="K37" s="128">
        <f ca="1">IF(tbl_ORCL[[#This Row],[BB_Mean]]="", "", tbl_ORCL[[#This Row],[BB_Mean]]+(BB_Width*tbl_ORCL[[#This Row],[BB_Stdev]]))</f>
        <v>62.557308220903046</v>
      </c>
      <c r="L37" s="128">
        <f ca="1">IF(tbl_ORCL[[#This Row],[BB_Mean]]="", "", tbl_ORCL[[#This Row],[BB_Mean]]-(BB_Width*tbl_ORCL[[#This Row],[BB_Stdev]]))</f>
        <v>54.842691921954106</v>
      </c>
      <c r="M37" s="50">
        <f>IF(ROW(tbl_ORCL[[#This Row],[Adj Close]])=5, 0, $F37-$F36)</f>
        <v>-0.64999999999999858</v>
      </c>
      <c r="N37" s="50">
        <f>MAX(tbl_ORCL[[#This Row],[Move]],0)</f>
        <v>0</v>
      </c>
      <c r="O37" s="50">
        <f>MAX(-tbl_ORCL[[#This Row],[Move]],0)</f>
        <v>0.64999999999999858</v>
      </c>
      <c r="P37" s="50">
        <f ca="1">IF(ROW($N37)-5&lt;RSI_Periods, "", AVERAGE(INDIRECT(ADDRESS(ROW($N37)-RSI_Periods +1, MATCH("Upmove", Price_Header,0))): INDIRECT(ADDRESS(ROW($N37),MATCH("Upmove", Price_Header,0)))))</f>
        <v>0.50142864285714295</v>
      </c>
      <c r="Q37" s="50">
        <f ca="1">IF(ROW($O37)-5&lt;RSI_Periods, "", AVERAGE(INDIRECT(ADDRESS(ROW($O37)-RSI_Periods +1, MATCH("Downmove", Price_Header,0))): INDIRECT(ADDRESS(ROW($O37),MATCH("Downmove", Price_Header,0)))))</f>
        <v>0.41499992857142842</v>
      </c>
      <c r="R37" s="50">
        <f ca="1">IF(tbl_ORCL[[#This Row],[Avg_Upmove]]="", "", tbl_ORCL[[#This Row],[Avg_Upmove]]/tbl_ORCL[[#This Row],[Avg_Downmove]])</f>
        <v>1.2082619979796905</v>
      </c>
      <c r="S37" s="128">
        <f ca="1">IF(ROW($N37)-4&lt;BB_Periods, "", _xlfn.STDEV.S(INDIRECT(ADDRESS(ROW($F37)-RSI_Periods +1, MATCH("Adj Close", Price_Header,0))): INDIRECT(ADDRESS(ROW($F37),MATCH("Adj Close", Price_Header,0)))))</f>
        <v>1.9286540747372334</v>
      </c>
    </row>
    <row r="38" spans="1:19" x14ac:dyDescent="0.35">
      <c r="A38" t="s">
        <v>162</v>
      </c>
      <c r="B38" s="61"/>
      <c r="C38" s="61"/>
      <c r="D38" s="61"/>
      <c r="E38" s="61"/>
      <c r="F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>
        <f ca="1">SUBTOTAL(103,tbl_ORCL[BB_Stdev])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topLeftCell="A18" workbookViewId="0">
      <selection activeCell="G37" sqref="G37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3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3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3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3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3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3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3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3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3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3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3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3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3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3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3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8">
        <f ca="1">IF(tbl_AKRO[[#This Row],[BB_Mean]]="", "", tbl_AKRO[[#This Row],[BB_Mean]]+(BB_Width*tbl_AKRO[[#This Row],[BB_Stdev]]))</f>
        <v>37.838513335009061</v>
      </c>
      <c r="L33" s="128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3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8">
        <f ca="1">IF(tbl_AKRO[[#This Row],[BB_Mean]]="", "", tbl_AKRO[[#This Row],[BB_Mean]]+(BB_Width*tbl_AKRO[[#This Row],[BB_Stdev]]))</f>
        <v>37.849701768462744</v>
      </c>
      <c r="L34" s="128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3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8">
        <f ca="1">IF(tbl_AKRO[[#This Row],[BB_Mean]]="", "", tbl_AKRO[[#This Row],[BB_Mean]]+(BB_Width*tbl_AKRO[[#This Row],[BB_Stdev]]))</f>
        <v>37.88958062802493</v>
      </c>
      <c r="L35" s="128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3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8">
        <f ca="1">IF(tbl_AKRO[[#This Row],[BB_Mean]]="", "", tbl_AKRO[[#This Row],[BB_Mean]]+(BB_Width*tbl_AKRO[[#This Row],[BB_Stdev]]))</f>
        <v>38.019888803504834</v>
      </c>
      <c r="L36" s="128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35">
      <c r="A37" s="8">
        <v>44098</v>
      </c>
      <c r="B37" s="10">
        <v>31.81</v>
      </c>
      <c r="C37" s="10">
        <v>32.18</v>
      </c>
      <c r="D37" s="10">
        <v>31.32</v>
      </c>
      <c r="E37" s="10">
        <v>31.32</v>
      </c>
      <c r="F37" s="10">
        <v>31.32</v>
      </c>
      <c r="G37">
        <v>12746</v>
      </c>
      <c r="H37" s="10">
        <f>IF(tbl_AKRO[[#This Row],[Date]]=$A$5, $F37, EMA_Beta*$H36 + (1-EMA_Beta)*$F37)</f>
        <v>34.061688857498794</v>
      </c>
      <c r="I37" s="46">
        <f ca="1">IF(tbl_AKRO[[#This Row],[RS]]= "", "", 100-(100/(1+tbl_AKRO[[#This Row],[RS]])))</f>
        <v>43.404903635345384</v>
      </c>
      <c r="J37" s="10">
        <f ca="1">IF(ROW($N37)-4&lt;BB_Periods, "", AVERAGE(INDIRECT(ADDRESS(ROW($F37)-RSI_Periods +1, MATCH("Adj Close", Price_Header,0))): INDIRECT(ADDRESS(ROW($F37),MATCH("Adj Close", Price_Header,0)))))</f>
        <v>34.329285428571424</v>
      </c>
      <c r="K37" s="128">
        <f ca="1">IF(tbl_AKRO[[#This Row],[BB_Mean]]="", "", tbl_AKRO[[#This Row],[BB_Mean]]+(BB_Width*tbl_AKRO[[#This Row],[BB_Stdev]]))</f>
        <v>38.211136697922861</v>
      </c>
      <c r="L37" s="128">
        <f ca="1">IF(tbl_AKRO[[#This Row],[BB_Mean]]="", "", tbl_AKRO[[#This Row],[BB_Mean]]-(BB_Width*tbl_AKRO[[#This Row],[BB_Stdev]]))</f>
        <v>30.447434159219988</v>
      </c>
      <c r="M37" s="46">
        <f>IF(ROW(tbl_AKRO[[#This Row],[Adj Close]])=5, 0, $F37-$F36)</f>
        <v>-0.62999999999999901</v>
      </c>
      <c r="N37" s="46">
        <f>MAX(tbl_AKRO[[#This Row],[Move]],0)</f>
        <v>0</v>
      </c>
      <c r="O37" s="46">
        <f>MAX(-tbl_AKRO[[#This Row],[Move]],0)</f>
        <v>0.62999999999999901</v>
      </c>
      <c r="P37" s="46">
        <f ca="1">IF(ROW($N37)-5&lt;RSI_Periods, "", AVERAGE(INDIRECT(ADDRESS(ROW($N37)-RSI_Periods +1, MATCH("Upmove", Price_Header,0))): INDIRECT(ADDRESS(ROW($N37),MATCH("Upmove", Price_Header,0)))))</f>
        <v>0.4042856428571433</v>
      </c>
      <c r="Q37" s="46">
        <f ca="1">IF(ROW($O37)-5&lt;RSI_Periods, "", AVERAGE(INDIRECT(ADDRESS(ROW($O37)-RSI_Periods +1, MATCH("Downmove", Price_Header,0))): INDIRECT(ADDRESS(ROW($O37),MATCH("Downmove", Price_Header,0)))))</f>
        <v>0.52714285714285736</v>
      </c>
      <c r="R37" s="46">
        <f ca="1">IF(tbl_AKRO[[#This Row],[Avg_Upmove]]="", "", tbl_AKRO[[#This Row],[Avg_Upmove]]/tbl_AKRO[[#This Row],[Avg_Downmove]])</f>
        <v>0.76693753387533925</v>
      </c>
      <c r="S37" s="10">
        <f ca="1">IF(ROW($N37)-4&lt;BB_Periods, "", _xlfn.STDEV.S(INDIRECT(ADDRESS(ROW($F37)-RSI_Periods +1, MATCH("Adj Close", Price_Header,0))): INDIRECT(ADDRESS(ROW($F37),MATCH("Adj Close", Price_Header,0)))))</f>
        <v>1.9409256346757178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18" workbookViewId="0">
      <selection activeCell="G38" sqref="G38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252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3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3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3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3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3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3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3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3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3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3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3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3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3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3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3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8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3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8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3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8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3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8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35">
      <c r="A37" s="8">
        <v>44098</v>
      </c>
      <c r="B37" s="10">
        <v>244.99</v>
      </c>
      <c r="C37" s="10">
        <v>243.37</v>
      </c>
      <c r="D37" s="10">
        <v>240.12</v>
      </c>
      <c r="E37" s="10">
        <v>240.23</v>
      </c>
      <c r="F37" s="10">
        <v>240.23</v>
      </c>
      <c r="G37">
        <v>203285</v>
      </c>
      <c r="H37" s="10">
        <f>IF(tbl_FDX[[#This Row],[Date]]=$A$5, $F37, EMA_Beta*$H36 + (1-EMA_Beta)*$F37)</f>
        <v>232.86872054133363</v>
      </c>
      <c r="I37" s="46">
        <f ca="1">IF(tbl_FDX[[#This Row],[RS]]= "", "", 100-(100/(1+tbl_FDX[[#This Row],[RS]])))</f>
        <v>65.653449037739534</v>
      </c>
      <c r="J37" s="10">
        <f ca="1">IF(ROW($N37)-4&lt;BB_Periods, "", AVERAGE(INDIRECT(ADDRESS(ROW($F37)-RSI_Periods +1, MATCH("Adj Close", Price_Header,0))): INDIRECT(ADDRESS(ROW($F37),MATCH("Adj Close", Price_Header,0)))))</f>
        <v>236.00928514285718</v>
      </c>
      <c r="K37" s="10">
        <f ca="1">IF(tbl_FDX[[#This Row],[BB_Mean]]="", "", tbl_FDX[[#This Row],[BB_Mean]]+(BB_Width*tbl_FDX[[#This Row],[BB_Stdev]]))</f>
        <v>253.51760064875612</v>
      </c>
      <c r="L37" s="128">
        <f ca="1">IF(tbl_FDX[[#This Row],[BB_Mean]]="", "", tbl_FDX[[#This Row],[BB_Mean]]-(BB_Width*tbl_FDX[[#This Row],[BB_Stdev]]))</f>
        <v>218.50096963695825</v>
      </c>
      <c r="M37" s="46">
        <f>IF(ROW(tbl_FDX[[#This Row],[Adj Close]])=5, 0, $F37-$F36)</f>
        <v>-1.1899999999999977</v>
      </c>
      <c r="N37" s="46">
        <f>MAX(tbl_FDX[[#This Row],[Move]],0)</f>
        <v>0</v>
      </c>
      <c r="O37" s="46">
        <f>MAX(-tbl_FDX[[#This Row],[Move]],0)</f>
        <v>1.1899999999999977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1.5092852142857132</v>
      </c>
      <c r="R37" s="46">
        <f ca="1">IF(tbl_FDX[[#This Row],[Avg_Upmove]]="", "", tbl_FDX[[#This Row],[Avg_Upmove]]/tbl_FDX[[#This Row],[Avg_Downmove]])</f>
        <v>1.9115004912685019</v>
      </c>
      <c r="S37" s="10">
        <f ca="1">IF(ROW($N37)-4&lt;BB_Periods, "", _xlfn.STDEV.S(INDIRECT(ADDRESS(ROW($F37)-RSI_Periods +1, MATCH("Adj Close", Price_Header,0))): INDIRECT(ADDRESS(ROW($F37),MATCH("Adj Close", Price_Header,0)))))</f>
        <v>8.7541577529494727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7"/>
  <sheetViews>
    <sheetView topLeftCell="A18" workbookViewId="0">
      <selection activeCell="G37" sqref="G37"/>
    </sheetView>
  </sheetViews>
  <sheetFormatPr defaultRowHeight="14.5" x14ac:dyDescent="0.35"/>
  <cols>
    <col min="1" max="1" width="9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253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35">
      <c r="A19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35">
      <c r="A20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35">
      <c r="A21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35">
      <c r="A22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35">
      <c r="A23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35">
      <c r="A24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35">
      <c r="A25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35">
      <c r="A26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35">
      <c r="A27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35">
      <c r="A2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35">
      <c r="A29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35">
      <c r="A30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35">
      <c r="A31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35">
      <c r="A32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3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3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3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3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35">
      <c r="A37" s="8">
        <v>44098</v>
      </c>
      <c r="B37">
        <v>28.16</v>
      </c>
      <c r="C37">
        <v>18.14</v>
      </c>
      <c r="D37">
        <v>16.71</v>
      </c>
      <c r="E37">
        <v>17.14</v>
      </c>
      <c r="F37">
        <v>17.14</v>
      </c>
      <c r="G37">
        <v>8689597</v>
      </c>
      <c r="H37" s="10">
        <f>IF(tbl_NKLA[[#This Row],[Date]]=$A$5, $F37, EMA_Beta*$H36 + (1-EMA_Beta)*$F37)</f>
        <v>32.609119585893637</v>
      </c>
      <c r="I37" s="46">
        <f ca="1">IF(tbl_NKLA[[#This Row],[RS]]= "", "", 100-(100/(1+tbl_NKLA[[#This Row],[RS]])))</f>
        <v>34.145932583700088</v>
      </c>
      <c r="J37" s="10">
        <f ca="1">IF(ROW($N37)-4&lt;BB_Periods, "", AVERAGE(INDIRECT(ADDRESS(ROW($F37)-RSI_Periods +1, MATCH("Adj Close", Price_Header,0))): INDIRECT(ADDRESS(ROW($F37),MATCH("Adj Close", Price_Header,0)))))</f>
        <v>32.997857285714275</v>
      </c>
      <c r="K37" s="10">
        <f ca="1">IF(tbl_NKLA[[#This Row],[BB_Mean]]="", "", tbl_NKLA[[#This Row],[BB_Mean]]+(BB_Width*tbl_NKLA[[#This Row],[BB_Stdev]]))</f>
        <v>49.247246232359231</v>
      </c>
      <c r="L37" s="10">
        <f ca="1">IF(tbl_NKLA[[#This Row],[BB_Mean]]="", "", tbl_NKLA[[#This Row],[BB_Mean]]-(BB_Width*tbl_NKLA[[#This Row],[BB_Stdev]]))</f>
        <v>16.748468339069316</v>
      </c>
      <c r="M37" s="46">
        <f>IF(ROW(tbl_NKLA[[#This Row],[Adj Close]])=5, 0, $F37-$F36)</f>
        <v>-4.009999999999998</v>
      </c>
      <c r="N37" s="46">
        <f>MAX(tbl_NKLA[[#This Row],[Move]],0)</f>
        <v>0</v>
      </c>
      <c r="O37" s="46">
        <f>MAX(-tbl_NKLA[[#This Row],[Move]],0)</f>
        <v>4.009999999999998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2.8171427857142852</v>
      </c>
      <c r="R37" s="46">
        <f ca="1">IF(tbl_NKLA[[#This Row],[Avg_Upmove]]="", "", tbl_NKLA[[#This Row],[Avg_Upmove]]/tbl_NKLA[[#This Row],[Avg_Downmove]])</f>
        <v>0.51850909022588976</v>
      </c>
      <c r="S37" s="10">
        <f ca="1">IF(ROW($N37)-4&lt;BB_Periods, "", _xlfn.STDEV.S(INDIRECT(ADDRESS(ROW($F37)-RSI_Periods +1, MATCH("Adj Close", Price_Header,0))): INDIRECT(ADDRESS(ROW($F37),MATCH("Adj Close", Price_Header,0)))))</f>
        <v>8.1246944733224797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7"/>
  <sheetViews>
    <sheetView topLeftCell="A24" workbookViewId="0">
      <selection activeCell="G38" sqref="G38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254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3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3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3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3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3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3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3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3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3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3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3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3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3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3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3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3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3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3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35">
      <c r="A37" s="8">
        <v>44098</v>
      </c>
      <c r="B37" s="10">
        <v>6.01</v>
      </c>
      <c r="C37" s="10">
        <v>6.62</v>
      </c>
      <c r="D37" s="10">
        <v>6.51</v>
      </c>
      <c r="E37" s="10">
        <v>6.59</v>
      </c>
      <c r="F37" s="10">
        <v>6.59</v>
      </c>
      <c r="G37">
        <v>3447315</v>
      </c>
      <c r="H37" s="10">
        <f>IF(tbl_SPXS[[#This Row],[Date]]=$A$5, $F37, EMA_Beta*$H36 + (1-EMA_Beta)*$F37)</f>
        <v>5.9441326888632222</v>
      </c>
      <c r="I37" s="46">
        <f ca="1">IF(tbl_SPXS[[#This Row],[RS]]= "", "", 100-(100/(1+tbl_SPXS[[#This Row],[RS]])))</f>
        <v>69.696969696969703</v>
      </c>
      <c r="J37" s="10">
        <f ca="1">IF(ROW($N37)-4&lt;BB_Periods, "", AVERAGE(INDIRECT(ADDRESS(ROW($F37)-RSI_Periods +1, MATCH("Adj Close", Price_Header,0))): INDIRECT(ADDRESS(ROW($F37),MATCH("Adj Close", Price_Header,0)))))</f>
        <v>5.9628571428571435</v>
      </c>
      <c r="K37" s="10">
        <f ca="1">IF(tbl_SPXS[[#This Row],[BB_Mean]]="", "", tbl_SPXS[[#This Row],[BB_Mean]]+(BB_Width*tbl_SPXS[[#This Row],[BB_Stdev]]))</f>
        <v>6.590890878914669</v>
      </c>
      <c r="L37" s="10">
        <f ca="1">IF(tbl_SPXS[[#This Row],[BB_Mean]]="", "", tbl_SPXS[[#This Row],[BB_Mean]]-(BB_Width*tbl_SPXS[[#This Row],[BB_Stdev]]))</f>
        <v>5.3348234067996181</v>
      </c>
      <c r="M37" s="46">
        <f>IF(ROW(tbl_SPXS[[#This Row],[Adj Close]])=5, 0, $F37-$F36)</f>
        <v>0.10999999999999943</v>
      </c>
      <c r="N37" s="46">
        <f>MAX(tbl_SPXS[[#This Row],[Move]],0)</f>
        <v>0.10999999999999943</v>
      </c>
      <c r="O37" s="46">
        <f>MAX(-tbl_SPXS[[#This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0.14785714285714283</v>
      </c>
      <c r="Q37" s="46">
        <f ca="1">IF(ROW($O37)-5&lt;RSI_Periods, "", AVERAGE(INDIRECT(ADDRESS(ROW($O37)-RSI_Periods +1, MATCH("Downmove", Price_Header,0))): INDIRECT(ADDRESS(ROW($O37),MATCH("Downmove", Price_Header,0)))))</f>
        <v>6.4285714285714252E-2</v>
      </c>
      <c r="R37" s="46">
        <f ca="1">IF(tbl_SPXS[[#This Row],[Avg_Upmove]]="", "", tbl_SPXS[[#This Row],[Avg_Upmove]]/tbl_SPXS[[#This Row],[Avg_Downmove]])</f>
        <v>2.3000000000000007</v>
      </c>
      <c r="S37" s="10">
        <f ca="1">IF(ROW($N37)-4&lt;BB_Periods, "", _xlfn.STDEV.S(INDIRECT(ADDRESS(ROW($F37)-RSI_Periods +1, MATCH("Adj Close", Price_Header,0))): INDIRECT(ADDRESS(ROW($F37),MATCH("Adj Close", Price_Header,0)))))</f>
        <v>0.31401686802876277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W44"/>
  <sheetViews>
    <sheetView tabSelected="1" zoomScale="48" zoomScaleNormal="90" workbookViewId="0">
      <selection activeCell="G18" sqref="G18"/>
    </sheetView>
  </sheetViews>
  <sheetFormatPr defaultColWidth="9.1796875" defaultRowHeight="13.5" x14ac:dyDescent="0.25"/>
  <cols>
    <col min="1" max="1" width="10.453125" style="67" customWidth="1"/>
    <col min="2" max="2" width="13.54296875" style="67" customWidth="1"/>
    <col min="3" max="3" width="13.7265625" style="67" customWidth="1"/>
    <col min="4" max="4" width="14.453125" style="67" customWidth="1"/>
    <col min="5" max="5" width="13.7265625" style="67" customWidth="1"/>
    <col min="6" max="6" width="11.7265625" style="67" customWidth="1"/>
    <col min="7" max="7" width="15.54296875" style="67" customWidth="1"/>
    <col min="8" max="8" width="13.7265625" style="67" customWidth="1"/>
    <col min="9" max="16384" width="9.1796875" style="67"/>
  </cols>
  <sheetData>
    <row r="1" spans="1:23" x14ac:dyDescent="0.25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5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45">
      <c r="A3" s="84"/>
      <c r="B3" s="87" t="s">
        <v>288</v>
      </c>
      <c r="C3" s="69"/>
      <c r="D3" s="68"/>
      <c r="E3" s="68"/>
      <c r="F3" s="72" t="s">
        <v>195</v>
      </c>
      <c r="G3" s="89">
        <f>DATE(2020, 9, 17)</f>
        <v>44091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85"/>
    </row>
    <row r="4" spans="1:23" x14ac:dyDescent="0.25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7.5" x14ac:dyDescent="0.3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99446.298949999997</v>
      </c>
      <c r="G5" s="70">
        <f ca="1">INDEX(tbl_position[], COUNT(tbl_position[Date]), MATCH("Total_Net_Asset", pos_header,0))-INDEX(tbl_position[], COUNT(tbl_position[Date])-1, MATCH("Total_Net_Asset", pos_header,0))</f>
        <v>-309.00089999999909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7.5" x14ac:dyDescent="0.35">
      <c r="A6" s="84"/>
      <c r="B6" s="91" t="s">
        <v>180</v>
      </c>
      <c r="C6" s="73"/>
      <c r="D6" s="68"/>
      <c r="F6" s="90">
        <f>INDEX(tbl_position[], COUNT(tbl_position[Date]), MATCH("Cash_holding", pos_header,0))</f>
        <v>57949.2</v>
      </c>
      <c r="G6" s="70">
        <f>INDEX(tbl_position[], COUNT(tbl_position[Date]), MATCH("Cash_holding", pos_header,0))-INDEX(tbl_position[], COUNT(tbl_position[Date])-1, MATCH("Cash_holding", pos_header,0))</f>
        <v>-3626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7" x14ac:dyDescent="0.3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5.5" thickBot="1" x14ac:dyDescent="0.35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5" thickBot="1" x14ac:dyDescent="0.3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5" x14ac:dyDescent="0.35">
      <c r="A10" s="84"/>
      <c r="B10" s="105">
        <v>1</v>
      </c>
      <c r="C10" s="106" t="str">
        <f ca="1">INDEX(tbl_holdings[], MATCH(LARGE(tbl_holdings[Total], Dashboard!$B10), tbl_holdings[Total], 0), 2)</f>
        <v>HD</v>
      </c>
      <c r="D10" s="107">
        <f ca="1">LARGE(tbl_holdings[Total], 1)/tbl_holdings[[#Totals],[Total]]</f>
        <v>0.29190643120135812</v>
      </c>
      <c r="E10" s="75"/>
      <c r="F10" s="108" t="s">
        <v>190</v>
      </c>
      <c r="G10" s="109">
        <f>INDEX(tbl_transsummary[], _xlfn.FLOOR.MATH(($G$3-DATE(2020, 9, 9))/7)+1, 4)</f>
        <v>65839.5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6.5" thickBot="1" x14ac:dyDescent="0.35">
      <c r="A11" s="84"/>
      <c r="B11" s="98">
        <v>2</v>
      </c>
      <c r="C11" s="101" t="str">
        <f ca="1">INDEX(tbl_holdings[], MATCH(LARGE(tbl_holdings[Total], Dashboard!$B11), tbl_holdings[Total], 0), 2)</f>
        <v>IBM</v>
      </c>
      <c r="D11" s="94">
        <f ca="1">LARGE(tbl_holdings[Total], 2)/tbl_holdings[[#Totals],[Total]]</f>
        <v>0.25729214895165026</v>
      </c>
      <c r="E11" s="75"/>
      <c r="F11" s="112" t="s">
        <v>191</v>
      </c>
      <c r="G11" s="113">
        <f>INDEX(tbl_transsummary[], _xlfn.FLOOR.MATH(($G$3-DATE(2020, 9, 9))/7)+1, 5)</f>
        <v>53191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5.5" thickBot="1" x14ac:dyDescent="0.35">
      <c r="A12" s="84"/>
      <c r="B12" s="99">
        <v>3</v>
      </c>
      <c r="C12" s="102" t="str">
        <f ca="1">INDEX(tbl_holdings[], MATCH(LARGE(tbl_holdings[Total], Dashboard!$B12), tbl_holdings[Total], 0), 2)</f>
        <v>AAPL</v>
      </c>
      <c r="D12" s="95">
        <f ca="1">LARGE(tbl_holdings[Total], 3)/tbl_holdings[[#Totals],[Total]]</f>
        <v>0.23645743766122099</v>
      </c>
      <c r="E12" s="75"/>
      <c r="F12" s="110" t="s">
        <v>192</v>
      </c>
      <c r="G12" s="111">
        <f>INDEX(tbl_transsummary[], _xlfn.FLOOR.MATH(($G$3-DATE(2020, 9, 9))/7)+1, 6)</f>
        <v>22687.599999999999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5.5" thickBot="1" x14ac:dyDescent="0.35">
      <c r="A13" s="84"/>
      <c r="B13" s="68"/>
      <c r="C13" s="78"/>
      <c r="D13" s="68"/>
      <c r="E13" s="68"/>
      <c r="F13" s="112" t="s">
        <v>193</v>
      </c>
      <c r="G13" s="113">
        <f>INDEX(tbl_transsummary[], _xlfn.FLOOR.MATH(($G$3-DATE(2020, 9, 9))/7)+1, 7)</f>
        <v>22644.7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5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4" thickBot="1" x14ac:dyDescent="0.3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5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7.5" x14ac:dyDescent="0.3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19.5" x14ac:dyDescent="0.35">
      <c r="A18" s="84"/>
      <c r="B18" s="88" t="s">
        <v>275</v>
      </c>
      <c r="C18" s="68"/>
      <c r="D18" s="68"/>
      <c r="E18" s="68"/>
      <c r="F18" s="68"/>
      <c r="G18" s="124" t="s">
        <v>217</v>
      </c>
      <c r="H18" s="68"/>
      <c r="I18" s="123">
        <v>11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4" thickBot="1" x14ac:dyDescent="0.3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5" thickBot="1" x14ac:dyDescent="0.3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5">
      <c r="A21" s="114">
        <v>0</v>
      </c>
      <c r="B21" s="116">
        <f t="shared" ref="B21:B30" ca="1" si="0">INDEX(INDIRECT("tbl_"&amp;$G$18), COUNT(Date_List)-20+$I$18+A21, 1)</f>
        <v>44085</v>
      </c>
      <c r="C21" s="119">
        <f t="shared" ref="C21:C30" ca="1" si="1">INDEX(INDIRECT("tbl_"&amp;$G$18), COUNT(Date_List)-20+$I$18+A21, MATCH("Open", Price_Header,0))</f>
        <v>35.5</v>
      </c>
      <c r="D21" s="119">
        <f t="shared" ref="D21:D30" ca="1" si="2">INDEX(INDIRECT("tbl_"&amp;$G$18), COUNT(Date_List)-20+$I$18+A21, MATCH("High", Price_Header,0))</f>
        <v>35.689999</v>
      </c>
      <c r="E21" s="119">
        <f t="shared" ref="E21:E30" ca="1" si="3">INDEX(INDIRECT("tbl_"&amp;$G$18), COUNT(Date_List)-20+$I$18+A21, MATCH("low", Price_Header,0))</f>
        <v>30.780999999999999</v>
      </c>
      <c r="F21" s="119">
        <f t="shared" ref="F21:F30" ca="1" si="4">INDEX(INDIRECT("tbl_"&amp;$G$18), COUNT(Date_List)-20+$I$18+A21, MATCH("Close", Price_Header,0))</f>
        <v>32.130001</v>
      </c>
      <c r="G21" s="119">
        <f t="shared" ref="G21:G30" ca="1" si="5">INDEX(INDIRECT("tbl_"&amp;$G$18), COUNT(Date_List)-20+$I$18+A21, MATCH("adj close", Price_Header,0))</f>
        <v>32.130001</v>
      </c>
      <c r="H21" s="121">
        <f t="shared" ref="H21:H30" ca="1" si="6">INDEX(INDIRECT("tbl_"&amp;$G$18), COUNT(Date_List)-20+$I$18+A21, MATCH("volume", Price_Header,0))/1000</f>
        <v>99981.4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5">
      <c r="A22" s="114">
        <v>1</v>
      </c>
      <c r="B22" s="116">
        <f t="shared" ca="1" si="0"/>
        <v>44088</v>
      </c>
      <c r="C22" s="119">
        <f t="shared" ca="1" si="1"/>
        <v>30.51</v>
      </c>
      <c r="D22" s="119">
        <f t="shared" ca="1" si="2"/>
        <v>36.900002000000001</v>
      </c>
      <c r="E22" s="119">
        <f t="shared" ca="1" si="3"/>
        <v>28.75</v>
      </c>
      <c r="F22" s="119">
        <f t="shared" ca="1" si="4"/>
        <v>35.790000999999997</v>
      </c>
      <c r="G22" s="119">
        <f t="shared" ca="1" si="5"/>
        <v>35.790000999999997</v>
      </c>
      <c r="H22" s="121">
        <f t="shared" ca="1" si="6"/>
        <v>112232.5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5">
      <c r="A23" s="114">
        <v>2</v>
      </c>
      <c r="B23" s="116">
        <f t="shared" ca="1" si="0"/>
        <v>44089</v>
      </c>
      <c r="C23" s="119">
        <f t="shared" ca="1" si="1"/>
        <v>33</v>
      </c>
      <c r="D23" s="119">
        <f t="shared" ca="1" si="2"/>
        <v>34.659999999999997</v>
      </c>
      <c r="E23" s="119">
        <f t="shared" ca="1" si="3"/>
        <v>32.060001</v>
      </c>
      <c r="F23" s="119">
        <f t="shared" ca="1" si="4"/>
        <v>32.830002</v>
      </c>
      <c r="G23" s="119">
        <f t="shared" ca="1" si="5"/>
        <v>32.830002</v>
      </c>
      <c r="H23" s="121">
        <f t="shared" ca="1" si="6"/>
        <v>52984.9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5">
      <c r="A24" s="114">
        <v>3</v>
      </c>
      <c r="B24" s="116">
        <f t="shared" ca="1" si="0"/>
        <v>44090</v>
      </c>
      <c r="C24" s="119">
        <f t="shared" ca="1" si="1"/>
        <v>30.389999</v>
      </c>
      <c r="D24" s="119">
        <f t="shared" ca="1" si="2"/>
        <v>34.919998</v>
      </c>
      <c r="E24" s="119">
        <f t="shared" ca="1" si="3"/>
        <v>30.25</v>
      </c>
      <c r="F24" s="119">
        <f t="shared" ca="1" si="4"/>
        <v>33.279998999999997</v>
      </c>
      <c r="G24" s="119">
        <f t="shared" ca="1" si="5"/>
        <v>33.279998999999997</v>
      </c>
      <c r="H24" s="121">
        <f t="shared" ca="1" si="6"/>
        <v>46638.1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5">
      <c r="A25" s="114">
        <v>4</v>
      </c>
      <c r="B25" s="116">
        <f t="shared" ca="1" si="0"/>
        <v>44091</v>
      </c>
      <c r="C25" s="119">
        <f t="shared" ca="1" si="1"/>
        <v>32.549999</v>
      </c>
      <c r="D25" s="119">
        <f t="shared" ca="1" si="2"/>
        <v>34.860000999999997</v>
      </c>
      <c r="E25" s="119">
        <f t="shared" ca="1" si="3"/>
        <v>32.5</v>
      </c>
      <c r="F25" s="119">
        <f t="shared" ca="1" si="4"/>
        <v>33.830002</v>
      </c>
      <c r="G25" s="119">
        <f t="shared" ca="1" si="5"/>
        <v>33.830002</v>
      </c>
      <c r="H25" s="121">
        <f t="shared" ca="1" si="6"/>
        <v>24552.43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5">
      <c r="A26" s="114">
        <v>5</v>
      </c>
      <c r="B26" s="116">
        <f t="shared" ca="1" si="0"/>
        <v>44092</v>
      </c>
      <c r="C26" s="119">
        <f t="shared" ca="1" si="1"/>
        <v>34.08</v>
      </c>
      <c r="D26" s="119">
        <f t="shared" ca="1" si="2"/>
        <v>34.28</v>
      </c>
      <c r="E26" s="119">
        <f t="shared" ca="1" si="3"/>
        <v>32.770000000000003</v>
      </c>
      <c r="F26" s="119">
        <f t="shared" ca="1" si="4"/>
        <v>34.19</v>
      </c>
      <c r="G26" s="119">
        <f t="shared" ca="1" si="5"/>
        <v>34.19</v>
      </c>
      <c r="H26" s="121">
        <f t="shared" ca="1" si="6"/>
        <v>21529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5">
      <c r="A27" s="114">
        <v>6</v>
      </c>
      <c r="B27" s="116">
        <f t="shared" ca="1" si="0"/>
        <v>44095</v>
      </c>
      <c r="C27" s="119">
        <f t="shared" ca="1" si="1"/>
        <v>24.97</v>
      </c>
      <c r="D27" s="119">
        <f t="shared" ca="1" si="2"/>
        <v>29.6</v>
      </c>
      <c r="E27" s="119">
        <f t="shared" ca="1" si="3"/>
        <v>24.05</v>
      </c>
      <c r="F27" s="119">
        <f t="shared" ca="1" si="4"/>
        <v>27.58</v>
      </c>
      <c r="G27" s="119">
        <f t="shared" ca="1" si="5"/>
        <v>27.58</v>
      </c>
      <c r="H27" s="121">
        <f t="shared" ca="1" si="6"/>
        <v>86856.2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5">
      <c r="A28" s="114">
        <v>7</v>
      </c>
      <c r="B28" s="116">
        <f t="shared" ca="1" si="0"/>
        <v>44096</v>
      </c>
      <c r="C28" s="119">
        <f t="shared" ca="1" si="1"/>
        <v>27.04</v>
      </c>
      <c r="D28" s="119">
        <f t="shared" ca="1" si="2"/>
        <v>29.48</v>
      </c>
      <c r="E28" s="119">
        <f t="shared" ca="1" si="3"/>
        <v>26.67</v>
      </c>
      <c r="F28" s="119">
        <f t="shared" ca="1" si="4"/>
        <v>28.51</v>
      </c>
      <c r="G28" s="119">
        <f t="shared" ca="1" si="5"/>
        <v>28.51</v>
      </c>
      <c r="H28" s="121">
        <f t="shared" ca="1" si="6"/>
        <v>30361.1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5">
      <c r="A29" s="114">
        <v>8</v>
      </c>
      <c r="B29" s="116">
        <f t="shared" ca="1" si="0"/>
        <v>44097</v>
      </c>
      <c r="C29" s="119">
        <f t="shared" ca="1" si="1"/>
        <v>28.16</v>
      </c>
      <c r="D29" s="119">
        <f t="shared" ca="1" si="2"/>
        <v>28.84</v>
      </c>
      <c r="E29" s="119">
        <f t="shared" ca="1" si="3"/>
        <v>20.61</v>
      </c>
      <c r="F29" s="119">
        <f t="shared" ca="1" si="4"/>
        <v>21.15</v>
      </c>
      <c r="G29" s="119">
        <f t="shared" ca="1" si="5"/>
        <v>21.15</v>
      </c>
      <c r="H29" s="121">
        <f t="shared" ca="1" si="6"/>
        <v>47830.5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4" thickBot="1" x14ac:dyDescent="0.3">
      <c r="A30" s="114">
        <v>9</v>
      </c>
      <c r="B30" s="117">
        <f t="shared" ca="1" si="0"/>
        <v>44098</v>
      </c>
      <c r="C30" s="120">
        <f t="shared" ca="1" si="1"/>
        <v>28.16</v>
      </c>
      <c r="D30" s="120">
        <f t="shared" ca="1" si="2"/>
        <v>18.14</v>
      </c>
      <c r="E30" s="120">
        <f t="shared" ca="1" si="3"/>
        <v>16.71</v>
      </c>
      <c r="F30" s="120">
        <f t="shared" ca="1" si="4"/>
        <v>17.14</v>
      </c>
      <c r="G30" s="120">
        <f t="shared" ca="1" si="5"/>
        <v>17.14</v>
      </c>
      <c r="H30" s="122">
        <f t="shared" ca="1" si="6"/>
        <v>8689.5969999999998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7.5" x14ac:dyDescent="0.3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5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5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5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5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5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5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5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5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5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5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5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5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4" thickBot="1" x14ac:dyDescent="0.3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 xr:uid="{00000000-0002-0000-0F00-000000000000}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12700</xdr:colOff>
                    <xdr:row>18</xdr:row>
                    <xdr:rowOff>165100</xdr:rowOff>
                  </from>
                  <to>
                    <xdr:col>8</xdr:col>
                    <xdr:colOff>114300</xdr:colOff>
                    <xdr:row>29</xdr:row>
                    <xdr:rowOff>184150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K20"/>
  <sheetViews>
    <sheetView topLeftCell="P1" workbookViewId="0">
      <selection activeCell="AE22" sqref="AE22"/>
    </sheetView>
  </sheetViews>
  <sheetFormatPr defaultRowHeight="14.5" x14ac:dyDescent="0.35"/>
  <cols>
    <col min="4" max="4" width="14.7265625" customWidth="1"/>
    <col min="5" max="5" width="12.26953125" customWidth="1"/>
    <col min="11" max="11" width="11.1796875" customWidth="1"/>
    <col min="12" max="12" width="11.54296875" customWidth="1"/>
    <col min="20" max="20" width="9.7265625" bestFit="1" customWidth="1"/>
    <col min="22" max="22" width="12.81640625" customWidth="1"/>
    <col min="30" max="30" width="10.7265625" customWidth="1"/>
    <col min="33" max="33" width="9.7265625" bestFit="1" customWidth="1"/>
    <col min="34" max="34" width="12" customWidth="1"/>
    <col min="35" max="35" width="14.54296875" customWidth="1"/>
    <col min="36" max="36" width="12.54296875" bestFit="1" customWidth="1"/>
  </cols>
  <sheetData>
    <row r="1" spans="2:37" x14ac:dyDescent="0.35">
      <c r="R1" s="21"/>
    </row>
    <row r="2" spans="2:37" x14ac:dyDescent="0.35">
      <c r="B2" s="51" t="s">
        <v>212</v>
      </c>
      <c r="J2" s="51" t="s">
        <v>213</v>
      </c>
      <c r="T2" t="s">
        <v>183</v>
      </c>
      <c r="U2" s="51" t="str">
        <f>Dashboard!G18</f>
        <v>NKLA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" thickBot="1" x14ac:dyDescent="0.4">
      <c r="R3" s="21"/>
    </row>
    <row r="4" spans="2:37" ht="15" thickBot="1" x14ac:dyDescent="0.4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3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107.25</v>
      </c>
      <c r="E5">
        <f>INDEX(tbl_position[], COUNT(tbl_position[Date]), MATCH("Shares_"&amp;C5, pos_header,0))</f>
        <v>100</v>
      </c>
      <c r="F5">
        <f ca="1">tbl_holdings[[#This Row],[Current Price]]*tbl_holdings[[#This Row],['# Holdings]]</f>
        <v>10725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44078</v>
      </c>
      <c r="U5" s="63">
        <f ca="1">INDEX(INDIRECT("tbl_"&amp;$U$2), COUNT(Date_List)-$W$2+$S5, MATCH("Adj Close", Price_Header,0))</f>
        <v>35.549999</v>
      </c>
      <c r="V5" s="19">
        <f t="shared" ref="V5:V18" ca="1" si="1">INDEX(INDIRECT("tbl_"&amp;$U$2), COUNT(Date_List)-$W$2+$S5, MATCH("volume", Price_Header,0))/1000</f>
        <v>8560.9</v>
      </c>
      <c r="W5" s="63">
        <f t="shared" ref="W5:W18" ca="1" si="2">INDEX(INDIRECT("tbl_"&amp;$U$2), COUNT(Date_List)-$W$2+$S5, MATCH("EMA", Price_Header,0))</f>
        <v>40.338183657131353</v>
      </c>
      <c r="X5" s="64">
        <f t="shared" ref="X5:X18" ca="1" si="3">INDEX(INDIRECT("tbl_"&amp;$U$2), COUNT(Date_List)-$W$2+$S5, MATCH("RSI", Price_Header,0))</f>
        <v>24.906127966591214</v>
      </c>
      <c r="Y5" s="63">
        <f t="shared" ref="Y5:Y18" ca="1" si="4">INDEX(INDIRECT("tbl_"&amp;$U$2), COUNT(Date_List)-$W$2+$S5, MATCH("BB_Mean", Price_Header,0))</f>
        <v>39.632856571428576</v>
      </c>
      <c r="Z5" s="63">
        <f t="shared" ref="Z5:Z18" ca="1" si="5">INDEX(INDIRECT("tbl_"&amp;$U$2), COUNT(Date_List)-$W$2+$S5, MATCH("BB_upper", Price_Header,0))</f>
        <v>43.622970048126682</v>
      </c>
      <c r="AA5" s="63">
        <f t="shared" ref="AA5:AA18" ca="1" si="6">INDEX(INDIRECT("tbl_"&amp;$U$2), COUNT(Date_List)-$W$2+$S5, MATCH("BB_lower", Price_Header,0))</f>
        <v>35.64274309473047</v>
      </c>
      <c r="AB5" s="19" t="str">
        <f ca="1">TEXT(T5, "mm/dd")</f>
        <v>09/04</v>
      </c>
      <c r="AC5" s="19">
        <v>70</v>
      </c>
      <c r="AD5" s="20">
        <v>30</v>
      </c>
      <c r="AG5">
        <v>0</v>
      </c>
      <c r="AH5" s="8">
        <v>44083</v>
      </c>
      <c r="AI5" s="126">
        <v>100000</v>
      </c>
      <c r="AJ5" s="126">
        <v>100000</v>
      </c>
      <c r="AK5" t="str">
        <f>TEXT(AH5, "mm/dd")</f>
        <v>09/09</v>
      </c>
    </row>
    <row r="6" spans="2:37" x14ac:dyDescent="0.3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31.32</v>
      </c>
      <c r="E6">
        <f>INDEX(tbl_position[], COUNT(tbl_position[Date]), MATCH("Shares_"&amp;C6, pos_header,0))</f>
        <v>100</v>
      </c>
      <c r="F6">
        <f ca="1">tbl_holdings[[#This Row],[Current Price]]*tbl_holdings[[#This Row],['# Holdings]]</f>
        <v>3132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t="shared" ref="T6:T18" ca="1" si="8">INDEX(INDIRECT("tbl_"&amp;$U$2), COUNT(Date_List)-$W$2+$S6, 1)</f>
        <v>44082</v>
      </c>
      <c r="U6" s="53">
        <f t="shared" ref="U6:U18" ca="1" si="9">INDEX(INDIRECT("tbl_"&amp;$U$2), COUNT(Date_List)-$W$2+$S6, MATCH("Adj Close", Price_Header,0))</f>
        <v>50.049999</v>
      </c>
      <c r="V6" s="21">
        <f t="shared" ca="1" si="1"/>
        <v>134889.60000000001</v>
      </c>
      <c r="W6" s="53">
        <f t="shared" ca="1" si="2"/>
        <v>41.309365191418223</v>
      </c>
      <c r="X6" s="54">
        <f t="shared" ca="1" si="3"/>
        <v>64.457624463650973</v>
      </c>
      <c r="Y6" s="53">
        <f t="shared" ca="1" si="4"/>
        <v>40.224999500000003</v>
      </c>
      <c r="Z6" s="53">
        <f t="shared" ca="1" si="5"/>
        <v>47.037353172331407</v>
      </c>
      <c r="AA6" s="53">
        <f t="shared" ca="1" si="6"/>
        <v>33.412645827668598</v>
      </c>
      <c r="AB6" s="21" t="str">
        <f t="shared" ref="AB6:AB18" ca="1" si="10">TEXT(T6, "mm/dd")</f>
        <v>09/08</v>
      </c>
      <c r="AC6" s="21">
        <v>70</v>
      </c>
      <c r="AD6" s="15">
        <v>30</v>
      </c>
      <c r="AG6" s="47">
        <v>1</v>
      </c>
      <c r="AH6" s="8">
        <f>INDEX(tbl_position[Date], AG6)</f>
        <v>44084</v>
      </c>
      <c r="AI6" s="127">
        <f ca="1">INDEX(tbl_position[Total_Net_Asset], AG6)</f>
        <v>98595.0003</v>
      </c>
      <c r="AJ6" s="126">
        <f>INDEX(tbl_position[Cash_Holding], AG6)</f>
        <v>63721.5</v>
      </c>
      <c r="AK6" t="str">
        <f>TEXT(AH6, "mm/dd")</f>
        <v>09/10</v>
      </c>
    </row>
    <row r="7" spans="2:37" x14ac:dyDescent="0.35">
      <c r="B7">
        <v>3</v>
      </c>
      <c r="C7" t="str">
        <f t="shared" si="0"/>
        <v>FDX</v>
      </c>
      <c r="D7">
        <f t="shared" ca="1" si="7"/>
        <v>240.23</v>
      </c>
      <c r="E7">
        <f>INDEX(tbl_position[], COUNT(tbl_position[Date]), MATCH("Shares_"&amp;C7, pos_header,0))</f>
        <v>0</v>
      </c>
      <c r="F7">
        <f ca="1">tbl_holdings[[#This Row],[Current Price]]*tbl_holdings[[#This Row],['# Holdings]]</f>
        <v>0</v>
      </c>
      <c r="J7">
        <v>3</v>
      </c>
      <c r="K7" s="8">
        <f t="shared" ref="K7:K10" si="11">K6+7</f>
        <v>44097</v>
      </c>
      <c r="L7" s="8">
        <f t="shared" ref="L7:L10" si="12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6150.6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ca="1" si="8"/>
        <v>44083</v>
      </c>
      <c r="U7" s="53">
        <f t="shared" ca="1" si="9"/>
        <v>42.369999</v>
      </c>
      <c r="V7" s="21">
        <f t="shared" ca="1" si="1"/>
        <v>51515.199999999997</v>
      </c>
      <c r="W7" s="53">
        <f t="shared" ca="1" si="2"/>
        <v>41.415428572276404</v>
      </c>
      <c r="X7" s="54">
        <f t="shared" ca="1" si="3"/>
        <v>49.77515455594768</v>
      </c>
      <c r="Y7" s="53">
        <f t="shared" ca="1" si="4"/>
        <v>40.213570928571428</v>
      </c>
      <c r="Z7" s="53">
        <f t="shared" ca="1" si="5"/>
        <v>47.009784804378931</v>
      </c>
      <c r="AA7" s="53">
        <f t="shared" ca="1" si="6"/>
        <v>33.417357052763926</v>
      </c>
      <c r="AB7" s="21" t="str">
        <f t="shared" ca="1" si="10"/>
        <v>09/09</v>
      </c>
      <c r="AC7" s="21">
        <v>70</v>
      </c>
      <c r="AD7" s="15">
        <v>30</v>
      </c>
      <c r="AG7" s="47">
        <v>2</v>
      </c>
      <c r="AH7" s="8">
        <f>INDEX(tbl_position[Date], AG7)</f>
        <v>44085</v>
      </c>
      <c r="AI7" s="127">
        <f ca="1">INDEX(tbl_position[Total_Net_Asset], AG7)</f>
        <v>98794.499349999998</v>
      </c>
      <c r="AJ7" s="126">
        <f>INDEX(tbl_position[Cash_Holding], AG7)</f>
        <v>65134</v>
      </c>
      <c r="AK7" t="str">
        <f>TEXT(AH7, "mm/dd")</f>
        <v>09/11</v>
      </c>
    </row>
    <row r="8" spans="2:37" x14ac:dyDescent="0.35">
      <c r="B8">
        <v>4</v>
      </c>
      <c r="C8" t="str">
        <f t="shared" si="0"/>
        <v>HD</v>
      </c>
      <c r="D8">
        <f t="shared" ca="1" si="7"/>
        <v>264.8</v>
      </c>
      <c r="E8">
        <f>INDEX(tbl_position[], COUNT(tbl_position[Date]), MATCH("Shares_"&amp;C8, pos_header,0))</f>
        <v>50</v>
      </c>
      <c r="F8">
        <f ca="1">tbl_holdings[[#This Row],[Current Price]]*tbl_holdings[[#This Row],['# Holdings]]</f>
        <v>13240</v>
      </c>
      <c r="J8">
        <v>4</v>
      </c>
      <c r="K8" s="8">
        <f t="shared" si="11"/>
        <v>44104</v>
      </c>
      <c r="L8" s="8">
        <f t="shared" si="12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8"/>
        <v>44084</v>
      </c>
      <c r="U8" s="53">
        <f t="shared" ca="1" si="9"/>
        <v>37.57</v>
      </c>
      <c r="V8" s="21">
        <f t="shared" ca="1" si="1"/>
        <v>66305.899999999994</v>
      </c>
      <c r="W8" s="53">
        <f t="shared" ca="1" si="2"/>
        <v>41.030885715048761</v>
      </c>
      <c r="X8" s="54">
        <f t="shared" ca="1" si="3"/>
        <v>45.656097661265491</v>
      </c>
      <c r="Y8" s="53">
        <f t="shared" ca="1" si="4"/>
        <v>39.972856714285719</v>
      </c>
      <c r="Z8" s="53">
        <f t="shared" ca="1" si="5"/>
        <v>46.89577879072769</v>
      </c>
      <c r="AA8" s="53">
        <f t="shared" ca="1" si="6"/>
        <v>33.049934637843748</v>
      </c>
      <c r="AB8" s="21" t="str">
        <f t="shared" ca="1" si="10"/>
        <v>09/10</v>
      </c>
      <c r="AC8" s="21">
        <v>70</v>
      </c>
      <c r="AD8" s="15">
        <v>30</v>
      </c>
      <c r="AG8" s="47">
        <v>3</v>
      </c>
      <c r="AH8" s="8">
        <v>44088</v>
      </c>
      <c r="AI8" s="127">
        <f ca="1">INDEX(tbl_position[Total_Net_Asset], AG8)</f>
        <v>100686.20004999998</v>
      </c>
      <c r="AJ8" s="126">
        <f>INDEX(tbl_position[Cash_Holding], AG8)</f>
        <v>62700.2</v>
      </c>
      <c r="AK8" t="str">
        <f t="shared" ref="AK8:AK11" si="13">TEXT(AH8, "mm/dd")</f>
        <v>09/14</v>
      </c>
    </row>
    <row r="9" spans="2:37" x14ac:dyDescent="0.35">
      <c r="B9">
        <v>5</v>
      </c>
      <c r="C9" t="str">
        <f t="shared" si="0"/>
        <v>IBM</v>
      </c>
      <c r="D9">
        <f t="shared" ca="1" si="7"/>
        <v>116.7</v>
      </c>
      <c r="E9">
        <f>INDEX(tbl_position[], COUNT(tbl_position[Date]), MATCH("Shares_"&amp;C9, pos_header,0))</f>
        <v>100</v>
      </c>
      <c r="F9">
        <f ca="1">tbl_holdings[[#This Row],[Current Price]]*tbl_holdings[[#This Row],['# Holdings]]</f>
        <v>11670</v>
      </c>
      <c r="J9">
        <v>5</v>
      </c>
      <c r="K9" s="8">
        <f t="shared" si="11"/>
        <v>44111</v>
      </c>
      <c r="L9" s="8">
        <f t="shared" si="12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9" s="14">
        <v>5</v>
      </c>
      <c r="T9" s="52">
        <f t="shared" ca="1" si="8"/>
        <v>44085</v>
      </c>
      <c r="U9" s="53">
        <f t="shared" ca="1" si="9"/>
        <v>32.130001</v>
      </c>
      <c r="V9" s="21">
        <f t="shared" ca="1" si="1"/>
        <v>99981.4</v>
      </c>
      <c r="W9" s="53">
        <f t="shared" ca="1" si="2"/>
        <v>40.140797243543886</v>
      </c>
      <c r="X9" s="54">
        <f t="shared" ca="1" si="3"/>
        <v>41.514300259864079</v>
      </c>
      <c r="Y9" s="53">
        <f t="shared" ca="1" si="4"/>
        <v>39.455714</v>
      </c>
      <c r="Z9" s="53">
        <f t="shared" ca="1" si="5"/>
        <v>47.554433725276084</v>
      </c>
      <c r="AA9" s="53">
        <f t="shared" ca="1" si="6"/>
        <v>31.356994274723913</v>
      </c>
      <c r="AB9" s="21" t="str">
        <f t="shared" ca="1" si="10"/>
        <v>09/11</v>
      </c>
      <c r="AC9" s="21">
        <v>70</v>
      </c>
      <c r="AD9" s="15">
        <v>30</v>
      </c>
      <c r="AG9" s="47">
        <v>4</v>
      </c>
      <c r="AH9" s="8">
        <v>44089</v>
      </c>
      <c r="AI9" s="127">
        <f ca="1">INDEX(tbl_position[Total_Net_Asset], AG9)</f>
        <v>100190.69995000001</v>
      </c>
      <c r="AJ9" s="126">
        <f>INDEX(tbl_position[Cash_Holding], AG9)</f>
        <v>62700.2</v>
      </c>
      <c r="AK9" t="str">
        <f t="shared" si="13"/>
        <v>09/15</v>
      </c>
    </row>
    <row r="10" spans="2:37" x14ac:dyDescent="0.35">
      <c r="B10">
        <v>6</v>
      </c>
      <c r="C10" t="str">
        <f t="shared" si="0"/>
        <v>NKLA</v>
      </c>
      <c r="D10">
        <f t="shared" ca="1" si="7"/>
        <v>17.14</v>
      </c>
      <c r="E10">
        <f>INDEX(tbl_position[], COUNT(tbl_position[Date]), MATCH("Shares_"&amp;C10, pos_header,0))</f>
        <v>0</v>
      </c>
      <c r="F10">
        <f ca="1">tbl_holdings[[#This Row],[Current Price]]*tbl_holdings[[#This Row],['# Holdings]]</f>
        <v>0</v>
      </c>
      <c r="J10">
        <v>6</v>
      </c>
      <c r="K10" s="8">
        <f t="shared" si="11"/>
        <v>44118</v>
      </c>
      <c r="L10" s="8">
        <f t="shared" si="12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8"/>
        <v>44088</v>
      </c>
      <c r="U10" s="53">
        <f t="shared" ca="1" si="9"/>
        <v>35.790000999999997</v>
      </c>
      <c r="V10" s="21">
        <f t="shared" ca="1" si="1"/>
        <v>112232.5</v>
      </c>
      <c r="W10" s="53">
        <f t="shared" ca="1" si="2"/>
        <v>39.7057176191895</v>
      </c>
      <c r="X10" s="54">
        <f t="shared" ca="1" si="3"/>
        <v>46.822964087155654</v>
      </c>
      <c r="Y10" s="53">
        <f t="shared" ca="1" si="4"/>
        <v>39.248571285714284</v>
      </c>
      <c r="Z10" s="53">
        <f t="shared" ca="1" si="5"/>
        <v>47.576753611045532</v>
      </c>
      <c r="AA10" s="53">
        <f t="shared" ca="1" si="6"/>
        <v>30.920388960383036</v>
      </c>
      <c r="AB10" s="21" t="str">
        <f t="shared" ca="1" si="10"/>
        <v>09/14</v>
      </c>
      <c r="AC10" s="21">
        <v>70</v>
      </c>
      <c r="AD10" s="15">
        <v>30</v>
      </c>
      <c r="AG10" s="47">
        <v>5</v>
      </c>
      <c r="AH10" s="8">
        <v>44090</v>
      </c>
      <c r="AI10" s="127">
        <f ca="1">INDEX(tbl_position[Total_Net_Asset], AG10)</f>
        <v>99755.299849999996</v>
      </c>
      <c r="AJ10" s="126">
        <f>INDEX(tbl_position[Cash_Holding], AG10)</f>
        <v>61575.199999999997</v>
      </c>
      <c r="AK10" t="str">
        <f t="shared" si="13"/>
        <v>09/16</v>
      </c>
    </row>
    <row r="11" spans="2:37" x14ac:dyDescent="0.35">
      <c r="B11">
        <v>7</v>
      </c>
      <c r="C11" t="str">
        <f>INDEX(Symbol,B11)</f>
        <v>ORCL</v>
      </c>
      <c r="D11">
        <f ca="1">INDEX(INDIRECT("tbl_"&amp;C11),COUNT(INDIRECT("tbl_"&amp;C11&amp;"[Date]")), MATCH("Adj close", Price_Header,0))</f>
        <v>58.31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K11" s="8"/>
      <c r="L11" s="8"/>
      <c r="S11" s="14">
        <v>7</v>
      </c>
      <c r="T11" s="52">
        <f t="shared" ca="1" si="8"/>
        <v>44089</v>
      </c>
      <c r="U11" s="53">
        <f t="shared" ca="1" si="9"/>
        <v>32.830002</v>
      </c>
      <c r="V11" s="21">
        <f t="shared" ca="1" si="1"/>
        <v>52984.9</v>
      </c>
      <c r="W11" s="53">
        <f t="shared" ca="1" si="2"/>
        <v>39.018146057270549</v>
      </c>
      <c r="X11" s="54">
        <f t="shared" ca="1" si="3"/>
        <v>43.40054140936045</v>
      </c>
      <c r="Y11" s="53">
        <f t="shared" ca="1" si="4"/>
        <v>38.795000000000002</v>
      </c>
      <c r="Z11" s="53">
        <f t="shared" ca="1" si="5"/>
        <v>47.80317868793982</v>
      </c>
      <c r="AA11" s="53">
        <f t="shared" ca="1" si="6"/>
        <v>29.786821312060184</v>
      </c>
      <c r="AB11" s="21" t="str">
        <f t="shared" ca="1" si="10"/>
        <v>09/15</v>
      </c>
      <c r="AC11" s="21">
        <v>70</v>
      </c>
      <c r="AD11" s="15">
        <v>30</v>
      </c>
      <c r="AG11" s="47">
        <v>6</v>
      </c>
      <c r="AH11" s="8">
        <v>44091</v>
      </c>
      <c r="AI11" s="127">
        <f ca="1">INDEX(tbl_position[Total_Net_Asset], AG11)</f>
        <v>99446.298949999997</v>
      </c>
      <c r="AJ11" s="126">
        <f>INDEX(tbl_position[Cash_Holding], AG11)</f>
        <v>57949.2</v>
      </c>
      <c r="AK11" t="str">
        <f t="shared" si="13"/>
        <v>09/17</v>
      </c>
    </row>
    <row r="12" spans="2:37" x14ac:dyDescent="0.35">
      <c r="B12">
        <v>8</v>
      </c>
      <c r="C12" t="str">
        <f>INDEX(Symbol,B12)</f>
        <v>RIOT</v>
      </c>
      <c r="D12">
        <f ca="1">INDEX(INDIRECT("tbl_"&amp;C12),COUNT(INDIRECT("tbl_"&amp;C12&amp;"[Date]")), MATCH("Adj close", Price_Header,0))</f>
        <v>2.4098999999999999</v>
      </c>
      <c r="E12">
        <f>INDEX(tbl_position[], COUNT(tbl_position[Date]), MATCH("Shares_"&amp;C12, pos_header,0))</f>
        <v>0</v>
      </c>
      <c r="F12">
        <f ca="1">tbl_holdings[[#This Row],[Current Price]]*tbl_holdings[[#This Row],['# Holdings]]</f>
        <v>0</v>
      </c>
      <c r="K12" s="8"/>
      <c r="L12" s="8"/>
      <c r="S12" s="14">
        <v>8</v>
      </c>
      <c r="T12" s="52">
        <f t="shared" ca="1" si="8"/>
        <v>44090</v>
      </c>
      <c r="U12" s="53">
        <f t="shared" ca="1" si="9"/>
        <v>33.279998999999997</v>
      </c>
      <c r="V12" s="21">
        <f t="shared" ca="1" si="1"/>
        <v>46638.1</v>
      </c>
      <c r="W12" s="53">
        <f t="shared" ca="1" si="2"/>
        <v>38.444331351543497</v>
      </c>
      <c r="X12" s="54">
        <f t="shared" ca="1" si="3"/>
        <v>44.253109684319632</v>
      </c>
      <c r="Y12" s="53">
        <f t="shared" ca="1" si="4"/>
        <v>38.399285642857144</v>
      </c>
      <c r="Z12" s="53">
        <f t="shared" ca="1" si="5"/>
        <v>47.87721179926816</v>
      </c>
      <c r="AA12" s="53">
        <f t="shared" ca="1" si="6"/>
        <v>28.921359486446129</v>
      </c>
      <c r="AB12" s="21" t="str">
        <f t="shared" ca="1" si="10"/>
        <v>09/16</v>
      </c>
      <c r="AC12" s="21">
        <v>70</v>
      </c>
      <c r="AD12" s="15">
        <v>30</v>
      </c>
      <c r="AG12" s="47"/>
    </row>
    <row r="13" spans="2:37" x14ac:dyDescent="0.35">
      <c r="B13">
        <v>9</v>
      </c>
      <c r="C13" t="str">
        <f>INDEX(Symbol,B13)</f>
        <v>SPXS</v>
      </c>
      <c r="D13">
        <f ca="1">INDEX(INDIRECT("tbl_"&amp;C13),COUNT(INDIRECT("tbl_"&amp;C13&amp;"[Date]")), MATCH("Adj close", Price_Header,0))</f>
        <v>6.59</v>
      </c>
      <c r="E13">
        <f>INDEX(tbl_position[], COUNT(tbl_position[Date]), MATCH("Shares_"&amp;C13, pos_header,0))</f>
        <v>1000</v>
      </c>
      <c r="F13">
        <f ca="1">tbl_holdings[[#This Row],[Current Price]]*tbl_holdings[[#This Row],['# Holdings]]</f>
        <v>6590</v>
      </c>
      <c r="K13" s="8"/>
      <c r="L13" s="8"/>
      <c r="S13" s="14">
        <v>9</v>
      </c>
      <c r="T13" s="52">
        <f t="shared" ca="1" si="8"/>
        <v>44091</v>
      </c>
      <c r="U13" s="53">
        <f t="shared" ca="1" si="9"/>
        <v>33.830002</v>
      </c>
      <c r="V13" s="21">
        <f t="shared" ca="1" si="1"/>
        <v>24552.43</v>
      </c>
      <c r="W13" s="53">
        <f t="shared" ca="1" si="2"/>
        <v>37.982898416389148</v>
      </c>
      <c r="X13" s="54">
        <f t="shared" ca="1" si="3"/>
        <v>44.322420201031534</v>
      </c>
      <c r="Y13" s="53">
        <f t="shared" ca="1" si="4"/>
        <v>38.007857142857141</v>
      </c>
      <c r="Z13" s="53">
        <f t="shared" ca="1" si="5"/>
        <v>47.772076698802636</v>
      </c>
      <c r="AA13" s="53">
        <f t="shared" ca="1" si="6"/>
        <v>28.243637586911643</v>
      </c>
      <c r="AB13" s="21" t="str">
        <f t="shared" ca="1" si="10"/>
        <v>09/17</v>
      </c>
      <c r="AC13" s="21">
        <v>70</v>
      </c>
      <c r="AD13" s="15">
        <v>30</v>
      </c>
      <c r="AG13" s="47"/>
    </row>
    <row r="14" spans="2:37" x14ac:dyDescent="0.35">
      <c r="B14">
        <v>10</v>
      </c>
      <c r="C14" t="str">
        <f>INDEX(Symbol,B14)</f>
        <v>WMT</v>
      </c>
      <c r="D14">
        <f ca="1">INDEX(INDIRECT("tbl_"&amp;C14),COUNT(INDIRECT("tbl_"&amp;C14&amp;"[Date]")), MATCH("Adj close", Price_Header,0))</f>
        <v>135.81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8"/>
        <v>44092</v>
      </c>
      <c r="U14" s="53">
        <f t="shared" ca="1" si="9"/>
        <v>34.19</v>
      </c>
      <c r="V14" s="21">
        <f t="shared" ca="1" si="1"/>
        <v>21529</v>
      </c>
      <c r="W14" s="53">
        <f t="shared" ca="1" si="2"/>
        <v>37.603608574750233</v>
      </c>
      <c r="X14" s="54">
        <f t="shared" ca="1" si="3"/>
        <v>42.314298808810442</v>
      </c>
      <c r="Y14" s="53">
        <f t="shared" ca="1" si="4"/>
        <v>37.496428714285706</v>
      </c>
      <c r="Z14" s="53">
        <f t="shared" ca="1" si="5"/>
        <v>47.256618618221324</v>
      </c>
      <c r="AA14" s="53">
        <f t="shared" ca="1" si="6"/>
        <v>27.736238810350088</v>
      </c>
      <c r="AB14" s="21" t="str">
        <f t="shared" ca="1" si="10"/>
        <v>09/18</v>
      </c>
      <c r="AC14" s="21">
        <v>70</v>
      </c>
      <c r="AD14" s="15">
        <v>30</v>
      </c>
      <c r="AG14" s="47"/>
    </row>
    <row r="15" spans="2:37" x14ac:dyDescent="0.35">
      <c r="B15" t="s">
        <v>162</v>
      </c>
      <c r="F15">
        <f ca="1">SUBTOTAL(109,tbl_holdings[Total])</f>
        <v>45357</v>
      </c>
      <c r="S15" s="14">
        <v>11</v>
      </c>
      <c r="T15" s="52">
        <f t="shared" ca="1" si="8"/>
        <v>44095</v>
      </c>
      <c r="U15" s="53">
        <f t="shared" ca="1" si="9"/>
        <v>27.58</v>
      </c>
      <c r="V15" s="21">
        <f t="shared" ca="1" si="1"/>
        <v>86856.2</v>
      </c>
      <c r="W15" s="53">
        <f t="shared" ca="1" si="2"/>
        <v>36.601247717275214</v>
      </c>
      <c r="X15" s="54">
        <f t="shared" ca="1" si="3"/>
        <v>37.435895293057477</v>
      </c>
      <c r="Y15" s="53">
        <f t="shared" ca="1" si="4"/>
        <v>36.55142864285714</v>
      </c>
      <c r="Z15" s="53">
        <f t="shared" ca="1" si="5"/>
        <v>47.427693455398924</v>
      </c>
      <c r="AA15" s="53">
        <f t="shared" ca="1" si="6"/>
        <v>25.675163830315352</v>
      </c>
      <c r="AB15" s="21" t="str">
        <f t="shared" ca="1" si="10"/>
        <v>09/21</v>
      </c>
      <c r="AC15" s="21">
        <v>70</v>
      </c>
      <c r="AD15" s="15">
        <v>30</v>
      </c>
      <c r="AG15" s="47"/>
    </row>
    <row r="16" spans="2:37" x14ac:dyDescent="0.35">
      <c r="S16" s="14">
        <v>12</v>
      </c>
      <c r="T16" s="52">
        <f t="shared" ca="1" si="8"/>
        <v>44096</v>
      </c>
      <c r="U16" s="53">
        <f t="shared" ca="1" si="9"/>
        <v>28.51</v>
      </c>
      <c r="V16" s="21">
        <f t="shared" ca="1" si="1"/>
        <v>30361.1</v>
      </c>
      <c r="W16" s="53">
        <f t="shared" ca="1" si="2"/>
        <v>35.792122945547696</v>
      </c>
      <c r="X16" s="54">
        <f t="shared" ca="1" si="3"/>
        <v>38.30305212984095</v>
      </c>
      <c r="Y16" s="53">
        <f t="shared" ca="1" si="4"/>
        <v>35.659285785714282</v>
      </c>
      <c r="Z16" s="53">
        <f t="shared" ca="1" si="5"/>
        <v>47.002662248161414</v>
      </c>
      <c r="AA16" s="53">
        <f t="shared" ca="1" si="6"/>
        <v>24.315909323267149</v>
      </c>
      <c r="AB16" s="21" t="str">
        <f t="shared" ca="1" si="10"/>
        <v>09/22</v>
      </c>
      <c r="AC16" s="21">
        <v>70</v>
      </c>
      <c r="AD16" s="15">
        <v>30</v>
      </c>
      <c r="AG16" s="47"/>
    </row>
    <row r="17" spans="18:33" x14ac:dyDescent="0.35">
      <c r="S17" s="14">
        <v>13</v>
      </c>
      <c r="T17" s="52">
        <f t="shared" ca="1" si="8"/>
        <v>44097</v>
      </c>
      <c r="U17" s="53">
        <f t="shared" ca="1" si="9"/>
        <v>21.15</v>
      </c>
      <c r="V17" s="21">
        <f t="shared" ca="1" si="1"/>
        <v>47830.5</v>
      </c>
      <c r="W17" s="53">
        <f t="shared" ca="1" si="2"/>
        <v>34.327910650992926</v>
      </c>
      <c r="X17" s="54">
        <f t="shared" ca="1" si="3"/>
        <v>34.56143328322797</v>
      </c>
      <c r="Y17" s="53">
        <f t="shared" ca="1" si="4"/>
        <v>34.354285928571421</v>
      </c>
      <c r="Z17" s="53">
        <f t="shared" ca="1" si="5"/>
        <v>47.836110605023748</v>
      </c>
      <c r="AA17" s="53">
        <f t="shared" ca="1" si="6"/>
        <v>20.872461252119091</v>
      </c>
      <c r="AB17" s="21" t="str">
        <f t="shared" ca="1" si="10"/>
        <v>09/23</v>
      </c>
      <c r="AC17" s="21">
        <v>70</v>
      </c>
      <c r="AD17" s="15">
        <v>30</v>
      </c>
      <c r="AG17" s="47"/>
    </row>
    <row r="18" spans="18:33" ht="15" thickBot="1" x14ac:dyDescent="0.4">
      <c r="S18" s="16">
        <v>14</v>
      </c>
      <c r="T18" s="55">
        <f t="shared" ca="1" si="8"/>
        <v>44098</v>
      </c>
      <c r="U18" s="56">
        <f t="shared" ca="1" si="9"/>
        <v>17.14</v>
      </c>
      <c r="V18" s="22">
        <f t="shared" ca="1" si="1"/>
        <v>8689.5969999999998</v>
      </c>
      <c r="W18" s="56">
        <f t="shared" ca="1" si="2"/>
        <v>32.609119585893637</v>
      </c>
      <c r="X18" s="57">
        <f t="shared" ca="1" si="3"/>
        <v>34.145932583700088</v>
      </c>
      <c r="Y18" s="56">
        <f t="shared" ca="1" si="4"/>
        <v>32.997857285714275</v>
      </c>
      <c r="Z18" s="56">
        <f t="shared" ca="1" si="5"/>
        <v>49.247246232359231</v>
      </c>
      <c r="AA18" s="56">
        <f t="shared" ca="1" si="6"/>
        <v>16.748468339069316</v>
      </c>
      <c r="AB18" s="22" t="str">
        <f t="shared" ca="1" si="10"/>
        <v>09/24</v>
      </c>
      <c r="AC18" s="22">
        <v>70</v>
      </c>
      <c r="AD18" s="17">
        <v>30</v>
      </c>
      <c r="AG18" s="47"/>
    </row>
    <row r="19" spans="18:33" x14ac:dyDescent="0.35"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8:33" x14ac:dyDescent="0.35"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CC"/>
  </sheetPr>
  <dimension ref="A2:J43"/>
  <sheetViews>
    <sheetView topLeftCell="A31" workbookViewId="0">
      <selection activeCell="W45" sqref="W45"/>
    </sheetView>
  </sheetViews>
  <sheetFormatPr defaultRowHeight="14.5" x14ac:dyDescent="0.35"/>
  <sheetData>
    <row r="2" spans="1:10" ht="21" x14ac:dyDescent="0.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5">
      <c r="A3" t="s">
        <v>257</v>
      </c>
    </row>
    <row r="4" spans="1:10" x14ac:dyDescent="0.35">
      <c r="A4" t="s">
        <v>258</v>
      </c>
    </row>
    <row r="6" spans="1:10" ht="15.5" x14ac:dyDescent="0.35">
      <c r="A6" s="7" t="s">
        <v>259</v>
      </c>
    </row>
    <row r="7" spans="1:10" x14ac:dyDescent="0.35">
      <c r="A7" t="s">
        <v>260</v>
      </c>
    </row>
    <row r="9" spans="1:10" x14ac:dyDescent="0.35">
      <c r="A9" s="66" t="s">
        <v>261</v>
      </c>
    </row>
    <row r="10" spans="1:10" x14ac:dyDescent="0.35">
      <c r="A10" t="s">
        <v>262</v>
      </c>
    </row>
    <row r="11" spans="1:10" x14ac:dyDescent="0.35">
      <c r="B11" t="s">
        <v>263</v>
      </c>
    </row>
    <row r="12" spans="1:10" x14ac:dyDescent="0.35">
      <c r="A12" t="s">
        <v>264</v>
      </c>
    </row>
    <row r="13" spans="1:10" x14ac:dyDescent="0.35">
      <c r="B13" t="s">
        <v>267</v>
      </c>
    </row>
    <row r="14" spans="1:10" x14ac:dyDescent="0.35">
      <c r="A14" t="s">
        <v>265</v>
      </c>
    </row>
    <row r="15" spans="1:10" x14ac:dyDescent="0.35">
      <c r="B15" t="s">
        <v>266</v>
      </c>
    </row>
    <row r="17" spans="1:2" ht="15.5" x14ac:dyDescent="0.35">
      <c r="A17" s="7" t="s">
        <v>268</v>
      </c>
    </row>
    <row r="18" spans="1:2" x14ac:dyDescent="0.35">
      <c r="A18" t="s">
        <v>284</v>
      </c>
    </row>
    <row r="20" spans="1:2" x14ac:dyDescent="0.35">
      <c r="A20" s="66" t="s">
        <v>261</v>
      </c>
    </row>
    <row r="21" spans="1:2" x14ac:dyDescent="0.35">
      <c r="A21" t="s">
        <v>269</v>
      </c>
    </row>
    <row r="22" spans="1:2" x14ac:dyDescent="0.35">
      <c r="B22" t="s">
        <v>270</v>
      </c>
    </row>
    <row r="23" spans="1:2" x14ac:dyDescent="0.35">
      <c r="A23" t="s">
        <v>272</v>
      </c>
    </row>
    <row r="26" spans="1:2" ht="15.5" x14ac:dyDescent="0.35">
      <c r="A26" s="7" t="s">
        <v>271</v>
      </c>
    </row>
    <row r="27" spans="1:2" x14ac:dyDescent="0.35">
      <c r="A27" t="s">
        <v>285</v>
      </c>
    </row>
    <row r="28" spans="1:2" x14ac:dyDescent="0.35">
      <c r="A28" s="66" t="s">
        <v>261</v>
      </c>
    </row>
    <row r="29" spans="1:2" x14ac:dyDescent="0.35">
      <c r="A29" t="s">
        <v>273</v>
      </c>
    </row>
    <row r="30" spans="1:2" x14ac:dyDescent="0.35">
      <c r="A30" t="s">
        <v>274</v>
      </c>
    </row>
    <row r="31" spans="1:2" x14ac:dyDescent="0.35">
      <c r="A31" t="s">
        <v>276</v>
      </c>
    </row>
    <row r="33" spans="1:1" ht="15.5" x14ac:dyDescent="0.35">
      <c r="A33" s="7" t="s">
        <v>277</v>
      </c>
    </row>
    <row r="34" spans="1:1" x14ac:dyDescent="0.35">
      <c r="A34" t="s">
        <v>286</v>
      </c>
    </row>
    <row r="35" spans="1:1" x14ac:dyDescent="0.35">
      <c r="A35" s="66" t="s">
        <v>261</v>
      </c>
    </row>
    <row r="36" spans="1:1" x14ac:dyDescent="0.35">
      <c r="A36" t="s">
        <v>278</v>
      </c>
    </row>
    <row r="37" spans="1:1" x14ac:dyDescent="0.35">
      <c r="A37" t="s">
        <v>279</v>
      </c>
    </row>
    <row r="38" spans="1:1" x14ac:dyDescent="0.35">
      <c r="A38" t="s">
        <v>280</v>
      </c>
    </row>
    <row r="39" spans="1:1" x14ac:dyDescent="0.35">
      <c r="A39" t="s">
        <v>281</v>
      </c>
    </row>
    <row r="40" spans="1:1" x14ac:dyDescent="0.35">
      <c r="A40" t="s">
        <v>282</v>
      </c>
    </row>
    <row r="41" spans="1:1" x14ac:dyDescent="0.35">
      <c r="A41" t="s">
        <v>283</v>
      </c>
    </row>
    <row r="43" spans="1:1" x14ac:dyDescent="0.35">
      <c r="A43" t="s">
        <v>287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5"/>
  <sheetViews>
    <sheetView topLeftCell="A35" workbookViewId="0">
      <selection activeCell="C54" sqref="C54"/>
    </sheetView>
  </sheetViews>
  <sheetFormatPr defaultRowHeight="14.5" x14ac:dyDescent="0.35"/>
  <cols>
    <col min="1" max="1" width="9.7265625" customWidth="1"/>
    <col min="2" max="2" width="15.54296875" customWidth="1"/>
    <col min="3" max="3" width="17.81640625" customWidth="1"/>
    <col min="4" max="4" width="14.1796875" customWidth="1"/>
    <col min="5" max="5" width="15.81640625" customWidth="1"/>
    <col min="6" max="6" width="10.26953125" customWidth="1"/>
    <col min="7" max="7" width="17.26953125" customWidth="1"/>
    <col min="8" max="8" width="15" hidden="1" customWidth="1"/>
    <col min="9" max="9" width="13.1796875" hidden="1" customWidth="1"/>
    <col min="10" max="10" width="13" hidden="1" customWidth="1"/>
    <col min="11" max="11" width="17.453125" customWidth="1"/>
    <col min="12" max="12" width="15.54296875" customWidth="1"/>
    <col min="13" max="13" width="15.453125" customWidth="1"/>
    <col min="14" max="14" width="13.453125" customWidth="1"/>
    <col min="15" max="15" width="18.453125" customWidth="1"/>
    <col min="16" max="16" width="19.1796875" customWidth="1"/>
    <col min="17" max="17" width="20.453125" customWidth="1"/>
    <col min="18" max="18" width="18.7265625" customWidth="1"/>
    <col min="19" max="19" width="21" customWidth="1"/>
  </cols>
  <sheetData>
    <row r="1" spans="1:19" ht="21" x14ac:dyDescent="0.5">
      <c r="A1" s="41" t="s">
        <v>15</v>
      </c>
      <c r="B1" s="41"/>
      <c r="C1" s="41"/>
      <c r="D1" s="41"/>
      <c r="E1" s="41"/>
    </row>
    <row r="2" spans="1:19" ht="15.5" x14ac:dyDescent="0.35">
      <c r="A2" t="s">
        <v>112</v>
      </c>
    </row>
    <row r="4" spans="1:19" x14ac:dyDescent="0.3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3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3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3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3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3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3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3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3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3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3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3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3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3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3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3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3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3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3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3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3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3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3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3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3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3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3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3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3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3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3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3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3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3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3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3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3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3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3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3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3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35">
      <c r="A45" t="s">
        <v>240</v>
      </c>
      <c r="B45" t="s">
        <v>289</v>
      </c>
      <c r="C45" t="s">
        <v>289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35">
      <c r="A46" t="s">
        <v>16</v>
      </c>
      <c r="B46" t="s">
        <v>290</v>
      </c>
      <c r="C46" t="s">
        <v>290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35">
      <c r="A47" t="s">
        <v>16</v>
      </c>
      <c r="B47" t="s">
        <v>290</v>
      </c>
      <c r="C47" t="s">
        <v>290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35">
      <c r="A48" t="s">
        <v>240</v>
      </c>
      <c r="B48" t="s">
        <v>290</v>
      </c>
      <c r="C48" t="s">
        <v>290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35">
      <c r="A49" t="s">
        <v>240</v>
      </c>
      <c r="B49" t="s">
        <v>291</v>
      </c>
      <c r="C49" t="s">
        <v>291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35">
      <c r="A50" t="s">
        <v>240</v>
      </c>
      <c r="B50" t="s">
        <v>292</v>
      </c>
      <c r="C50" t="s">
        <v>292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35">
      <c r="A51" t="s">
        <v>240</v>
      </c>
      <c r="B51" t="s">
        <v>293</v>
      </c>
      <c r="C51" t="s">
        <v>293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35">
      <c r="A52" t="s">
        <v>240</v>
      </c>
      <c r="B52" t="s">
        <v>294</v>
      </c>
      <c r="C52" t="s">
        <v>295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35">
      <c r="A53" t="s">
        <v>240</v>
      </c>
      <c r="B53" t="s">
        <v>296</v>
      </c>
      <c r="C53" t="s">
        <v>296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35">
      <c r="A54" t="s">
        <v>227</v>
      </c>
      <c r="B54" t="s">
        <v>297</v>
      </c>
      <c r="C54" t="s">
        <v>297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35">
      <c r="A55" t="s">
        <v>162</v>
      </c>
      <c r="P55" s="11">
        <f>SUBTOTAL(109,tbl_transaction[Net_Cash_Change])</f>
        <v>-56102.700000000004</v>
      </c>
      <c r="S55" s="47">
        <f>SUBTOTAL(109,tbl_transaction[Stock Holding Change])</f>
        <v>1330</v>
      </c>
    </row>
  </sheetData>
  <dataValidations count="3">
    <dataValidation type="list" allowBlank="1" showInputMessage="1" showErrorMessage="1" sqref="D5:D54" xr:uid="{00000000-0002-0000-0200-000000000000}">
      <formula1>Transactions</formula1>
    </dataValidation>
    <dataValidation type="list" allowBlank="1" showInputMessage="1" showErrorMessage="1" sqref="A5:A54" xr:uid="{00000000-0002-0000-0200-000001000000}">
      <formula1>Symbol</formula1>
    </dataValidation>
    <dataValidation type="whole" allowBlank="1" showInputMessage="1" showErrorMessage="1" sqref="F5:F54" xr:uid="{00000000-0002-0000-0200-000002000000}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13"/>
  <sheetViews>
    <sheetView workbookViewId="0">
      <selection activeCell="M10" sqref="M10"/>
    </sheetView>
  </sheetViews>
  <sheetFormatPr defaultRowHeight="14.5" x14ac:dyDescent="0.35"/>
  <cols>
    <col min="1" max="1" width="10.453125" customWidth="1"/>
    <col min="3" max="3" width="15.453125" customWidth="1"/>
    <col min="5" max="5" width="11.7265625" customWidth="1"/>
    <col min="8" max="8" width="12" customWidth="1"/>
  </cols>
  <sheetData>
    <row r="3" spans="1:9" ht="15.5" x14ac:dyDescent="0.3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3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3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3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35">
      <c r="A7" t="s">
        <v>22</v>
      </c>
      <c r="C7" t="s">
        <v>34</v>
      </c>
    </row>
    <row r="8" spans="1:9" x14ac:dyDescent="0.35">
      <c r="A8" t="s">
        <v>37</v>
      </c>
    </row>
    <row r="9" spans="1:9" x14ac:dyDescent="0.35">
      <c r="A9" t="s">
        <v>217</v>
      </c>
    </row>
    <row r="10" spans="1:9" x14ac:dyDescent="0.35">
      <c r="A10" t="s">
        <v>35</v>
      </c>
    </row>
    <row r="11" spans="1:9" x14ac:dyDescent="0.35">
      <c r="A11" t="s">
        <v>20</v>
      </c>
    </row>
    <row r="12" spans="1:9" x14ac:dyDescent="0.35">
      <c r="A12" t="s">
        <v>240</v>
      </c>
    </row>
    <row r="13" spans="1:9" x14ac:dyDescent="0.35">
      <c r="A13" t="s">
        <v>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1"/>
  <sheetViews>
    <sheetView topLeftCell="M1" workbookViewId="0">
      <selection activeCell="W17" sqref="W17"/>
    </sheetView>
  </sheetViews>
  <sheetFormatPr defaultRowHeight="14.5" x14ac:dyDescent="0.35"/>
  <cols>
    <col min="1" max="1" width="9.7265625" bestFit="1" customWidth="1"/>
    <col min="2" max="2" width="14" customWidth="1"/>
    <col min="3" max="4" width="12.7265625" customWidth="1"/>
    <col min="5" max="5" width="13.453125" customWidth="1"/>
    <col min="6" max="6" width="12.1796875" customWidth="1"/>
    <col min="7" max="11" width="13.1796875" customWidth="1"/>
    <col min="12" max="12" width="14.54296875" customWidth="1"/>
    <col min="13" max="13" width="15.54296875" customWidth="1"/>
    <col min="14" max="14" width="12.54296875" customWidth="1"/>
    <col min="15" max="15" width="16.7265625" customWidth="1"/>
    <col min="16" max="16" width="15.54296875" customWidth="1"/>
    <col min="17" max="21" width="16.453125" customWidth="1"/>
    <col min="22" max="22" width="16.81640625" customWidth="1"/>
    <col min="23" max="23" width="15.453125" customWidth="1"/>
    <col min="24" max="24" width="15.81640625" customWidth="1"/>
    <col min="25" max="25" width="17.453125" customWidth="1"/>
  </cols>
  <sheetData>
    <row r="1" spans="1:25" ht="21" x14ac:dyDescent="0.5">
      <c r="A1" s="41" t="s">
        <v>126</v>
      </c>
      <c r="B1" s="41"/>
      <c r="C1" s="41"/>
      <c r="D1" s="41"/>
      <c r="E1" s="41"/>
    </row>
    <row r="2" spans="1:25" ht="15.5" x14ac:dyDescent="0.35">
      <c r="A2" t="s">
        <v>127</v>
      </c>
    </row>
    <row r="4" spans="1:25" x14ac:dyDescent="0.3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246</v>
      </c>
      <c r="S4" t="s">
        <v>247</v>
      </c>
      <c r="T4" t="s">
        <v>248</v>
      </c>
      <c r="U4" t="s">
        <v>249</v>
      </c>
      <c r="V4" t="s">
        <v>71</v>
      </c>
      <c r="W4" t="s">
        <v>72</v>
      </c>
      <c r="X4" t="s">
        <v>165</v>
      </c>
      <c r="Y4" t="s">
        <v>167</v>
      </c>
    </row>
    <row r="5" spans="1:25" x14ac:dyDescent="0.3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f>
        <v>150</v>
      </c>
      <c r="M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f>
        <v>1500</v>
      </c>
      <c r="N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f>
        <v>50</v>
      </c>
      <c r="O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f>
        <v>0</v>
      </c>
      <c r="P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f>
        <v>0</v>
      </c>
      <c r="Q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f>
        <v>0</v>
      </c>
      <c r="R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f>
        <v>0</v>
      </c>
      <c r="S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f>
        <v>0</v>
      </c>
      <c r="T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f>
        <v>0</v>
      </c>
      <c r="U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f>
        <v>0</v>
      </c>
      <c r="V5" s="10">
        <f ca="1" xml:space="preserve"> SUMPRODUCT(INDIRECT(ADDRESS(ROW(V5), 2)):INDIRECT(ADDRESS(ROW(V5), MATCH("Shares_AAPL", pos_header,0)-1)), INDIRECT(ADDRESS(ROW(V5), MATCH("Shares_AAPL", pos_header,0))): INDIRECT(ADDRESS(ROW(V5), MATCH("Shares_Holding", pos_header,0)-1)))</f>
        <v>34873.5003</v>
      </c>
      <c r="W5" s="10">
        <f>SUMIFS(tbl_transaction[Net_Cash_Change], tbl_transaction[Transaction_Date],tbl_position[[#This Row],[Date]])+IF(tbl_position[[#This Row],[Date]]=$A$5, 100000, $W4)</f>
        <v>63721.5</v>
      </c>
      <c r="X5" s="11">
        <f>SUMIFS(tbl_transaction[Net_Debt_Change], tbl_transaction[Transaction_Date],tbl_position[[#This Row],[Date]])+IF(tbl_position[[#This Row],[Date]]=$A$5, 0, $X4)</f>
        <v>0</v>
      </c>
      <c r="Y5" s="48">
        <f ca="1">tbl_position[[#This Row],[Shares_Holding]]+tbl_position[[#This Row],[Cash_Holding]]-tbl_position[[#This Row],[Liabilities_Holding]]</f>
        <v>98595.0003</v>
      </c>
    </row>
    <row r="6" spans="1:25" x14ac:dyDescent="0.3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$L5)</f>
        <v>100</v>
      </c>
      <c r="M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$M5)</f>
        <v>1000</v>
      </c>
      <c r="N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$N5)</f>
        <v>50</v>
      </c>
      <c r="O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$O5)</f>
        <v>0</v>
      </c>
      <c r="P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$P5)</f>
        <v>0</v>
      </c>
      <c r="Q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$Q5)</f>
        <v>100</v>
      </c>
      <c r="R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$R5)</f>
        <v>0</v>
      </c>
      <c r="S6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$S5)</f>
        <v>0</v>
      </c>
      <c r="T6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$T5)</f>
        <v>0</v>
      </c>
      <c r="U6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$U5)</f>
        <v>0</v>
      </c>
      <c r="V6" s="10">
        <f ca="1" xml:space="preserve"> SUMPRODUCT(INDIRECT(ADDRESS(ROW(V6), 2)):INDIRECT(ADDRESS(ROW(V6), MATCH("Shares_AAPL", pos_header,0)-1)), INDIRECT(ADDRESS(ROW(V6), MATCH("Shares_AAPL", pos_header,0))): INDIRECT(ADDRESS(ROW(V6), MATCH("Shares_Holding", pos_header,0)-1)))</f>
        <v>33626.499349999998</v>
      </c>
      <c r="W6" s="10">
        <f>SUMIFS(tbl_transaction[Net_Cash_Change], tbl_transaction[Transaction_Date],tbl_position[[#This Row],[Date]])+IF(tbl_position[[#This Row],[Date]]=$A$5, 100000, $W5)</f>
        <v>65134</v>
      </c>
      <c r="X6" s="11">
        <f>SUMIFS(tbl_transaction[Net_Debt_Change], tbl_transaction[Transaction_Date],tbl_position[[#This Row],[Date]])+IF(tbl_position[[#This Row],[Date]]=$A$5, 0, $X5)</f>
        <v>-34</v>
      </c>
      <c r="Y6" s="48">
        <f ca="1">tbl_position[[#This Row],[Shares_Holding]]+tbl_position[[#This Row],[Cash_Holding]]-tbl_position[[#This Row],[Liabilities_Holding]]</f>
        <v>98794.499349999998</v>
      </c>
    </row>
    <row r="7" spans="1:25" x14ac:dyDescent="0.3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$L6)</f>
        <v>100</v>
      </c>
      <c r="M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$M6)</f>
        <v>1000</v>
      </c>
      <c r="N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$N6)</f>
        <v>50</v>
      </c>
      <c r="O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$O6)</f>
        <v>0</v>
      </c>
      <c r="P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$P6)</f>
        <v>0</v>
      </c>
      <c r="Q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$Q6)</f>
        <v>0</v>
      </c>
      <c r="R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$R6)</f>
        <v>0</v>
      </c>
      <c r="S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$S6)</f>
        <v>0</v>
      </c>
      <c r="T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$T6)</f>
        <v>250</v>
      </c>
      <c r="U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$U6)</f>
        <v>0</v>
      </c>
      <c r="V7" s="10">
        <f ca="1" xml:space="preserve"> SUMPRODUCT(INDIRECT(ADDRESS(ROW(V7), 2)):INDIRECT(ADDRESS(ROW(V7), MATCH("Shares_AAPL", pos_header,0)-1)), INDIRECT(ADDRESS(ROW(V7), MATCH("Shares_AAPL", pos_header,0))): INDIRECT(ADDRESS(ROW(V7), MATCH("Shares_Holding", pos_header,0)-1)))</f>
        <v>37536.000049999995</v>
      </c>
      <c r="W7" s="10">
        <f>SUMIFS(tbl_transaction[Net_Cash_Change], tbl_transaction[Transaction_Date],tbl_position[[#This Row],[Date]])+IF(tbl_position[[#This Row],[Date]]=$A$5, 100000, $W6)</f>
        <v>62700.2</v>
      </c>
      <c r="X7" s="11">
        <f>SUMIFS(tbl_transaction[Net_Debt_Change], tbl_transaction[Transaction_Date],tbl_position[[#This Row],[Date]])+IF(tbl_position[[#This Row],[Date]]=$A$5, 0, $X6)</f>
        <v>-450</v>
      </c>
      <c r="Y7" s="48">
        <f ca="1">tbl_position[[#This Row],[Shares_Holding]]+tbl_position[[#This Row],[Cash_Holding]]-tbl_position[[#This Row],[Liabilities_Holding]]</f>
        <v>100686.20004999998</v>
      </c>
    </row>
    <row r="8" spans="1:25" x14ac:dyDescent="0.3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$L7)</f>
        <v>100</v>
      </c>
      <c r="M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$M7)</f>
        <v>1000</v>
      </c>
      <c r="N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$N7)</f>
        <v>50</v>
      </c>
      <c r="O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$O7)</f>
        <v>0</v>
      </c>
      <c r="P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$P7)</f>
        <v>0</v>
      </c>
      <c r="Q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$Q7)</f>
        <v>0</v>
      </c>
      <c r="R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$R7)</f>
        <v>0</v>
      </c>
      <c r="S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$S7)</f>
        <v>0</v>
      </c>
      <c r="T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$T7)</f>
        <v>250</v>
      </c>
      <c r="U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$U7)</f>
        <v>0</v>
      </c>
      <c r="V8" s="10">
        <f ca="1" xml:space="preserve"> SUMPRODUCT(INDIRECT(ADDRESS(ROW(V8), 2)):INDIRECT(ADDRESS(ROW(V8), MATCH("Shares_AAPL", pos_header,0)-1)), INDIRECT(ADDRESS(ROW(V8), MATCH("Shares_AAPL", pos_header,0))): INDIRECT(ADDRESS(ROW(V8), MATCH("Shares_Holding", pos_header,0)-1)))</f>
        <v>37040.499950000005</v>
      </c>
      <c r="W8" s="10">
        <f>SUMIFS(tbl_transaction[Net_Cash_Change], tbl_transaction[Transaction_Date],tbl_position[[#This Row],[Date]])+IF(tbl_position[[#This Row],[Date]]=$A$5, 100000, $W7)</f>
        <v>62700.2</v>
      </c>
      <c r="X8" s="11">
        <f>SUMIFS(tbl_transaction[Net_Debt_Change], tbl_transaction[Transaction_Date],tbl_position[[#This Row],[Date]])+IF(tbl_position[[#This Row],[Date]]=$A$5, 0, $X7)</f>
        <v>-450</v>
      </c>
      <c r="Y8" s="48">
        <f ca="1">tbl_position[[#This Row],[Shares_Holding]]+tbl_position[[#This Row],[Cash_Holding]]-tbl_position[[#This Row],[Liabilities_Holding]]</f>
        <v>100190.69995000001</v>
      </c>
    </row>
    <row r="9" spans="1:25" x14ac:dyDescent="0.3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$L8)</f>
        <v>100</v>
      </c>
      <c r="M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$M8)</f>
        <v>0</v>
      </c>
      <c r="N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$N8)</f>
        <v>50</v>
      </c>
      <c r="O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$O8)</f>
        <v>0</v>
      </c>
      <c r="P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$P8)</f>
        <v>100</v>
      </c>
      <c r="Q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$Q8)</f>
        <v>0</v>
      </c>
      <c r="R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$R8)</f>
        <v>0</v>
      </c>
      <c r="S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$S8)</f>
        <v>0</v>
      </c>
      <c r="T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$T8)</f>
        <v>200</v>
      </c>
      <c r="U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$U8)</f>
        <v>0</v>
      </c>
      <c r="V9" s="10">
        <f ca="1" xml:space="preserve"> SUMPRODUCT(INDIRECT(ADDRESS(ROW(V9), 2)):INDIRECT(ADDRESS(ROW(V9), MATCH("Shares_AAPL", pos_header,0)-1)), INDIRECT(ADDRESS(ROW(V9), MATCH("Shares_AAPL", pos_header,0))): INDIRECT(ADDRESS(ROW(V9), MATCH("Shares_Holding", pos_header,0)-1)))</f>
        <v>44372.499849999993</v>
      </c>
      <c r="W9" s="10">
        <f>SUMIFS(tbl_transaction[Net_Cash_Change], tbl_transaction[Transaction_Date],tbl_position[[#This Row],[Date]])+IF(tbl_position[[#This Row],[Date]]=$A$5, 100000, $W8)</f>
        <v>61575.199999999997</v>
      </c>
      <c r="X9" s="11">
        <f>SUMIFS(tbl_transaction[Net_Debt_Change], tbl_transaction[Transaction_Date],tbl_position[[#This Row],[Date]])+IF(tbl_position[[#This Row],[Date]]=$A$5, 0, $X8)</f>
        <v>6192.4</v>
      </c>
      <c r="Y9" s="48">
        <f ca="1">tbl_position[[#This Row],[Shares_Holding]]+tbl_position[[#This Row],[Cash_Holding]]-tbl_position[[#This Row],[Liabilities_Holding]]</f>
        <v>99755.299849999996</v>
      </c>
    </row>
    <row r="10" spans="1:25" x14ac:dyDescent="0.3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$L9)</f>
        <v>100</v>
      </c>
      <c r="M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$M9)</f>
        <v>0</v>
      </c>
      <c r="N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$N9)</f>
        <v>50</v>
      </c>
      <c r="O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$O9)</f>
        <v>0</v>
      </c>
      <c r="P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$P9)</f>
        <v>100</v>
      </c>
      <c r="Q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$Q9)</f>
        <v>0</v>
      </c>
      <c r="R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$R9)</f>
        <v>100</v>
      </c>
      <c r="S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$S9)</f>
        <v>0</v>
      </c>
      <c r="T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$T9)</f>
        <v>0</v>
      </c>
      <c r="U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$U9)</f>
        <v>1000</v>
      </c>
      <c r="V10" s="10">
        <f ca="1" xml:space="preserve"> SUMPRODUCT(INDIRECT(ADDRESS(ROW(V10), 2)):INDIRECT(ADDRESS(ROW(V10), MATCH("Shares_AAPL", pos_header,0)-1)), INDIRECT(ADDRESS(ROW(V10), MATCH("Shares_AAPL", pos_header,0))): INDIRECT(ADDRESS(ROW(V10), MATCH("Shares_Holding", pos_header,0)-1)))</f>
        <v>46989.998950000001</v>
      </c>
      <c r="W10" s="10">
        <f>SUMIFS(tbl_transaction[Net_Cash_Change], tbl_transaction[Transaction_Date],tbl_position[[#This Row],[Date]])+IF(tbl_position[[#This Row],[Date]]=$A$5, 100000, $W9)</f>
        <v>57949.2</v>
      </c>
      <c r="X10" s="11">
        <f>SUMIFS(tbl_transaction[Net_Debt_Change], tbl_transaction[Transaction_Date],tbl_position[[#This Row],[Date]])+IF(tbl_position[[#This Row],[Date]]=$A$5, 0, $X9)</f>
        <v>5492.9</v>
      </c>
      <c r="Y10" s="48">
        <f ca="1">tbl_position[[#This Row],[Shares_Holding]]+tbl_position[[#This Row],[Cash_Holding]]-tbl_position[[#This Row],[Liabilities_Holding]]</f>
        <v>99446.298949999997</v>
      </c>
    </row>
    <row r="11" spans="1:25" x14ac:dyDescent="0.35">
      <c r="A11" t="s">
        <v>162</v>
      </c>
      <c r="D11" s="46"/>
      <c r="W11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8"/>
  <sheetViews>
    <sheetView topLeftCell="A18" workbookViewId="0">
      <selection activeCell="H37" sqref="H37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8" max="8" width="11.1796875" customWidth="1"/>
    <col min="10" max="10" width="11.54296875" customWidth="1"/>
    <col min="11" max="11" width="12" customWidth="1"/>
    <col min="12" max="12" width="11.81640625" customWidth="1"/>
    <col min="13" max="13" width="9.81640625" bestFit="1" customWidth="1"/>
    <col min="15" max="15" width="11.7265625" customWidth="1"/>
    <col min="16" max="16" width="13.26953125" customWidth="1"/>
  </cols>
  <sheetData>
    <row r="1" spans="1:19" ht="21" x14ac:dyDescent="0.5">
      <c r="A1" s="41" t="s">
        <v>74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3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3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3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3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3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3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3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3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3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3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3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3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3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3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3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8">
        <f ca="1">IF(tbl_HD[[#This Row],[BB_Mean]]="", "", tbl_HD[[#This Row],[BB_Mean]]+(BB_Width*tbl_HD[[#This Row],[BB_Stdev]]))</f>
        <v>289.95705507048433</v>
      </c>
      <c r="L33" s="128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3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8">
        <f ca="1">IF(tbl_HD[[#This Row],[BB_Mean]]="", "", tbl_HD[[#This Row],[BB_Mean]]+(BB_Width*tbl_HD[[#This Row],[BB_Stdev]]))</f>
        <v>289.17775424064388</v>
      </c>
      <c r="L34" s="128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3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8">
        <f ca="1">IF(tbl_HD[[#This Row],[BB_Mean]]="", "", tbl_HD[[#This Row],[BB_Mean]]+(BB_Width*tbl_HD[[#This Row],[BB_Stdev]]))</f>
        <v>287.88114172798203</v>
      </c>
      <c r="L35" s="128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3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8">
        <f ca="1">IF(tbl_HD[[#This Row],[BB_Mean]]="", "", tbl_HD[[#This Row],[BB_Mean]]+(BB_Width*tbl_HD[[#This Row],[BB_Stdev]]))</f>
        <v>285.94152448278618</v>
      </c>
      <c r="L36" s="128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35">
      <c r="A37" s="8">
        <v>44098</v>
      </c>
      <c r="B37" s="48">
        <v>275.42</v>
      </c>
      <c r="C37" s="48">
        <v>266.29000000000002</v>
      </c>
      <c r="D37" s="48">
        <v>264.39</v>
      </c>
      <c r="E37" s="48">
        <v>264.8</v>
      </c>
      <c r="F37" s="48">
        <v>264.8</v>
      </c>
      <c r="G37">
        <v>238442</v>
      </c>
      <c r="H37" s="10">
        <f>IF(tbl_HD[[#This Row],[Date]]=$A$5, $F37, EMA_Beta*$H36 + (1-EMA_Beta)*$F37)</f>
        <v>275.56314983487943</v>
      </c>
      <c r="I37" s="46">
        <f ca="1">IF(tbl_HD[[#This Row],[RS]]= "", "", 100-(100/(1+tbl_HD[[#This Row],[RS]])))</f>
        <v>40.7386341570719</v>
      </c>
      <c r="J37" s="10">
        <f ca="1">IF(ROW($N37)-4&lt;BB_Periods, "", AVERAGE(INDIRECT(ADDRESS(ROW($F37)-RSI_Periods +1, MATCH("Adj Close", Price_Header,0))): INDIRECT(ADDRESS(ROW($F37),MATCH("Adj Close", Price_Header,0)))))</f>
        <v>274.64357135714289</v>
      </c>
      <c r="K37" s="128">
        <f ca="1">IF(tbl_HD[[#This Row],[BB_Mean]]="", "", tbl_HD[[#This Row],[BB_Mean]]+(BB_Width*tbl_HD[[#This Row],[BB_Stdev]]))</f>
        <v>286.65227517852605</v>
      </c>
      <c r="L37" s="128">
        <f ca="1">IF(tbl_HD[[#This Row],[BB_Mean]]="", "", tbl_HD[[#This Row],[BB_Mean]]-(BB_Width*tbl_HD[[#This Row],[BB_Stdev]]))</f>
        <v>262.63486753575972</v>
      </c>
      <c r="M37" s="46">
        <f>IF(ROW(tbl_HD[[#This Row],[Adj Close]])=5, 0, $F37-$F36)</f>
        <v>-1.75</v>
      </c>
      <c r="N37" s="46">
        <f>MAX(tbl_HD[[#This Row],[Move]],0)</f>
        <v>0</v>
      </c>
      <c r="O37" s="46">
        <f>MAX(-tbl_HD[[#This Row],[Move]],0)</f>
        <v>1.75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2.2464270714285663</v>
      </c>
      <c r="R37" s="46">
        <f ca="1">IF(tbl_HD[[#This Row],[Avg_Upmove]]="", "", tbl_HD[[#This Row],[Avg_Upmove]]/tbl_HD[[#This Row],[Avg_Downmove]])</f>
        <v>0.68744001387091569</v>
      </c>
      <c r="S37" s="10">
        <f ca="1">IF(ROW($N37)-4&lt;BB_Periods, "", _xlfn.STDEV.S(INDIRECT(ADDRESS(ROW($F37)-RSI_Periods +1, MATCH("Adj Close", Price_Header,0))): INDIRECT(ADDRESS(ROW($F37),MATCH("Adj Close", Price_Header,0)))))</f>
        <v>6.0043519106915868</v>
      </c>
    </row>
    <row r="38" spans="1:19" x14ac:dyDescent="0.35">
      <c r="A38" t="s">
        <v>162</v>
      </c>
      <c r="H38" s="61"/>
      <c r="J38" s="61"/>
      <c r="K38" s="61"/>
      <c r="L38" s="61"/>
      <c r="S38" s="61">
        <f ca="1">SUBTOTAL(103,tbl_HD[BB_Stdev])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"/>
  <sheetViews>
    <sheetView topLeftCell="A18" workbookViewId="0">
      <selection activeCell="G38" sqref="G38"/>
    </sheetView>
  </sheetViews>
  <sheetFormatPr defaultRowHeight="14.5" x14ac:dyDescent="0.35"/>
  <cols>
    <col min="1" max="1" width="9.7265625" bestFit="1" customWidth="1"/>
    <col min="6" max="6" width="11.453125" customWidth="1"/>
    <col min="7" max="7" width="12" customWidth="1"/>
    <col min="11" max="11" width="11.1796875" customWidth="1"/>
    <col min="12" max="12" width="12.26953125" customWidth="1"/>
    <col min="14" max="14" width="10.7265625" customWidth="1"/>
    <col min="15" max="15" width="9.7265625" customWidth="1"/>
    <col min="16" max="16" width="11.1796875" customWidth="1"/>
    <col min="17" max="17" width="10.54296875" customWidth="1"/>
    <col min="19" max="19" width="10.453125" customWidth="1"/>
  </cols>
  <sheetData>
    <row r="1" spans="1:19" ht="21" x14ac:dyDescent="0.5">
      <c r="A1" s="41" t="s">
        <v>166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3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3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3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3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3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3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3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3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3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3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3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3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3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3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110.339996</v>
      </c>
      <c r="G32">
        <v>178011000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3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106.84</v>
      </c>
      <c r="G33">
        <v>287104900</v>
      </c>
      <c r="H33" s="128">
        <f>IF(tbl_AAPL[[#This Row],[Date]]=$A$5, $F33, EMA_Beta*$H32 + (1-EMA_Beta)*$F33)</f>
        <v>116.18581918261718</v>
      </c>
      <c r="I33" s="50">
        <f ca="1">IF(tbl_AAPL[[#This Row],[RS]]= "", "", 100-(100/(1+tbl_AAPL[[#This Row],[RS]])))</f>
        <v>33.034316857135835</v>
      </c>
      <c r="J33" s="128">
        <f ca="1">IF(ROW($N33)-4&lt;BB_Periods, "", AVERAGE(INDIRECT(ADDRESS(ROW($F33)-RSI_Periods +1, MATCH("Adj Close", Price_Header,0))): INDIRECT(ADDRESS(ROW($F33),MATCH("Adj Close", Price_Header,0)))))</f>
        <v>118.02142635714286</v>
      </c>
      <c r="K33" s="128">
        <f ca="1">IF(tbl_AAPL[[#This Row],[BB_Mean]]="", "", tbl_AAPL[[#This Row],[BB_Mean]]+(BB_Width*tbl_AAPL[[#This Row],[BB_Stdev]]))</f>
        <v>134.61259464741335</v>
      </c>
      <c r="L33" s="128">
        <f ca="1">IF(tbl_AAPL[[#This Row],[BB_Mean]]="", "", tbl_AAPL[[#This Row],[BB_Mean]]-(BB_Width*tbl_AAPL[[#This Row],[BB_Stdev]]))</f>
        <v>101.43025806687238</v>
      </c>
      <c r="M33" s="50">
        <f>IF(ROW(tbl_AAPL[[#This Row],[Adj Close]])=5, 0, $F33-$F32)</f>
        <v>-3.4999959999999959</v>
      </c>
      <c r="N33" s="50">
        <f>MAX(tbl_AAPL[[#This Row],[Move]],0)</f>
        <v>0</v>
      </c>
      <c r="O33" s="50">
        <f>MAX(-tbl_AAPL[[#This Row],[Move]],0)</f>
        <v>3.4999959999999959</v>
      </c>
      <c r="P33" s="50">
        <f ca="1">IF(ROW($N33)-5&lt;RSI_Periods, "", AVERAGE(INDIRECT(ADDRESS(ROW($N33)-RSI_Periods +1, MATCH("Upmove", Price_Header,0))): INDIRECT(ADDRESS(ROW($N33),MATCH("Upmove", Price_Header,0)))))</f>
        <v>1.2494637857142854</v>
      </c>
      <c r="Q33" s="50">
        <f ca="1">IF(ROW($O33)-5&lt;RSI_Periods, "", AVERAGE(INDIRECT(ADDRESS(ROW($O33)-RSI_Periods +1, MATCH("Downmove", Price_Header,0))): INDIRECT(ADDRESS(ROW($O33),MATCH("Downmove", Price_Header,0)))))</f>
        <v>2.5328568571428565</v>
      </c>
      <c r="R33" s="50">
        <f ca="1">IF(tbl_AAPL[[#This Row],[Avg_Upmove]]="", "", tbl_AAPL[[#This Row],[Avg_Upmove]]/tbl_AAPL[[#This Row],[Avg_Downmove]])</f>
        <v>0.49330217070526461</v>
      </c>
      <c r="S33" s="50">
        <f ca="1">IF(ROW($N33)-4&lt;BB_Periods, "", _xlfn.STDEV.S(INDIRECT(ADDRESS(ROW($F33)-RSI_Periods +1, MATCH("Adj Close", Price_Header,0))): INDIRECT(ADDRESS(ROW($F33),MATCH("Adj Close", Price_Header,0)))))</f>
        <v>8.2955841451352388</v>
      </c>
    </row>
    <row r="34" spans="1:19" x14ac:dyDescent="0.3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110.08</v>
      </c>
      <c r="G34">
        <v>195713800</v>
      </c>
      <c r="H34" s="128">
        <f>IF(tbl_AAPL[[#This Row],[Date]]=$A$5, $F34, EMA_Beta*$H33 + (1-EMA_Beta)*$F34)</f>
        <v>115.57523726435547</v>
      </c>
      <c r="I34" s="50">
        <f ca="1">IF(tbl_AAPL[[#This Row],[RS]]= "", "", 100-(100/(1+tbl_AAPL[[#This Row],[RS]])))</f>
        <v>31.755202689669005</v>
      </c>
      <c r="J34" s="128">
        <f ca="1">IF(ROW($N34)-4&lt;BB_Periods, "", AVERAGE(INDIRECT(ADDRESS(ROW($F34)-RSI_Periods +1, MATCH("Adj Close", Price_Header,0))): INDIRECT(ADDRESS(ROW($F34),MATCH("Adj Close", Price_Header,0)))))</f>
        <v>116.66714114285712</v>
      </c>
      <c r="K34" s="128">
        <f ca="1">IF(tbl_AAPL[[#This Row],[BB_Mean]]="", "", tbl_AAPL[[#This Row],[BB_Mean]]+(BB_Width*tbl_AAPL[[#This Row],[BB_Stdev]]))</f>
        <v>132.46000725928621</v>
      </c>
      <c r="L34" s="128">
        <f ca="1">IF(tbl_AAPL[[#This Row],[BB_Mean]]="", "", tbl_AAPL[[#This Row],[BB_Mean]]-(BB_Width*tbl_AAPL[[#This Row],[BB_Stdev]]))</f>
        <v>100.87427502642801</v>
      </c>
      <c r="M34" s="50">
        <f>IF(ROW(tbl_AAPL[[#This Row],[Adj Close]])=5, 0, $F34-$F33)</f>
        <v>3.2399999999999949</v>
      </c>
      <c r="N34" s="50">
        <f>MAX(tbl_AAPL[[#This Row],[Move]],0)</f>
        <v>3.2399999999999949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1.1785716428571413</v>
      </c>
      <c r="Q34" s="50">
        <f ca="1">IF(ROW($O34)-5&lt;RSI_Periods, "", AVERAGE(INDIRECT(ADDRESS(ROW($O34)-RSI_Periods +1, MATCH("Downmove", Price_Header,0))): INDIRECT(ADDRESS(ROW($O34),MATCH("Downmove", Price_Header,0)))))</f>
        <v>2.5328568571428565</v>
      </c>
      <c r="R34" s="50">
        <f ca="1">IF(tbl_AAPL[[#This Row],[Avg_Upmove]]="", "", tbl_AAPL[[#This Row],[Avg_Upmove]]/tbl_AAPL[[#This Row],[Avg_Downmove]])</f>
        <v>0.4653131658559686</v>
      </c>
      <c r="S34" s="50">
        <f ca="1">IF(ROW($N34)-4&lt;BB_Periods, "", _xlfn.STDEV.S(INDIRECT(ADDRESS(ROW($F34)-RSI_Periods +1, MATCH("Adj Close", Price_Header,0))): INDIRECT(ADDRESS(ROW($F34),MATCH("Adj Close", Price_Header,0)))))</f>
        <v>7.8964330582145532</v>
      </c>
    </row>
    <row r="35" spans="1:19" x14ac:dyDescent="0.3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111.81</v>
      </c>
      <c r="G35">
        <v>182296300</v>
      </c>
      <c r="H35" s="128">
        <f>IF(tbl_AAPL[[#This Row],[Date]]=$A$5, $F35, EMA_Beta*$H34 + (1-EMA_Beta)*$F35)</f>
        <v>115.19871353791991</v>
      </c>
      <c r="I35" s="50">
        <f ca="1">IF(tbl_AAPL[[#This Row],[RS]]= "", "", 100-(100/(1+tbl_AAPL[[#This Row],[RS]])))</f>
        <v>26.961901688195709</v>
      </c>
      <c r="J35" s="128">
        <f ca="1">IF(ROW($N35)-4&lt;BB_Periods, "", AVERAGE(INDIRECT(ADDRESS(ROW($F35)-RSI_Periods +1, MATCH("Adj Close", Price_Header,0))): INDIRECT(ADDRESS(ROW($F35),MATCH("Adj Close", Price_Header,0)))))</f>
        <v>115.06928449999998</v>
      </c>
      <c r="K35" s="128">
        <f ca="1">IF(tbl_AAPL[[#This Row],[BB_Mean]]="", "", tbl_AAPL[[#This Row],[BB_Mean]]+(BB_Width*tbl_AAPL[[#This Row],[BB_Stdev]]))</f>
        <v>127.36994506453769</v>
      </c>
      <c r="L35" s="128">
        <f ca="1">IF(tbl_AAPL[[#This Row],[BB_Mean]]="", "", tbl_AAPL[[#This Row],[BB_Mean]]-(BB_Width*tbl_AAPL[[#This Row],[BB_Stdev]]))</f>
        <v>102.76862393546227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0.935000214285714</v>
      </c>
      <c r="Q35" s="50">
        <f ca="1">IF(ROW($O35)-5&lt;RSI_Periods, "", AVERAGE(INDIRECT(ADDRESS(ROW($O35)-RSI_Periods +1, MATCH("Downmove", Price_Header,0))): INDIRECT(ADDRESS(ROW($O35),MATCH("Downmove", Price_Header,0)))))</f>
        <v>2.5328568571428565</v>
      </c>
      <c r="R35" s="50">
        <f ca="1">IF(tbl_AAPL[[#This Row],[Avg_Upmove]]="", "", tbl_AAPL[[#This Row],[Avg_Upmove]]/tbl_AAPL[[#This Row],[Avg_Downmove]])</f>
        <v>0.36914846239689364</v>
      </c>
      <c r="S35" s="50">
        <f ca="1">IF(ROW($N35)-4&lt;BB_Periods, "", _xlfn.STDEV.S(INDIRECT(ADDRESS(ROW($F35)-RSI_Periods +1, MATCH("Adj Close", Price_Header,0))): INDIRECT(ADDRESS(ROW($F35),MATCH("Adj Close", Price_Header,0)))))</f>
        <v>6.1503302822688575</v>
      </c>
    </row>
    <row r="36" spans="1:19" x14ac:dyDescent="0.3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107.12</v>
      </c>
      <c r="G36">
        <v>149937500</v>
      </c>
      <c r="H36" s="128">
        <f>IF(tbl_AAPL[[#This Row],[Date]]=$A$5, $F36, EMA_Beta*$H35 + (1-EMA_Beta)*$F36)</f>
        <v>114.39084218412793</v>
      </c>
      <c r="I36" s="50">
        <f ca="1">IF(tbl_AAPL[[#This Row],[RS]]= "", "", 100-(100/(1+tbl_AAPL[[#This Row],[RS]])))</f>
        <v>25.941345620293305</v>
      </c>
      <c r="J36" s="128">
        <f ca="1">IF(ROW($N36)-4&lt;BB_Periods, "", AVERAGE(INDIRECT(ADDRESS(ROW($F36)-RSI_Periods +1, MATCH("Adj Close", Price_Header,0))): INDIRECT(ADDRESS(ROW($F36),MATCH("Adj Close", Price_Header,0)))))</f>
        <v>113.33499921428567</v>
      </c>
      <c r="K36" s="128">
        <f ca="1">IF(tbl_AAPL[[#This Row],[BB_Mean]]="", "", tbl_AAPL[[#This Row],[BB_Mean]]+(BB_Width*tbl_AAPL[[#This Row],[BB_Stdev]]))</f>
        <v>122.03753515786215</v>
      </c>
      <c r="L36" s="128">
        <f ca="1">IF(tbl_AAPL[[#This Row],[BB_Mean]]="", "", tbl_AAPL[[#This Row],[BB_Mean]]-(BB_Width*tbl_AAPL[[#This Row],[BB_Stdev]]))</f>
        <v>104.6324632707092</v>
      </c>
      <c r="M36" s="50">
        <f>IF(ROW(tbl_AAPL[[#This Row],[Adj Close]])=5, 0, $F36-$F35)</f>
        <v>-4.6899999999999977</v>
      </c>
      <c r="N36" s="50">
        <f>MAX(tbl_AAPL[[#This Row],[Move]],0)</f>
        <v>0</v>
      </c>
      <c r="O36" s="50">
        <f>MAX(-tbl_AAPL[[#This Row],[Move]],0)</f>
        <v>4.6899999999999977</v>
      </c>
      <c r="P36" s="50">
        <f ca="1">IF(ROW($N36)-5&lt;RSI_Periods, "", AVERAGE(INDIRECT(ADDRESS(ROW($N36)-RSI_Periods +1, MATCH("Upmove", Price_Header,0))): INDIRECT(ADDRESS(ROW($N36),MATCH("Upmove", Price_Header,0)))))</f>
        <v>0.935000214285714</v>
      </c>
      <c r="Q36" s="50">
        <f ca="1">IF(ROW($O36)-5&lt;RSI_Periods, "", AVERAGE(INDIRECT(ADDRESS(ROW($O36)-RSI_Periods +1, MATCH("Downmove", Price_Header,0))): INDIRECT(ADDRESS(ROW($O36),MATCH("Downmove", Price_Header,0)))))</f>
        <v>2.6692854999999986</v>
      </c>
      <c r="R36" s="50">
        <f ca="1">IF(tbl_AAPL[[#This Row],[Avg_Upmove]]="", "", tbl_AAPL[[#This Row],[Avg_Upmove]]/tbl_AAPL[[#This Row],[Avg_Downmove]])</f>
        <v>0.3502810824416176</v>
      </c>
      <c r="S36" s="50">
        <f ca="1">IF(ROW($N36)-4&lt;BB_Periods, "", _xlfn.STDEV.S(INDIRECT(ADDRESS(ROW($F36)-RSI_Periods +1, MATCH("Adj Close", Price_Header,0))): INDIRECT(ADDRESS(ROW($F36),MATCH("Adj Close", Price_Header,0)))))</f>
        <v>4.3512679717882428</v>
      </c>
    </row>
    <row r="37" spans="1:19" x14ac:dyDescent="0.35">
      <c r="A37" s="8">
        <v>44098</v>
      </c>
      <c r="B37" s="10">
        <v>105.17</v>
      </c>
      <c r="C37" s="10">
        <v>107.59</v>
      </c>
      <c r="D37" s="10">
        <v>105</v>
      </c>
      <c r="E37" s="10">
        <v>107.25</v>
      </c>
      <c r="F37" s="10">
        <v>107.25</v>
      </c>
      <c r="G37">
        <v>17056375</v>
      </c>
      <c r="H37" s="128">
        <f>IF(tbl_AAPL[[#This Row],[Date]]=$A$5, $F37, EMA_Beta*$H36 + (1-EMA_Beta)*$F37)</f>
        <v>113.67675796571514</v>
      </c>
      <c r="I37" s="50">
        <f ca="1">IF(tbl_AAPL[[#This Row],[RS]]= "", "", 100-(100/(1+tbl_AAPL[[#This Row],[RS]])))</f>
        <v>32.992268555607538</v>
      </c>
      <c r="J37" s="128">
        <f ca="1">IF(ROW($N37)-4&lt;BB_Periods, "", AVERAGE(INDIRECT(ADDRESS(ROW($F37)-RSI_Periods +1, MATCH("Adj Close", Price_Header,0))): INDIRECT(ADDRESS(ROW($F37),MATCH("Adj Close", Price_Header,0)))))</f>
        <v>112.361428</v>
      </c>
      <c r="K37" s="128">
        <f ca="1">IF(tbl_AAPL[[#This Row],[BB_Mean]]="", "", tbl_AAPL[[#This Row],[BB_Mean]]+(BB_Width*tbl_AAPL[[#This Row],[BB_Stdev]]))</f>
        <v>120.45637190404769</v>
      </c>
      <c r="L37" s="128">
        <f ca="1">IF(tbl_AAPL[[#This Row],[BB_Mean]]="", "", tbl_AAPL[[#This Row],[BB_Mean]]-(BB_Width*tbl_AAPL[[#This Row],[BB_Stdev]]))</f>
        <v>104.26648409595232</v>
      </c>
      <c r="M37" s="50">
        <f>IF(ROW(tbl_AAPL[[#This Row],[Adj Close]])=5, 0, $F37-$F36)</f>
        <v>0.12999999999999545</v>
      </c>
      <c r="N37" s="50">
        <f>MAX(tbl_AAPL[[#This Row],[Move]],0)</f>
        <v>0.12999999999999545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0.9442859285714279</v>
      </c>
      <c r="Q37" s="50">
        <f ca="1">IF(ROW($O37)-5&lt;RSI_Periods, "", AVERAGE(INDIRECT(ADDRESS(ROW($O37)-RSI_Periods +1, MATCH("Downmove", Price_Header,0))): INDIRECT(ADDRESS(ROW($O37),MATCH("Downmove", Price_Header,0)))))</f>
        <v>1.9178571428571425</v>
      </c>
      <c r="R37" s="50">
        <f ca="1">IF(tbl_AAPL[[#This Row],[Avg_Upmove]]="", "", tbl_AAPL[[#This Row],[Avg_Upmove]]/tbl_AAPL[[#This Row],[Avg_Downmove]])</f>
        <v>0.49236510242085635</v>
      </c>
      <c r="S37" s="50">
        <f ca="1">IF(ROW($N37)-4&lt;BB_Periods, "", _xlfn.STDEV.S(INDIRECT(ADDRESS(ROW($F37)-RSI_Periods +1, MATCH("Adj Close", Price_Header,0))): INDIRECT(ADDRESS(ROW($F37),MATCH("Adj Close", Price_Header,0)))))</f>
        <v>4.04747195202384</v>
      </c>
    </row>
    <row r="38" spans="1:19" x14ac:dyDescent="0.35">
      <c r="A38" t="s">
        <v>162</v>
      </c>
      <c r="B38" s="61"/>
      <c r="C38" s="61"/>
      <c r="D38" s="61"/>
      <c r="E38" s="61"/>
      <c r="F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>
        <f ca="1">SUBTOTAL(103,tbl_AAPL[BB_Stdev])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8"/>
  <sheetViews>
    <sheetView topLeftCell="A20" zoomScale="111" workbookViewId="0">
      <selection activeCell="G38" sqref="G38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168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3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3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3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3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3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3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3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3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3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3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3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3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3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3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3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3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3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3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35">
      <c r="A37" s="8">
        <v>44098</v>
      </c>
      <c r="B37" s="48">
        <v>139</v>
      </c>
      <c r="C37" s="48">
        <v>136.6</v>
      </c>
      <c r="D37" s="48">
        <v>135.30000000000001</v>
      </c>
      <c r="E37" s="48">
        <v>135.81</v>
      </c>
      <c r="F37" s="48">
        <v>135.81</v>
      </c>
      <c r="G37">
        <v>471207</v>
      </c>
      <c r="H37" s="48">
        <f>IF(tbl_WMT[[#This Row],[Date]]=$A$5, $F37, EMA_Beta*$H36 + (1-EMA_Beta)*$F37)</f>
        <v>195.75748661276097</v>
      </c>
      <c r="I37" s="50">
        <f ca="1">IF(tbl_WMT[[#This Row],[RS]]= "", "", 100-(100/(1+tbl_WMT[[#This Row],[RS]])))</f>
        <v>9.3177373719231582</v>
      </c>
      <c r="J37" s="11">
        <f ca="1">IF(ROW($N37)-4&lt;BB_Periods, "", AVERAGE(INDIRECT(ADDRESS(ROW($F37)-RSI_Periods +1, MATCH("Adj Close", Price_Header,0))): INDIRECT(ADDRESS(ROW($F37),MATCH("Adj Close", Price_Header,0)))))</f>
        <v>179.87999935714285</v>
      </c>
      <c r="K37" s="11">
        <f ca="1">IF(tbl_WMT[[#This Row],[BB_Mean]]="", "", tbl_WMT[[#This Row],[BB_Mean]]+(BB_Width*tbl_WMT[[#This Row],[BB_Stdev]]))</f>
        <v>300.34150830078249</v>
      </c>
      <c r="L37" s="11">
        <f ca="1">IF(tbl_WMT[[#This Row],[BB_Mean]]="", "", tbl_WMT[[#This Row],[BB_Mean]]-(BB_Width*tbl_WMT[[#This Row],[BB_Stdev]]))</f>
        <v>59.418490413503221</v>
      </c>
      <c r="M37" s="46">
        <f>IF(ROW(tbl_WMT[[#This Row],[Adj Close]])=5, 0, $F37-$F36)</f>
        <v>-0.18000000000000682</v>
      </c>
      <c r="N37" s="46">
        <f>MAX(tbl_WMT[[#This Row],[Move]],0)</f>
        <v>0</v>
      </c>
      <c r="O37" s="46">
        <f>MAX(-tbl_WMT[[#This Row],[Move]],0)</f>
        <v>0.18000000000000682</v>
      </c>
      <c r="P37" s="46">
        <f ca="1">IF(ROW($N37)-5&lt;RSI_Periods, "", AVERAGE(INDIRECT(ADDRESS(ROW($N37)-RSI_Periods +1, MATCH("Upmove", Price_Header,0))): INDIRECT(ADDRESS(ROW($N37),MATCH("Upmove", Price_Header,0)))))</f>
        <v>1.144284571428571</v>
      </c>
      <c r="Q37" s="46">
        <f ca="1">IF(ROW($O37)-5&lt;RSI_Periods, "", AVERAGE(INDIRECT(ADDRESS(ROW($O37)-RSI_Periods +1, MATCH("Downmove", Price_Header,0))): INDIRECT(ADDRESS(ROW($O37),MATCH("Downmove", Price_Header,0)))))</f>
        <v>11.136428285714286</v>
      </c>
      <c r="R37" s="46">
        <f ca="1">IF(tbl_WMT[[#This Row],[Avg_Upmove]]="", "", tbl_WMT[[#This Row],[Avg_Upmove]]/tbl_WMT[[#This Row],[Avg_Downmove]])</f>
        <v>0.10275148746716659</v>
      </c>
      <c r="S37" s="11">
        <f ca="1">IF(ROW($N37)-4&lt;BB_Periods, "", _xlfn.STDEV.S(INDIRECT(ADDRESS(ROW($F37)-RSI_Periods +1, MATCH("Adj Close", Price_Header,0))): INDIRECT(ADDRESS(ROW($F37),MATCH("Adj Close", Price_Header,0)))))</f>
        <v>60.230754471819814</v>
      </c>
    </row>
    <row r="38" spans="1:19" x14ac:dyDescent="0.35">
      <c r="A38" t="s">
        <v>162</v>
      </c>
      <c r="I38" s="61"/>
      <c r="S38">
        <f ca="1">SUBTOTAL(103,tbl_WMT[BB_Stdev])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8"/>
  <sheetViews>
    <sheetView topLeftCell="A23" zoomScale="126" workbookViewId="0">
      <selection activeCell="G38" sqref="G38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169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3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3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3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3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3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3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3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3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3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3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3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3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3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3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3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3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3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3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35">
      <c r="A37" s="8">
        <v>44098</v>
      </c>
      <c r="B37" s="48">
        <v>2.9</v>
      </c>
      <c r="C37" s="48">
        <v>2.5499999999999998</v>
      </c>
      <c r="D37" s="48">
        <v>2.35</v>
      </c>
      <c r="E37" s="48">
        <v>2.4098999999999999</v>
      </c>
      <c r="F37" s="48">
        <v>2.4098999999999999</v>
      </c>
      <c r="G37">
        <v>799909</v>
      </c>
      <c r="H37" s="48">
        <f>IF(tbl_RIOT[[#This Row],[Date]]=$A$5, $F37, EMA_Beta*$H36 + (1-EMA_Beta)*$F37)</f>
        <v>3.0349281796095129</v>
      </c>
      <c r="I37" s="46">
        <f ca="1">IF(tbl_RIOT[[#This Row],[RS]]= "", "", 100-(100/(1+tbl_RIOT[[#This Row],[RS]])))</f>
        <v>26.99220906692841</v>
      </c>
      <c r="J37" s="48">
        <f ca="1">IF(ROW($N37)-4&lt;BB_Periods, "", AVERAGE(INDIRECT(ADDRESS(ROW($F37)-RSI_Periods +1, MATCH("Adj Close", Price_Header,0))): INDIRECT(ADDRESS(ROW($F37),MATCH("Adj Close", Price_Header,0)))))</f>
        <v>2.8992785714285718</v>
      </c>
      <c r="K37" s="48">
        <f ca="1">IF(tbl_RIOT[[#This Row],[BB_Mean]]="", "", tbl_RIOT[[#This Row],[BB_Mean]]+(BB_Width*tbl_RIOT[[#This Row],[BB_Stdev]]))</f>
        <v>3.2806085208551417</v>
      </c>
      <c r="L37" s="48">
        <f ca="1">IF(tbl_RIOT[[#This Row],[BB_Mean]]="", "", tbl_RIOT[[#This Row],[BB_Mean]]-(BB_Width*tbl_RIOT[[#This Row],[BB_Stdev]]))</f>
        <v>2.517948622002002</v>
      </c>
      <c r="M37" s="46">
        <f>IF(ROW(tbl_RIOT[[#This Row],[Adj Close]])=5, 0, $F37-$F36)</f>
        <v>-0.19010000000000016</v>
      </c>
      <c r="N37" s="46">
        <f>MAX(tbl_RIOT[[#This Row],[Move]],0)</f>
        <v>0</v>
      </c>
      <c r="O37" s="46">
        <f>MAX(-tbl_RIOT[[#This Row],[Move]],0)</f>
        <v>0.19010000000000016</v>
      </c>
      <c r="P37" s="46">
        <f ca="1">IF(ROW($N37)-5&lt;RSI_Periods, "", AVERAGE(INDIRECT(ADDRESS(ROW($N37)-RSI_Periods +1, MATCH("Upmove", Price_Header,0))): INDIRECT(ADDRESS(ROW($N37),MATCH("Upmove", Price_Header,0)))))</f>
        <v>3.1428571428571424E-2</v>
      </c>
      <c r="Q37" s="46">
        <f ca="1">IF(ROW($O37)-5&lt;RSI_Periods, "", AVERAGE(INDIRECT(ADDRESS(ROW($O37)-RSI_Periods +1, MATCH("Downmove", Price_Header,0))): INDIRECT(ADDRESS(ROW($O37),MATCH("Downmove", Price_Header,0)))))</f>
        <v>8.5007142857142864E-2</v>
      </c>
      <c r="R37" s="46">
        <f ca="1">IF(tbl_RIOT[[#This Row],[Avg_Upmove]]="", "", tbl_RIOT[[#This Row],[Avg_Upmove]]/tbl_RIOT[[#This Row],[Avg_Downmove]])</f>
        <v>0.36971683051844373</v>
      </c>
      <c r="S37" s="48">
        <f ca="1">IF(ROW($N37)-4&lt;BB_Periods, "", _xlfn.STDEV.S(INDIRECT(ADDRESS(ROW($F37)-RSI_Periods +1, MATCH("Adj Close", Price_Header,0))): INDIRECT(ADDRESS(ROW($F37),MATCH("Adj Close", Price_Header,0)))))</f>
        <v>0.19066497471328492</v>
      </c>
    </row>
    <row r="38" spans="1:19" x14ac:dyDescent="0.35">
      <c r="A38" t="s">
        <v>162</v>
      </c>
      <c r="S38">
        <f ca="1">SUBTOTAL(103,tbl_RIOT[BB_Stdev])</f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Dashboard</vt:lpstr>
      <vt:lpstr>Dashboard_backend</vt:lpstr>
      <vt:lpstr>Adj_Close_HD</vt:lpstr>
      <vt:lpstr>BB_Periods</vt:lpstr>
      <vt:lpstr>BB_Width</vt:lpstr>
      <vt:lpstr>Date_List</vt:lpstr>
      <vt:lpstr>EMA_Beta</vt:lpstr>
      <vt:lpstr>Metrics</vt:lpstr>
      <vt:lpstr>pos_header</vt:lpstr>
      <vt:lpstr>Price_AAPL</vt:lpstr>
      <vt:lpstr>Price_HD</vt:lpstr>
      <vt:lpstr>Price_Header</vt:lpstr>
      <vt:lpstr>RSI_Periods</vt:lpstr>
      <vt:lpstr>Symbol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2020-09-13T13:25:13Z</cp:lastPrinted>
  <dcterms:created xsi:type="dcterms:W3CDTF">2020-09-12T01:33:26Z</dcterms:created>
  <dcterms:modified xsi:type="dcterms:W3CDTF">2020-09-24T13:47:16Z</dcterms:modified>
</cp:coreProperties>
</file>