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D44173F6-9689-43A4-8EAF-5DACABFE18DB}" xr6:coauthVersionLast="45" xr6:coauthVersionMax="45" xr10:uidLastSave="{00000000-0000-0000-0000-000000000000}"/>
  <bookViews>
    <workbookView xWindow="-110" yWindow="-110" windowWidth="19420" windowHeight="10420" firstSheet="13" activeTab="17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AMD" sheetId="25" r:id="rId16"/>
    <sheet name="CVX" sheetId="26" r:id="rId17"/>
    <sheet name="Dashboard" sheetId="15" r:id="rId18"/>
    <sheet name="Dashboard_backend" sheetId="16" r:id="rId19"/>
    <sheet name="Format Control" sheetId="22" r:id="rId20"/>
    <sheet name="New Stock" sheetId="23" r:id="rId21"/>
  </sheets>
  <definedNames>
    <definedName name="Adj_Close_HD" localSheetId="15">tbl_HD[Adj Close]</definedName>
    <definedName name="Adj_Close_HD" localSheetId="16">tbl_HD[Adj Close]</definedName>
    <definedName name="Adj_Close_HD">tbl_HD[Adj Close]</definedName>
    <definedName name="BB_Periods">Lookup!$I$5</definedName>
    <definedName name="BB_Width">Lookup!$I$6</definedName>
    <definedName name="Date_List" localSheetId="15">tbl_HD[Date]</definedName>
    <definedName name="Date_List" localSheetId="16">tbl_HD[Date]</definedName>
    <definedName name="Date_List">tbl_HD[Date]</definedName>
    <definedName name="EMA_Beta">Lookup!$I$3</definedName>
    <definedName name="Metrics">Lookup!$E$4:$E$6</definedName>
    <definedName name="pos_header" localSheetId="15">tbl_position[#Headers]</definedName>
    <definedName name="pos_header" localSheetId="16">tbl_position[#Headers]</definedName>
    <definedName name="pos_header">tbl_position[#Headers]</definedName>
    <definedName name="Price_AAPL" localSheetId="15">tbl_AAPL[Adj Close]</definedName>
    <definedName name="Price_AAPL" localSheetId="16">tbl_AAPL[Adj Close]</definedName>
    <definedName name="Price_AAPL">tbl_AAPL[Adj Close]</definedName>
    <definedName name="Price_HD" localSheetId="15">tbl_HD[Adj Close]</definedName>
    <definedName name="Price_HD" localSheetId="16">tbl_HD[Adj Close]</definedName>
    <definedName name="Price_HD">tbl_HD[Adj Close]</definedName>
    <definedName name="Price_Header" localSheetId="15">tbl_HD[#Headers]</definedName>
    <definedName name="Price_Header" localSheetId="16">tbl_HD[#Headers]</definedName>
    <definedName name="Price_Header">tbl_HD[#Headers]</definedName>
    <definedName name="RSI_Periods">Lookup!$I$4</definedName>
    <definedName name="Symbol" localSheetId="15">tbl_symbol[Symbol]</definedName>
    <definedName name="Symbol" localSheetId="16">tbl_symbol[Symbol]</definedName>
    <definedName name="Symbol">tbl_symbol[Symbol]</definedName>
    <definedName name="Test" localSheetId="15">IF(#REF!="HD", AMD!Price_HD, AMD!Price_AAPL)</definedName>
    <definedName name="Test" localSheetId="16">IF(#REF!="HD", CVX!Price_HD, CVX!Price_AAPL)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3" i="16" l="1"/>
  <c r="AK23" i="16"/>
  <c r="AH23" i="16"/>
  <c r="C16" i="16"/>
  <c r="E16" i="16" s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M27" i="4"/>
  <c r="B27" i="4"/>
  <c r="C27" i="4"/>
  <c r="D27" i="4"/>
  <c r="E27" i="4"/>
  <c r="F27" i="4"/>
  <c r="G27" i="4"/>
  <c r="H27" i="4"/>
  <c r="I27" i="4"/>
  <c r="J27" i="4"/>
  <c r="K27" i="4"/>
  <c r="L27" i="4"/>
  <c r="J8" i="25"/>
  <c r="L8" i="25" s="1"/>
  <c r="M8" i="25"/>
  <c r="N8" i="25" s="1"/>
  <c r="P8" i="25"/>
  <c r="R8" i="25" s="1"/>
  <c r="I8" i="25" s="1"/>
  <c r="Q8" i="25"/>
  <c r="S8" i="25"/>
  <c r="M49" i="20"/>
  <c r="N49" i="20" s="1"/>
  <c r="O49" i="20"/>
  <c r="M49" i="19"/>
  <c r="N49" i="19" s="1"/>
  <c r="M49" i="18"/>
  <c r="N49" i="18" s="1"/>
  <c r="M49" i="17"/>
  <c r="O49" i="17" s="1"/>
  <c r="N49" i="17"/>
  <c r="M49" i="13"/>
  <c r="N49" i="13"/>
  <c r="O49" i="13"/>
  <c r="M49" i="12"/>
  <c r="N49" i="12" s="1"/>
  <c r="M49" i="11"/>
  <c r="N49" i="11" s="1"/>
  <c r="M49" i="10"/>
  <c r="N49" i="10" s="1"/>
  <c r="M49" i="5"/>
  <c r="N49" i="5" s="1"/>
  <c r="M49" i="7"/>
  <c r="N49" i="7" s="1"/>
  <c r="O49" i="7"/>
  <c r="S5" i="26"/>
  <c r="S6" i="26" s="1"/>
  <c r="Q5" i="26"/>
  <c r="P5" i="26"/>
  <c r="R5" i="26" s="1"/>
  <c r="I5" i="26" s="1"/>
  <c r="M5" i="26"/>
  <c r="N5" i="26" s="1"/>
  <c r="J5" i="26"/>
  <c r="K5" i="26" s="1"/>
  <c r="H5" i="26"/>
  <c r="D16" i="16"/>
  <c r="J49" i="20"/>
  <c r="S49" i="20"/>
  <c r="J49" i="19"/>
  <c r="S49" i="19"/>
  <c r="J49" i="18"/>
  <c r="S49" i="18"/>
  <c r="S49" i="17"/>
  <c r="J49" i="17"/>
  <c r="S49" i="13"/>
  <c r="J49" i="13"/>
  <c r="J49" i="12"/>
  <c r="S49" i="12"/>
  <c r="J49" i="11"/>
  <c r="S49" i="11"/>
  <c r="J49" i="10"/>
  <c r="S49" i="10"/>
  <c r="S49" i="5"/>
  <c r="J49" i="5"/>
  <c r="J49" i="7"/>
  <c r="S49" i="7"/>
  <c r="F16" i="16" l="1"/>
  <c r="K8" i="25"/>
  <c r="O8" i="25"/>
  <c r="L49" i="20"/>
  <c r="K49" i="20"/>
  <c r="L49" i="19"/>
  <c r="K49" i="19"/>
  <c r="O49" i="19"/>
  <c r="O49" i="18"/>
  <c r="L49" i="18"/>
  <c r="K49" i="18"/>
  <c r="L49" i="17"/>
  <c r="K49" i="17"/>
  <c r="L49" i="13"/>
  <c r="K49" i="13"/>
  <c r="O49" i="12"/>
  <c r="L49" i="12"/>
  <c r="K49" i="12"/>
  <c r="L49" i="11"/>
  <c r="K49" i="11"/>
  <c r="O49" i="11"/>
  <c r="L49" i="10"/>
  <c r="K49" i="10"/>
  <c r="O49" i="10"/>
  <c r="O49" i="5"/>
  <c r="K49" i="5"/>
  <c r="L49" i="5"/>
  <c r="L49" i="7"/>
  <c r="K49" i="7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X5" i="4"/>
  <c r="W5" i="4"/>
  <c r="B26" i="4"/>
  <c r="C26" i="4"/>
  <c r="D26" i="4"/>
  <c r="E26" i="4"/>
  <c r="F26" i="4"/>
  <c r="G26" i="4"/>
  <c r="H26" i="4"/>
  <c r="I26" i="4"/>
  <c r="J26" i="4"/>
  <c r="K26" i="4"/>
  <c r="L26" i="4"/>
  <c r="B25" i="4"/>
  <c r="C25" i="4"/>
  <c r="D25" i="4"/>
  <c r="E25" i="4"/>
  <c r="F25" i="4"/>
  <c r="G25" i="4"/>
  <c r="H25" i="4"/>
  <c r="I25" i="4"/>
  <c r="J25" i="4"/>
  <c r="K25" i="4"/>
  <c r="L25" i="4"/>
  <c r="B24" i="4"/>
  <c r="C24" i="4"/>
  <c r="D24" i="4"/>
  <c r="E24" i="4"/>
  <c r="F24" i="4"/>
  <c r="G24" i="4"/>
  <c r="H24" i="4"/>
  <c r="I24" i="4"/>
  <c r="J24" i="4"/>
  <c r="K24" i="4"/>
  <c r="L24" i="4"/>
  <c r="K5" i="4"/>
  <c r="B23" i="4"/>
  <c r="C23" i="4"/>
  <c r="D23" i="4"/>
  <c r="E23" i="4"/>
  <c r="F23" i="4"/>
  <c r="G23" i="4"/>
  <c r="H23" i="4"/>
  <c r="I23" i="4"/>
  <c r="J23" i="4"/>
  <c r="K23" i="4"/>
  <c r="M48" i="20"/>
  <c r="O48" i="20" s="1"/>
  <c r="M47" i="20"/>
  <c r="N47" i="20" s="1"/>
  <c r="M46" i="20"/>
  <c r="N46" i="20" s="1"/>
  <c r="M45" i="20"/>
  <c r="N45" i="20" s="1"/>
  <c r="M48" i="19"/>
  <c r="N48" i="19" s="1"/>
  <c r="O48" i="19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N48" i="12"/>
  <c r="M47" i="12"/>
  <c r="O47" i="12" s="1"/>
  <c r="M46" i="12"/>
  <c r="N46" i="12" s="1"/>
  <c r="M45" i="12"/>
  <c r="O45" i="12" s="1"/>
  <c r="D15" i="16"/>
  <c r="S47" i="20"/>
  <c r="S45" i="20"/>
  <c r="J47" i="19"/>
  <c r="S45" i="19"/>
  <c r="J47" i="18"/>
  <c r="S45" i="18"/>
  <c r="S47" i="17"/>
  <c r="J45" i="17"/>
  <c r="J47" i="13"/>
  <c r="J45" i="13"/>
  <c r="S47" i="12"/>
  <c r="S45" i="12"/>
  <c r="J46" i="20"/>
  <c r="J48" i="19"/>
  <c r="J48" i="18"/>
  <c r="J48" i="17"/>
  <c r="J48" i="13"/>
  <c r="S46" i="13"/>
  <c r="J46" i="12"/>
  <c r="J48" i="20"/>
  <c r="S46" i="20"/>
  <c r="S48" i="19"/>
  <c r="S46" i="19"/>
  <c r="S48" i="18"/>
  <c r="S46" i="18"/>
  <c r="S48" i="17"/>
  <c r="J46" i="17"/>
  <c r="J46" i="13"/>
  <c r="S48" i="12"/>
  <c r="S46" i="12"/>
  <c r="J47" i="20"/>
  <c r="S47" i="19"/>
  <c r="S47" i="18"/>
  <c r="J47" i="17"/>
  <c r="S47" i="13"/>
  <c r="J47" i="12"/>
  <c r="S48" i="20"/>
  <c r="J46" i="19"/>
  <c r="J46" i="18"/>
  <c r="S46" i="17"/>
  <c r="J48" i="12"/>
  <c r="S48" i="13"/>
  <c r="J45" i="20"/>
  <c r="J45" i="19"/>
  <c r="J45" i="18"/>
  <c r="S45" i="17"/>
  <c r="S45" i="13"/>
  <c r="J45" i="12"/>
  <c r="N47" i="12" l="1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N63" i="2" s="1"/>
  <c r="I63" i="2"/>
  <c r="J63" i="2"/>
  <c r="K63" i="2"/>
  <c r="L63" i="2"/>
  <c r="M63" i="2"/>
  <c r="O63" i="2" s="1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J7" i="25"/>
  <c r="L7" i="25" s="1"/>
  <c r="M7" i="25"/>
  <c r="O7" i="25" s="1"/>
  <c r="P7" i="25"/>
  <c r="R7" i="25" s="1"/>
  <c r="I7" i="25" s="1"/>
  <c r="Q7" i="25"/>
  <c r="S7" i="25"/>
  <c r="J6" i="25"/>
  <c r="L6" i="25" s="1"/>
  <c r="M6" i="25"/>
  <c r="N6" i="25" s="1"/>
  <c r="P6" i="25"/>
  <c r="R6" i="25" s="1"/>
  <c r="I6" i="25" s="1"/>
  <c r="Q6" i="25"/>
  <c r="S6" i="25"/>
  <c r="S5" i="25"/>
  <c r="Q5" i="25"/>
  <c r="P5" i="25"/>
  <c r="R5" i="25" s="1"/>
  <c r="I5" i="25" s="1"/>
  <c r="M5" i="25"/>
  <c r="N5" i="25" s="1"/>
  <c r="J5" i="25"/>
  <c r="L5" i="25" s="1"/>
  <c r="H5" i="25"/>
  <c r="H6" i="25" s="1"/>
  <c r="H7" i="25" s="1"/>
  <c r="H8" i="25" s="1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S45" i="10"/>
  <c r="J45" i="7"/>
  <c r="J46" i="10"/>
  <c r="S46" i="7"/>
  <c r="S46" i="10"/>
  <c r="J46" i="7"/>
  <c r="J45" i="10"/>
  <c r="S45" i="7"/>
  <c r="S47" i="11"/>
  <c r="J48" i="11"/>
  <c r="J48" i="5"/>
  <c r="S48" i="5"/>
  <c r="J47" i="5"/>
  <c r="S47" i="7"/>
  <c r="S48" i="7"/>
  <c r="S47" i="10"/>
  <c r="S47" i="5"/>
  <c r="S48" i="11"/>
  <c r="J47" i="11"/>
  <c r="S48" i="10"/>
  <c r="J48" i="7"/>
  <c r="S45" i="11"/>
  <c r="S45" i="5"/>
  <c r="S46" i="11"/>
  <c r="J46" i="5"/>
  <c r="J46" i="11"/>
  <c r="S46" i="5"/>
  <c r="J45" i="11"/>
  <c r="J45" i="5"/>
  <c r="J47" i="10"/>
  <c r="J48" i="10"/>
  <c r="J47" i="7"/>
  <c r="O47" i="10" l="1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N7" i="25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O6" i="25"/>
  <c r="K7" i="25"/>
  <c r="K6" i="25"/>
  <c r="O5" i="25"/>
  <c r="K5" i="25"/>
  <c r="S9" i="25"/>
  <c r="N58" i="2"/>
  <c r="G3" i="15"/>
  <c r="J22" i="4" l="1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G11" i="16"/>
  <c r="AH11" i="16" s="1"/>
  <c r="B22" i="4"/>
  <c r="C22" i="4"/>
  <c r="D22" i="4"/>
  <c r="E22" i="4"/>
  <c r="F22" i="4"/>
  <c r="G22" i="4"/>
  <c r="H22" i="4"/>
  <c r="I22" i="4"/>
  <c r="K22" i="4"/>
  <c r="B21" i="4"/>
  <c r="C21" i="4"/>
  <c r="D21" i="4"/>
  <c r="E21" i="4"/>
  <c r="F21" i="4"/>
  <c r="G21" i="4"/>
  <c r="H21" i="4"/>
  <c r="I21" i="4"/>
  <c r="K21" i="4"/>
  <c r="B20" i="4"/>
  <c r="C20" i="4"/>
  <c r="D20" i="4"/>
  <c r="E20" i="4"/>
  <c r="F20" i="4"/>
  <c r="G20" i="4"/>
  <c r="H20" i="4"/>
  <c r="I20" i="4"/>
  <c r="J20" i="4"/>
  <c r="K20" i="4"/>
  <c r="B19" i="4"/>
  <c r="C19" i="4"/>
  <c r="D19" i="4"/>
  <c r="E19" i="4"/>
  <c r="F19" i="4"/>
  <c r="G19" i="4"/>
  <c r="H19" i="4"/>
  <c r="I19" i="4"/>
  <c r="J19" i="4"/>
  <c r="K19" i="4"/>
  <c r="B18" i="4"/>
  <c r="C18" i="4"/>
  <c r="D18" i="4"/>
  <c r="E18" i="4"/>
  <c r="F18" i="4"/>
  <c r="G18" i="4"/>
  <c r="H18" i="4"/>
  <c r="I18" i="4"/>
  <c r="J18" i="4"/>
  <c r="K18" i="4"/>
  <c r="B17" i="4"/>
  <c r="C17" i="4"/>
  <c r="D17" i="4"/>
  <c r="E17" i="4"/>
  <c r="F17" i="4"/>
  <c r="G17" i="4"/>
  <c r="H17" i="4"/>
  <c r="I17" i="4"/>
  <c r="J17" i="4"/>
  <c r="K17" i="4"/>
  <c r="B16" i="4"/>
  <c r="C16" i="4"/>
  <c r="D16" i="4"/>
  <c r="E16" i="4"/>
  <c r="F16" i="4"/>
  <c r="G16" i="4"/>
  <c r="H16" i="4"/>
  <c r="I16" i="4"/>
  <c r="J16" i="4"/>
  <c r="K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S44" i="20"/>
  <c r="J38" i="13"/>
  <c r="S38" i="10"/>
  <c r="J38" i="10"/>
  <c r="S40" i="19"/>
  <c r="S41" i="11"/>
  <c r="J38" i="17"/>
  <c r="J40" i="18"/>
  <c r="S39" i="10"/>
  <c r="J43" i="20"/>
  <c r="J38" i="19"/>
  <c r="S42" i="11"/>
  <c r="J41" i="13"/>
  <c r="S41" i="20"/>
  <c r="S39" i="20"/>
  <c r="J44" i="11"/>
  <c r="S39" i="11"/>
  <c r="S38" i="12"/>
  <c r="S43" i="18"/>
  <c r="S39" i="19"/>
  <c r="S44" i="12"/>
  <c r="S39" i="5"/>
  <c r="J41" i="10"/>
  <c r="S43" i="10"/>
  <c r="S44" i="19"/>
  <c r="S42" i="13"/>
  <c r="J43" i="13"/>
  <c r="J40" i="19"/>
  <c r="J39" i="7"/>
  <c r="S38" i="18"/>
  <c r="S44" i="17"/>
  <c r="J40" i="11"/>
  <c r="S44" i="18"/>
  <c r="J43" i="19"/>
  <c r="J40" i="12"/>
  <c r="J39" i="17"/>
  <c r="S44" i="10"/>
  <c r="S41" i="19"/>
  <c r="J40" i="10"/>
  <c r="S42" i="10"/>
  <c r="J39" i="20"/>
  <c r="J38" i="5"/>
  <c r="S42" i="12"/>
  <c r="J38" i="7"/>
  <c r="S38" i="5"/>
  <c r="J44" i="10"/>
  <c r="J40" i="20"/>
  <c r="J41" i="20"/>
  <c r="S43" i="11"/>
  <c r="J42" i="7"/>
  <c r="S43" i="12"/>
  <c r="S43" i="13"/>
  <c r="S44" i="7"/>
  <c r="S41" i="12"/>
  <c r="J38" i="18"/>
  <c r="J42" i="11"/>
  <c r="S39" i="7"/>
  <c r="S40" i="18"/>
  <c r="J38" i="20"/>
  <c r="S41" i="7"/>
  <c r="S42" i="18"/>
  <c r="J42" i="20"/>
  <c r="J43" i="12"/>
  <c r="J44" i="20"/>
  <c r="S41" i="5"/>
  <c r="S38" i="13"/>
  <c r="J40" i="7"/>
  <c r="J38" i="12"/>
  <c r="J43" i="5"/>
  <c r="S40" i="17"/>
  <c r="J43" i="7"/>
  <c r="S43" i="19"/>
  <c r="S43" i="20"/>
  <c r="J39" i="11"/>
  <c r="S44" i="11"/>
  <c r="J44" i="5"/>
  <c r="J41" i="5"/>
  <c r="S40" i="12"/>
  <c r="J42" i="18"/>
  <c r="J43" i="11"/>
  <c r="S44" i="5"/>
  <c r="S40" i="13"/>
  <c r="S43" i="5"/>
  <c r="J38" i="11"/>
  <c r="S41" i="18"/>
  <c r="J41" i="7"/>
  <c r="J39" i="5"/>
  <c r="J41" i="18"/>
  <c r="S42" i="5"/>
  <c r="S40" i="11"/>
  <c r="J42" i="12"/>
  <c r="S42" i="7"/>
  <c r="J44" i="12"/>
  <c r="S40" i="5"/>
  <c r="S38" i="11"/>
  <c r="S43" i="7"/>
  <c r="S39" i="18"/>
  <c r="J39" i="12"/>
  <c r="J43" i="10"/>
  <c r="J44" i="7"/>
  <c r="S38" i="19"/>
  <c r="S42" i="20"/>
  <c r="J42" i="13"/>
  <c r="S39" i="12"/>
  <c r="J40" i="13"/>
  <c r="S40" i="7"/>
  <c r="S40" i="20"/>
  <c r="J40" i="5"/>
  <c r="J43" i="18"/>
  <c r="J43" i="17"/>
  <c r="S41" i="17"/>
  <c r="S38" i="17"/>
  <c r="J44" i="19"/>
  <c r="J39" i="18"/>
  <c r="J41" i="12"/>
  <c r="J42" i="17"/>
  <c r="S39" i="17"/>
  <c r="S40" i="10"/>
  <c r="J39" i="10"/>
  <c r="J39" i="19"/>
  <c r="S42" i="17"/>
  <c r="S38" i="7"/>
  <c r="J41" i="19"/>
  <c r="S38" i="20"/>
  <c r="J39" i="13"/>
  <c r="J42" i="19"/>
  <c r="S41" i="10"/>
  <c r="S41" i="13"/>
  <c r="S44" i="13"/>
  <c r="J42" i="10"/>
  <c r="S42" i="19"/>
  <c r="J44" i="13"/>
  <c r="J44" i="17"/>
  <c r="J44" i="18"/>
  <c r="J41" i="11"/>
  <c r="S39" i="13"/>
  <c r="J41" i="17"/>
  <c r="J40" i="17"/>
  <c r="J42" i="5"/>
  <c r="S43" i="17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64" i="2"/>
  <c r="S37" i="10"/>
  <c r="S33" i="10"/>
  <c r="AH8" i="16" l="1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Q49" i="20"/>
  <c r="Q49" i="19"/>
  <c r="Q49" i="18"/>
  <c r="Q49" i="17"/>
  <c r="P49" i="13"/>
  <c r="P49" i="12"/>
  <c r="P49" i="11"/>
  <c r="P49" i="10"/>
  <c r="P49" i="5"/>
  <c r="P49" i="7"/>
  <c r="Q46" i="19"/>
  <c r="Q48" i="17"/>
  <c r="J35" i="18"/>
  <c r="S36" i="19"/>
  <c r="S36" i="13"/>
  <c r="J34" i="20"/>
  <c r="S33" i="18"/>
  <c r="S34" i="17"/>
  <c r="J36" i="12"/>
  <c r="J37" i="7"/>
  <c r="J33" i="17"/>
  <c r="S37" i="11"/>
  <c r="J34" i="17"/>
  <c r="S33" i="17"/>
  <c r="J37" i="19"/>
  <c r="J33" i="18"/>
  <c r="J36" i="20"/>
  <c r="Q48" i="20"/>
  <c r="Q48" i="18"/>
  <c r="Q47" i="17"/>
  <c r="J36" i="17"/>
  <c r="J37" i="20"/>
  <c r="S35" i="17"/>
  <c r="S37" i="12"/>
  <c r="S35" i="19"/>
  <c r="S36" i="12"/>
  <c r="J34" i="19"/>
  <c r="J35" i="20"/>
  <c r="J36" i="13"/>
  <c r="S36" i="18"/>
  <c r="S35" i="20"/>
  <c r="J35" i="19"/>
  <c r="S36" i="17"/>
  <c r="S37" i="5"/>
  <c r="J33" i="19"/>
  <c r="J34" i="18"/>
  <c r="Q48" i="19"/>
  <c r="Q47" i="18"/>
  <c r="Q46" i="17"/>
  <c r="S36" i="11"/>
  <c r="J37" i="18"/>
  <c r="S37" i="7"/>
  <c r="S36" i="20"/>
  <c r="J33" i="20"/>
  <c r="S34" i="18"/>
  <c r="J36" i="11"/>
  <c r="S37" i="19"/>
  <c r="J36" i="10"/>
  <c r="S33" i="20"/>
  <c r="J37" i="17"/>
  <c r="J36" i="18"/>
  <c r="J37" i="5"/>
  <c r="S37" i="17"/>
  <c r="J36" i="7"/>
  <c r="Q47" i="19"/>
  <c r="Q46" i="18"/>
  <c r="S36" i="5"/>
  <c r="S37" i="20"/>
  <c r="S36" i="10"/>
  <c r="J37" i="12"/>
  <c r="J35" i="17"/>
  <c r="S35" i="18"/>
  <c r="S36" i="7"/>
  <c r="S34" i="20"/>
  <c r="J36" i="19"/>
  <c r="J36" i="5"/>
  <c r="J37" i="13"/>
  <c r="S37" i="13"/>
  <c r="S37" i="18"/>
  <c r="S34" i="19"/>
  <c r="J37" i="11"/>
  <c r="J37" i="10"/>
  <c r="S33" i="19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P49" i="20"/>
  <c r="P49" i="19"/>
  <c r="P49" i="18"/>
  <c r="P49" i="17"/>
  <c r="Q49" i="13"/>
  <c r="Q49" i="12"/>
  <c r="Q49" i="11"/>
  <c r="Q49" i="10"/>
  <c r="Q49" i="5"/>
  <c r="Q49" i="7"/>
  <c r="P46" i="20"/>
  <c r="P46" i="19"/>
  <c r="P48" i="17"/>
  <c r="Q48" i="12"/>
  <c r="J33" i="13"/>
  <c r="P48" i="11"/>
  <c r="J35" i="13"/>
  <c r="J35" i="11"/>
  <c r="S35" i="13"/>
  <c r="J34" i="12"/>
  <c r="P47" i="19"/>
  <c r="J35" i="12"/>
  <c r="J33" i="12"/>
  <c r="P48" i="20"/>
  <c r="Q46" i="20"/>
  <c r="P48" i="18"/>
  <c r="P47" i="17"/>
  <c r="S33" i="13"/>
  <c r="S33" i="12"/>
  <c r="J33" i="11"/>
  <c r="J34" i="11"/>
  <c r="S34" i="11"/>
  <c r="Q47" i="20"/>
  <c r="Q48" i="13"/>
  <c r="S34" i="12"/>
  <c r="P47" i="20"/>
  <c r="P48" i="19"/>
  <c r="P47" i="18"/>
  <c r="P46" i="17"/>
  <c r="S35" i="11"/>
  <c r="J34" i="13"/>
  <c r="S35" i="12"/>
  <c r="P47" i="11"/>
  <c r="S33" i="11"/>
  <c r="P46" i="18"/>
  <c r="S34" i="13"/>
  <c r="P46" i="11"/>
  <c r="R49" i="20" l="1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P48" i="13"/>
  <c r="Q46" i="13"/>
  <c r="Q46" i="12"/>
  <c r="P46" i="5"/>
  <c r="J34" i="7"/>
  <c r="Q47" i="11"/>
  <c r="J35" i="7"/>
  <c r="J35" i="5"/>
  <c r="P47" i="7"/>
  <c r="S35" i="10"/>
  <c r="S34" i="5"/>
  <c r="S35" i="7"/>
  <c r="P46" i="13"/>
  <c r="S33" i="5"/>
  <c r="P47" i="13"/>
  <c r="P48" i="12"/>
  <c r="P46" i="12"/>
  <c r="S33" i="7"/>
  <c r="J33" i="7"/>
  <c r="P46" i="10"/>
  <c r="J35" i="10"/>
  <c r="S34" i="10"/>
  <c r="S35" i="5"/>
  <c r="P46" i="7"/>
  <c r="J34" i="10"/>
  <c r="P47" i="10"/>
  <c r="J33" i="5"/>
  <c r="P48" i="5"/>
  <c r="Q47" i="13"/>
  <c r="P47" i="12"/>
  <c r="Q48" i="11"/>
  <c r="S34" i="7"/>
  <c r="P47" i="5"/>
  <c r="P48" i="7"/>
  <c r="Q46" i="11"/>
  <c r="Q47" i="12"/>
  <c r="J34" i="5"/>
  <c r="P48" i="10"/>
  <c r="J33" i="10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6" i="10"/>
  <c r="Q47" i="10"/>
  <c r="Q46" i="5"/>
  <c r="Q48" i="10"/>
  <c r="Q48" i="7"/>
  <c r="Q48" i="5"/>
  <c r="Q47" i="5"/>
  <c r="Q47" i="7"/>
  <c r="Q46" i="7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G24" i="15"/>
  <c r="E29" i="15"/>
  <c r="D28" i="15"/>
  <c r="C30" i="15"/>
  <c r="H28" i="15"/>
  <c r="B23" i="15"/>
  <c r="D24" i="15"/>
  <c r="H21" i="15"/>
  <c r="H24" i="15"/>
  <c r="D23" i="15"/>
  <c r="B27" i="15"/>
  <c r="B25" i="15"/>
  <c r="G22" i="15"/>
  <c r="G21" i="15"/>
  <c r="D27" i="15"/>
  <c r="D26" i="15"/>
  <c r="H26" i="15"/>
  <c r="C26" i="15"/>
  <c r="H30" i="15"/>
  <c r="B22" i="15"/>
  <c r="G28" i="15"/>
  <c r="F28" i="15"/>
  <c r="F24" i="15"/>
  <c r="B29" i="15"/>
  <c r="E21" i="15"/>
  <c r="H23" i="15"/>
  <c r="E26" i="15"/>
  <c r="F22" i="15"/>
  <c r="D22" i="15"/>
  <c r="G25" i="15"/>
  <c r="H25" i="15"/>
  <c r="H22" i="15"/>
  <c r="H29" i="15"/>
  <c r="F26" i="15"/>
  <c r="D21" i="15"/>
  <c r="G29" i="15"/>
  <c r="C22" i="15"/>
  <c r="B30" i="15"/>
  <c r="C21" i="15"/>
  <c r="F21" i="15"/>
  <c r="B26" i="15"/>
  <c r="B24" i="15"/>
  <c r="D30" i="15"/>
  <c r="D29" i="15"/>
  <c r="F23" i="15"/>
  <c r="F29" i="15"/>
  <c r="C24" i="15"/>
  <c r="F30" i="15"/>
  <c r="E24" i="15"/>
  <c r="C23" i="15"/>
  <c r="G26" i="15"/>
  <c r="E23" i="15"/>
  <c r="G23" i="15"/>
  <c r="F27" i="15"/>
  <c r="D25" i="15"/>
  <c r="F25" i="15"/>
  <c r="E30" i="15"/>
  <c r="H27" i="15"/>
  <c r="C28" i="15"/>
  <c r="C29" i="15"/>
  <c r="B21" i="15"/>
  <c r="B28" i="15"/>
  <c r="E27" i="15"/>
  <c r="G27" i="15"/>
  <c r="G30" i="15"/>
  <c r="C25" i="15"/>
  <c r="E28" i="15"/>
  <c r="E22" i="15"/>
  <c r="E25" i="15"/>
  <c r="C27" i="15"/>
  <c r="C11" i="16" l="1"/>
  <c r="C12" i="16"/>
  <c r="C13" i="16"/>
  <c r="C14" i="16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45" i="18"/>
  <c r="S26" i="19"/>
  <c r="Q26" i="17"/>
  <c r="J26" i="17"/>
  <c r="P44" i="7"/>
  <c r="J28" i="17"/>
  <c r="S32" i="10"/>
  <c r="J24" i="20"/>
  <c r="S21" i="19"/>
  <c r="J24" i="18"/>
  <c r="S30" i="19"/>
  <c r="Q44" i="17"/>
  <c r="J25" i="17"/>
  <c r="S26" i="18"/>
  <c r="S27" i="19"/>
  <c r="S25" i="20"/>
  <c r="J30" i="13"/>
  <c r="J23" i="18"/>
  <c r="J30" i="12"/>
  <c r="Q40" i="17"/>
  <c r="S18" i="19"/>
  <c r="S27" i="17"/>
  <c r="J29" i="12"/>
  <c r="S32" i="18"/>
  <c r="S19" i="18"/>
  <c r="J20" i="17"/>
  <c r="J24" i="17"/>
  <c r="Q34" i="17"/>
  <c r="S23" i="18"/>
  <c r="S31" i="17"/>
  <c r="S29" i="5"/>
  <c r="P42" i="5"/>
  <c r="S21" i="17"/>
  <c r="P44" i="12"/>
  <c r="J30" i="20"/>
  <c r="Q28" i="17"/>
  <c r="S25" i="19"/>
  <c r="J18" i="17"/>
  <c r="J18" i="19"/>
  <c r="S30" i="7"/>
  <c r="Q43" i="17"/>
  <c r="S20" i="17"/>
  <c r="Q43" i="20"/>
  <c r="J29" i="5"/>
  <c r="J32" i="11"/>
  <c r="J32" i="13"/>
  <c r="S29" i="20"/>
  <c r="J31" i="10"/>
  <c r="S32" i="5"/>
  <c r="S29" i="18"/>
  <c r="S20" i="19"/>
  <c r="J26" i="20"/>
  <c r="J31" i="11"/>
  <c r="S21" i="18"/>
  <c r="D14" i="16"/>
  <c r="S24" i="17"/>
  <c r="S31" i="11"/>
  <c r="S18" i="20"/>
  <c r="P42" i="11"/>
  <c r="S31" i="7"/>
  <c r="J26" i="19"/>
  <c r="S31" i="20"/>
  <c r="J19" i="18"/>
  <c r="J31" i="17"/>
  <c r="J29" i="17"/>
  <c r="S26" i="17"/>
  <c r="S18" i="17"/>
  <c r="D13" i="16"/>
  <c r="J22" i="20"/>
  <c r="J31" i="20"/>
  <c r="Q22" i="17"/>
  <c r="J31" i="12"/>
  <c r="S25" i="18"/>
  <c r="Q45" i="17"/>
  <c r="J32" i="17"/>
  <c r="S29" i="12"/>
  <c r="P43" i="7"/>
  <c r="P43" i="11"/>
  <c r="S31" i="19"/>
  <c r="P42" i="13"/>
  <c r="S29" i="17"/>
  <c r="S31" i="10"/>
  <c r="S30" i="12"/>
  <c r="P42" i="12"/>
  <c r="J30" i="10"/>
  <c r="S24" i="18"/>
  <c r="Q33" i="17"/>
  <c r="Q45" i="20"/>
  <c r="P45" i="13"/>
  <c r="J29" i="10"/>
  <c r="J19" i="19"/>
  <c r="J22" i="19"/>
  <c r="S30" i="13"/>
  <c r="J31" i="19"/>
  <c r="J29" i="18"/>
  <c r="D11" i="16"/>
  <c r="Q39" i="17"/>
  <c r="D12" i="16"/>
  <c r="S22" i="17"/>
  <c r="S26" i="20"/>
  <c r="J32" i="12"/>
  <c r="S32" i="7"/>
  <c r="S29" i="13"/>
  <c r="J29" i="7"/>
  <c r="J27" i="18"/>
  <c r="Q36" i="17"/>
  <c r="J32" i="19"/>
  <c r="J29" i="13"/>
  <c r="Q20" i="17"/>
  <c r="S21" i="20"/>
  <c r="S30" i="10"/>
  <c r="J32" i="10"/>
  <c r="Q44" i="20"/>
  <c r="J23" i="19"/>
  <c r="S32" i="17"/>
  <c r="J30" i="11"/>
  <c r="J25" i="20"/>
  <c r="Q37" i="17"/>
  <c r="S29" i="7"/>
  <c r="S23" i="19"/>
  <c r="S31" i="13"/>
  <c r="Q43" i="19"/>
  <c r="S30" i="20"/>
  <c r="J22" i="18"/>
  <c r="P43" i="13"/>
  <c r="J29" i="20"/>
  <c r="P43" i="12"/>
  <c r="S28" i="19"/>
  <c r="J21" i="17"/>
  <c r="P45" i="11"/>
  <c r="S30" i="11"/>
  <c r="J19" i="20"/>
  <c r="S23" i="17"/>
  <c r="J31" i="18"/>
  <c r="J28" i="18"/>
  <c r="S29" i="11"/>
  <c r="Q27" i="17"/>
  <c r="S31" i="12"/>
  <c r="J32" i="7"/>
  <c r="Q42" i="17"/>
  <c r="S19" i="19"/>
  <c r="S28" i="17"/>
  <c r="J20" i="20"/>
  <c r="S32" i="20"/>
  <c r="S18" i="18"/>
  <c r="J21" i="19"/>
  <c r="J31" i="5"/>
  <c r="Q24" i="17"/>
  <c r="S28" i="20"/>
  <c r="J30" i="18"/>
  <c r="J31" i="7"/>
  <c r="Q19" i="17"/>
  <c r="J19" i="17"/>
  <c r="J30" i="5"/>
  <c r="Q45" i="19"/>
  <c r="P45" i="12"/>
  <c r="Q30" i="17"/>
  <c r="S19" i="20"/>
  <c r="S32" i="19"/>
  <c r="S28" i="18"/>
  <c r="S31" i="5"/>
  <c r="Q35" i="17"/>
  <c r="J18" i="18"/>
  <c r="S31" i="18"/>
  <c r="J21" i="20"/>
  <c r="P45" i="7"/>
  <c r="S30" i="18"/>
  <c r="J18" i="20"/>
  <c r="S24" i="19"/>
  <c r="J32" i="18"/>
  <c r="J32" i="20"/>
  <c r="J26" i="18"/>
  <c r="J23" i="20"/>
  <c r="J27" i="20"/>
  <c r="S29" i="10"/>
  <c r="S22" i="19"/>
  <c r="P44" i="11"/>
  <c r="S32" i="12"/>
  <c r="S22" i="20"/>
  <c r="J28" i="19"/>
  <c r="P44" i="13"/>
  <c r="S27" i="18"/>
  <c r="J20" i="18"/>
  <c r="J22" i="17"/>
  <c r="Q31" i="17"/>
  <c r="S25" i="17"/>
  <c r="P45" i="5"/>
  <c r="J20" i="19"/>
  <c r="J23" i="17"/>
  <c r="S19" i="17"/>
  <c r="S20" i="18"/>
  <c r="S20" i="20"/>
  <c r="P44" i="5"/>
  <c r="J30" i="7"/>
  <c r="Q25" i="17"/>
  <c r="J31" i="13"/>
  <c r="P43" i="5"/>
  <c r="J29" i="11"/>
  <c r="Q38" i="17"/>
  <c r="J27" i="17"/>
  <c r="S30" i="5"/>
  <c r="J30" i="17"/>
  <c r="S30" i="17"/>
  <c r="J29" i="19"/>
  <c r="S32" i="11"/>
  <c r="Q23" i="17"/>
  <c r="S23" i="20"/>
  <c r="J32" i="5"/>
  <c r="J27" i="19"/>
  <c r="J25" i="19"/>
  <c r="J25" i="18"/>
  <c r="P42" i="7"/>
  <c r="Q29" i="17"/>
  <c r="S29" i="19"/>
  <c r="S27" i="20"/>
  <c r="S22" i="18"/>
  <c r="J24" i="19"/>
  <c r="Q21" i="17"/>
  <c r="S24" i="20"/>
  <c r="Q44" i="19"/>
  <c r="J28" i="20"/>
  <c r="Q41" i="17"/>
  <c r="Q32" i="17"/>
  <c r="S32" i="13"/>
  <c r="J21" i="18"/>
  <c r="J30" i="19"/>
  <c r="S50" i="20" l="1"/>
  <c r="S50" i="19"/>
  <c r="S50" i="18"/>
  <c r="S50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K6" i="16"/>
  <c r="Q45" i="10"/>
  <c r="P45" i="17"/>
  <c r="Q43" i="11"/>
  <c r="Q43" i="12"/>
  <c r="P38" i="17"/>
  <c r="Q30" i="20"/>
  <c r="Q44" i="7"/>
  <c r="Q40" i="19"/>
  <c r="Q40" i="20"/>
  <c r="Q41" i="18"/>
  <c r="P22" i="18"/>
  <c r="P35" i="19"/>
  <c r="Q22" i="18"/>
  <c r="P19" i="20"/>
  <c r="Q21" i="20"/>
  <c r="P25" i="17"/>
  <c r="P24" i="17"/>
  <c r="P25" i="18"/>
  <c r="Q32" i="18"/>
  <c r="Q43" i="10"/>
  <c r="P39" i="17"/>
  <c r="P42" i="19"/>
  <c r="P26" i="19"/>
  <c r="Q42" i="20"/>
  <c r="P27" i="19"/>
  <c r="Q33" i="19"/>
  <c r="Q37" i="19"/>
  <c r="P31" i="20"/>
  <c r="P33" i="18"/>
  <c r="P29" i="17"/>
  <c r="P29" i="20"/>
  <c r="Q23" i="18"/>
  <c r="P43" i="17"/>
  <c r="P42" i="20"/>
  <c r="P37" i="18"/>
  <c r="Q26" i="19"/>
  <c r="P41" i="17"/>
  <c r="Q42" i="18"/>
  <c r="P28" i="18"/>
  <c r="P28" i="17"/>
  <c r="Q39" i="18"/>
  <c r="P33" i="19"/>
  <c r="Q25" i="20"/>
  <c r="P37" i="17"/>
  <c r="P44" i="18"/>
  <c r="P21" i="17"/>
  <c r="P44" i="10"/>
  <c r="Q19" i="18"/>
  <c r="Q22" i="20"/>
  <c r="Q39" i="20"/>
  <c r="P42" i="17"/>
  <c r="P44" i="19"/>
  <c r="Q29" i="18"/>
  <c r="P39" i="20"/>
  <c r="Q27" i="19"/>
  <c r="P23" i="19"/>
  <c r="P43" i="19"/>
  <c r="Q31" i="18"/>
  <c r="Q36" i="18"/>
  <c r="P20" i="18"/>
  <c r="Q34" i="18"/>
  <c r="P21" i="18"/>
  <c r="P43" i="18"/>
  <c r="Q39" i="19"/>
  <c r="P45" i="20"/>
  <c r="Q45" i="13"/>
  <c r="Q28" i="20"/>
  <c r="P24" i="19"/>
  <c r="P37" i="20"/>
  <c r="Q42" i="12"/>
  <c r="P19" i="17"/>
  <c r="Q30" i="18"/>
  <c r="Q44" i="5"/>
  <c r="P34" i="19"/>
  <c r="Q20" i="20"/>
  <c r="Q40" i="18"/>
  <c r="P23" i="18"/>
  <c r="P37" i="19"/>
  <c r="Q38" i="20"/>
  <c r="Q41" i="19"/>
  <c r="Q38" i="18"/>
  <c r="P22" i="19"/>
  <c r="Q42" i="10"/>
  <c r="P30" i="18"/>
  <c r="Q26" i="20"/>
  <c r="P34" i="17"/>
  <c r="P45" i="10"/>
  <c r="Q32" i="20"/>
  <c r="P44" i="20"/>
  <c r="Q31" i="20"/>
  <c r="Q33" i="18"/>
  <c r="Q36" i="20"/>
  <c r="P31" i="17"/>
  <c r="Q24" i="19"/>
  <c r="P30" i="17"/>
  <c r="P31" i="19"/>
  <c r="Q21" i="19"/>
  <c r="Q26" i="18"/>
  <c r="P42" i="18"/>
  <c r="Q42" i="11"/>
  <c r="Q44" i="10"/>
  <c r="Q35" i="18"/>
  <c r="Q38" i="19"/>
  <c r="P38" i="20"/>
  <c r="P32" i="19"/>
  <c r="Q19" i="20"/>
  <c r="P41" i="20"/>
  <c r="Q29" i="20"/>
  <c r="P30" i="20"/>
  <c r="P39" i="19"/>
  <c r="P23" i="17"/>
  <c r="P35" i="18"/>
  <c r="P29" i="18"/>
  <c r="Q23" i="19"/>
  <c r="Q27" i="18"/>
  <c r="Q25" i="19"/>
  <c r="Q36" i="19"/>
  <c r="P32" i="18"/>
  <c r="P30" i="19"/>
  <c r="P19" i="18"/>
  <c r="Q22" i="19"/>
  <c r="P36" i="19"/>
  <c r="P35" i="17"/>
  <c r="Q44" i="18"/>
  <c r="P45" i="19"/>
  <c r="Q45" i="12"/>
  <c r="P25" i="19"/>
  <c r="P43" i="10"/>
  <c r="Q42" i="7"/>
  <c r="P40" i="20"/>
  <c r="P31" i="18"/>
  <c r="Q34" i="20"/>
  <c r="P20" i="19"/>
  <c r="P33" i="20"/>
  <c r="P32" i="20"/>
  <c r="Q30" i="19"/>
  <c r="P39" i="18"/>
  <c r="P38" i="19"/>
  <c r="P41" i="18"/>
  <c r="P32" i="17"/>
  <c r="P20" i="20"/>
  <c r="P40" i="18"/>
  <c r="Q19" i="19"/>
  <c r="P42" i="10"/>
  <c r="Q42" i="19"/>
  <c r="P28" i="20"/>
  <c r="Q34" i="19"/>
  <c r="Q27" i="20"/>
  <c r="P24" i="18"/>
  <c r="Q35" i="19"/>
  <c r="Q42" i="5"/>
  <c r="P28" i="19"/>
  <c r="P40" i="19"/>
  <c r="Q28" i="19"/>
  <c r="P24" i="20"/>
  <c r="Q44" i="11"/>
  <c r="Q42" i="13"/>
  <c r="P27" i="18"/>
  <c r="Q20" i="18"/>
  <c r="P41" i="19"/>
  <c r="Q45" i="5"/>
  <c r="P26" i="17"/>
  <c r="P20" i="17"/>
  <c r="P36" i="18"/>
  <c r="Q21" i="18"/>
  <c r="Q28" i="18"/>
  <c r="Q44" i="13"/>
  <c r="P43" i="20"/>
  <c r="Q33" i="20"/>
  <c r="Q37" i="18"/>
  <c r="P40" i="17"/>
  <c r="Q43" i="7"/>
  <c r="P21" i="19"/>
  <c r="Q20" i="19"/>
  <c r="P23" i="20"/>
  <c r="Q29" i="19"/>
  <c r="P45" i="18"/>
  <c r="Q45" i="7"/>
  <c r="Q43" i="13"/>
  <c r="P26" i="20"/>
  <c r="Q45" i="11"/>
  <c r="Q35" i="20"/>
  <c r="P22" i="20"/>
  <c r="P27" i="17"/>
  <c r="P27" i="20"/>
  <c r="Q25" i="18"/>
  <c r="Q41" i="20"/>
  <c r="P38" i="18"/>
  <c r="P34" i="20"/>
  <c r="P19" i="19"/>
  <c r="P36" i="17"/>
  <c r="Q43" i="18"/>
  <c r="P21" i="20"/>
  <c r="P44" i="17"/>
  <c r="Q31" i="19"/>
  <c r="Q24" i="20"/>
  <c r="P22" i="17"/>
  <c r="P36" i="20"/>
  <c r="P25" i="20"/>
  <c r="P35" i="20"/>
  <c r="Q43" i="5"/>
  <c r="Q23" i="20"/>
  <c r="P34" i="18"/>
  <c r="P29" i="19"/>
  <c r="Q44" i="12"/>
  <c r="Q24" i="18"/>
  <c r="Q37" i="20"/>
  <c r="Q32" i="19"/>
  <c r="P33" i="17"/>
  <c r="P26" i="18"/>
  <c r="R45" i="20" l="1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T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V5" i="4"/>
  <c r="U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T5" i="16"/>
  <c r="U9" i="16"/>
  <c r="Y17" i="16"/>
  <c r="U8" i="16"/>
  <c r="U10" i="16"/>
  <c r="V12" i="16"/>
  <c r="V9" i="16"/>
  <c r="V13" i="16"/>
  <c r="U11" i="16"/>
  <c r="T6" i="16"/>
  <c r="Z16" i="16"/>
  <c r="V16" i="16"/>
  <c r="Y16" i="16"/>
  <c r="U7" i="16"/>
  <c r="V17" i="16"/>
  <c r="U5" i="16"/>
  <c r="T13" i="16"/>
  <c r="U12" i="16"/>
  <c r="U14" i="16"/>
  <c r="U15" i="16"/>
  <c r="AA15" i="16"/>
  <c r="AA17" i="16"/>
  <c r="Y18" i="16"/>
  <c r="T10" i="16"/>
  <c r="V8" i="16"/>
  <c r="V6" i="16"/>
  <c r="U17" i="16"/>
  <c r="T18" i="16"/>
  <c r="V7" i="16"/>
  <c r="T14" i="16"/>
  <c r="T12" i="16"/>
  <c r="U16" i="16"/>
  <c r="AB14" i="16" l="1"/>
  <c r="AB12" i="16"/>
  <c r="AB13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V5" i="16"/>
  <c r="AA16" i="16"/>
  <c r="U13" i="16"/>
  <c r="V10" i="16"/>
  <c r="T16" i="16"/>
  <c r="D5" i="16"/>
  <c r="V11" i="16"/>
  <c r="Z18" i="16"/>
  <c r="T7" i="16"/>
  <c r="T17" i="16"/>
  <c r="V18" i="16"/>
  <c r="D10" i="16"/>
  <c r="T8" i="16"/>
  <c r="V14" i="16"/>
  <c r="Y15" i="16"/>
  <c r="D6" i="16"/>
  <c r="Z17" i="16"/>
  <c r="AA18" i="16"/>
  <c r="T11" i="16"/>
  <c r="D7" i="16"/>
  <c r="T15" i="16"/>
  <c r="U6" i="16"/>
  <c r="D8" i="16"/>
  <c r="T9" i="16"/>
  <c r="Z15" i="16"/>
  <c r="D9" i="16"/>
  <c r="U18" i="16"/>
  <c r="V15" i="16"/>
  <c r="AB16" i="16" l="1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Q41" i="13"/>
  <c r="S18" i="13"/>
  <c r="Q40" i="13"/>
  <c r="S24" i="13"/>
  <c r="J24" i="11"/>
  <c r="S20" i="13"/>
  <c r="S22" i="11"/>
  <c r="J25" i="11"/>
  <c r="S28" i="13"/>
  <c r="J24" i="13"/>
  <c r="S19" i="11"/>
  <c r="J26" i="11"/>
  <c r="J24" i="12"/>
  <c r="S21" i="13"/>
  <c r="S18" i="12"/>
  <c r="J23" i="11"/>
  <c r="J28" i="11"/>
  <c r="S28" i="11"/>
  <c r="S26" i="11"/>
  <c r="J23" i="12"/>
  <c r="S20" i="12"/>
  <c r="Q40" i="12"/>
  <c r="J26" i="12"/>
  <c r="J20" i="12"/>
  <c r="S25" i="12"/>
  <c r="J27" i="13"/>
  <c r="J27" i="12"/>
  <c r="S25" i="13"/>
  <c r="J23" i="13"/>
  <c r="J19" i="13"/>
  <c r="J27" i="11"/>
  <c r="J20" i="11"/>
  <c r="S24" i="11"/>
  <c r="S23" i="13"/>
  <c r="S27" i="12"/>
  <c r="J21" i="13"/>
  <c r="S23" i="12"/>
  <c r="S27" i="13"/>
  <c r="J19" i="11"/>
  <c r="J25" i="13"/>
  <c r="S21" i="11"/>
  <c r="S19" i="13"/>
  <c r="J22" i="12"/>
  <c r="J18" i="13"/>
  <c r="J21" i="12"/>
  <c r="J21" i="11"/>
  <c r="Q40" i="11"/>
  <c r="S24" i="12"/>
  <c r="S21" i="12"/>
  <c r="S28" i="12"/>
  <c r="S20" i="11"/>
  <c r="S22" i="13"/>
  <c r="J19" i="12"/>
  <c r="J28" i="12"/>
  <c r="J18" i="12"/>
  <c r="S27" i="11"/>
  <c r="J22" i="11"/>
  <c r="Q41" i="12"/>
  <c r="S19" i="12"/>
  <c r="J28" i="13"/>
  <c r="J18" i="11"/>
  <c r="S18" i="11"/>
  <c r="J26" i="13"/>
  <c r="S26" i="13"/>
  <c r="S22" i="12"/>
  <c r="S25" i="11"/>
  <c r="S23" i="11"/>
  <c r="Q41" i="11"/>
  <c r="J25" i="12"/>
  <c r="J22" i="13"/>
  <c r="S26" i="12"/>
  <c r="J20" i="13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50" i="13"/>
  <c r="S50" i="12"/>
  <c r="S50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Q31" i="11"/>
  <c r="P20" i="13"/>
  <c r="P30" i="11"/>
  <c r="J27" i="5"/>
  <c r="Q22" i="13"/>
  <c r="S25" i="10"/>
  <c r="J24" i="7"/>
  <c r="Q36" i="11"/>
  <c r="P34" i="12"/>
  <c r="Q20" i="13"/>
  <c r="P41" i="13"/>
  <c r="P33" i="13"/>
  <c r="Z13" i="16"/>
  <c r="P34" i="13"/>
  <c r="S22" i="5"/>
  <c r="P32" i="11"/>
  <c r="J19" i="5"/>
  <c r="P40" i="12"/>
  <c r="P25" i="11"/>
  <c r="Q23" i="12"/>
  <c r="P36" i="11"/>
  <c r="P29" i="11"/>
  <c r="J26" i="7"/>
  <c r="P32" i="12"/>
  <c r="Q36" i="12"/>
  <c r="Q21" i="13"/>
  <c r="J20" i="7"/>
  <c r="Q38" i="11"/>
  <c r="S19" i="10"/>
  <c r="P37" i="13"/>
  <c r="Q28" i="13"/>
  <c r="P28" i="12"/>
  <c r="Q35" i="13"/>
  <c r="J19" i="10"/>
  <c r="Q38" i="12"/>
  <c r="S20" i="7"/>
  <c r="P25" i="12"/>
  <c r="J18" i="10"/>
  <c r="Q23" i="11"/>
  <c r="P22" i="12"/>
  <c r="P35" i="13"/>
  <c r="Q26" i="13"/>
  <c r="P40" i="13"/>
  <c r="S23" i="10"/>
  <c r="Q39" i="5"/>
  <c r="Q25" i="13"/>
  <c r="P22" i="13"/>
  <c r="AA12" i="16"/>
  <c r="Z14" i="16"/>
  <c r="P38" i="13"/>
  <c r="P36" i="12"/>
  <c r="P41" i="7"/>
  <c r="Q25" i="12"/>
  <c r="Q37" i="13"/>
  <c r="Q23" i="13"/>
  <c r="Q30" i="11"/>
  <c r="P37" i="12"/>
  <c r="Q31" i="12"/>
  <c r="Q32" i="12"/>
  <c r="Z11" i="16"/>
  <c r="P21" i="11"/>
  <c r="J24" i="5"/>
  <c r="S27" i="7"/>
  <c r="P39" i="12"/>
  <c r="P22" i="11"/>
  <c r="S23" i="7"/>
  <c r="S21" i="10"/>
  <c r="P31" i="13"/>
  <c r="J23" i="5"/>
  <c r="P25" i="13"/>
  <c r="Q35" i="11"/>
  <c r="S24" i="10"/>
  <c r="J24" i="10"/>
  <c r="Q30" i="12"/>
  <c r="Q32" i="13"/>
  <c r="Q28" i="11"/>
  <c r="J28" i="7"/>
  <c r="Q41" i="5"/>
  <c r="J25" i="5"/>
  <c r="J18" i="7"/>
  <c r="Q37" i="11"/>
  <c r="P30" i="13"/>
  <c r="P27" i="12"/>
  <c r="S27" i="10"/>
  <c r="Q29" i="12"/>
  <c r="Q24" i="13"/>
  <c r="J23" i="10"/>
  <c r="AA11" i="16"/>
  <c r="S21" i="7"/>
  <c r="P26" i="12"/>
  <c r="S28" i="10"/>
  <c r="S20" i="10"/>
  <c r="P30" i="12"/>
  <c r="P19" i="12"/>
  <c r="Q33" i="11"/>
  <c r="P39" i="13"/>
  <c r="S18" i="10"/>
  <c r="P41" i="12"/>
  <c r="P27" i="11"/>
  <c r="Q29" i="11"/>
  <c r="S25" i="5"/>
  <c r="P23" i="12"/>
  <c r="P21" i="12"/>
  <c r="P33" i="11"/>
  <c r="P27" i="13"/>
  <c r="Q30" i="13"/>
  <c r="P31" i="11"/>
  <c r="P24" i="11"/>
  <c r="P35" i="12"/>
  <c r="P31" i="12"/>
  <c r="Q21" i="12"/>
  <c r="S19" i="7"/>
  <c r="J22" i="5"/>
  <c r="J23" i="7"/>
  <c r="Q31" i="13"/>
  <c r="J20" i="5"/>
  <c r="P33" i="12"/>
  <c r="P26" i="11"/>
  <c r="Q39" i="12"/>
  <c r="P38" i="12"/>
  <c r="Q35" i="12"/>
  <c r="S25" i="7"/>
  <c r="P34" i="11"/>
  <c r="P20" i="12"/>
  <c r="P36" i="13"/>
  <c r="P28" i="13"/>
  <c r="Q21" i="11"/>
  <c r="S27" i="5"/>
  <c r="S28" i="5"/>
  <c r="P20" i="11"/>
  <c r="P35" i="11"/>
  <c r="P23" i="13"/>
  <c r="P21" i="13"/>
  <c r="Y14" i="16"/>
  <c r="P39" i="7"/>
  <c r="J18" i="5"/>
  <c r="Q20" i="11"/>
  <c r="S18" i="7"/>
  <c r="S21" i="5"/>
  <c r="J26" i="5"/>
  <c r="Q34" i="11"/>
  <c r="Q38" i="5"/>
  <c r="S24" i="5"/>
  <c r="J21" i="7"/>
  <c r="S26" i="10"/>
  <c r="Q27" i="13"/>
  <c r="Q34" i="12"/>
  <c r="Q22" i="12"/>
  <c r="P32" i="13"/>
  <c r="Q34" i="13"/>
  <c r="P39" i="11"/>
  <c r="Y11" i="16"/>
  <c r="Q26" i="12"/>
  <c r="Q29" i="13"/>
  <c r="J20" i="10"/>
  <c r="Q33" i="12"/>
  <c r="Q39" i="11"/>
  <c r="J25" i="7"/>
  <c r="Q24" i="12"/>
  <c r="J28" i="5"/>
  <c r="Q33" i="13"/>
  <c r="P41" i="11"/>
  <c r="J28" i="10"/>
  <c r="AA13" i="16"/>
  <c r="S19" i="5"/>
  <c r="Q22" i="11"/>
  <c r="P28" i="11"/>
  <c r="J21" i="5"/>
  <c r="Q40" i="5"/>
  <c r="P26" i="13"/>
  <c r="P37" i="11"/>
  <c r="P22" i="7"/>
  <c r="Q38" i="13"/>
  <c r="S22" i="7"/>
  <c r="Q20" i="12"/>
  <c r="S23" i="5"/>
  <c r="J22" i="10"/>
  <c r="J25" i="10"/>
  <c r="P38" i="7"/>
  <c r="S20" i="5"/>
  <c r="Z12" i="16"/>
  <c r="Q19" i="11"/>
  <c r="Q27" i="12"/>
  <c r="J19" i="7"/>
  <c r="J27" i="10"/>
  <c r="P40" i="11"/>
  <c r="S26" i="7"/>
  <c r="Q39" i="13"/>
  <c r="P19" i="11"/>
  <c r="Q28" i="12"/>
  <c r="S26" i="5"/>
  <c r="P29" i="13"/>
  <c r="Q25" i="11"/>
  <c r="Q19" i="13"/>
  <c r="S18" i="5"/>
  <c r="J26" i="10"/>
  <c r="AA14" i="16"/>
  <c r="Q32" i="11"/>
  <c r="Q19" i="12"/>
  <c r="Q37" i="12"/>
  <c r="J21" i="10"/>
  <c r="Q27" i="11"/>
  <c r="Y13" i="16"/>
  <c r="J27" i="7"/>
  <c r="P24" i="13"/>
  <c r="Y12" i="16"/>
  <c r="P29" i="12"/>
  <c r="P40" i="7"/>
  <c r="Q26" i="11"/>
  <c r="P23" i="11"/>
  <c r="P24" i="12"/>
  <c r="P38" i="11"/>
  <c r="P23" i="7"/>
  <c r="J22" i="7"/>
  <c r="S22" i="10"/>
  <c r="S28" i="7"/>
  <c r="P19" i="13"/>
  <c r="Q36" i="13"/>
  <c r="Q24" i="11"/>
  <c r="S24" i="7"/>
  <c r="R41" i="13" l="1"/>
  <c r="I41" i="13" s="1"/>
  <c r="R40" i="13"/>
  <c r="I40" i="13" s="1"/>
  <c r="R39" i="13"/>
  <c r="I39" i="13" s="1"/>
  <c r="R38" i="13"/>
  <c r="I38" i="13" s="1"/>
  <c r="R40" i="12"/>
  <c r="I40" i="12" s="1"/>
  <c r="R41" i="12"/>
  <c r="I41" i="12" s="1"/>
  <c r="R39" i="12"/>
  <c r="I39" i="12" s="1"/>
  <c r="R38" i="12"/>
  <c r="I38" i="12" s="1"/>
  <c r="R41" i="11"/>
  <c r="I41" i="11" s="1"/>
  <c r="R40" i="11"/>
  <c r="I40" i="11" s="1"/>
  <c r="R39" i="11"/>
  <c r="I39" i="11" s="1"/>
  <c r="R38" i="11"/>
  <c r="I38" i="11" s="1"/>
  <c r="H43" i="7"/>
  <c r="H44" i="7" s="1"/>
  <c r="H45" i="7" s="1"/>
  <c r="H46" i="7" s="1"/>
  <c r="H47" i="7" s="1"/>
  <c r="H48" i="7" s="1"/>
  <c r="H49" i="7" s="1"/>
  <c r="R37" i="1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50" i="10"/>
  <c r="S50" i="5"/>
  <c r="S50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Y5" i="16"/>
  <c r="P40" i="10"/>
  <c r="Z5" i="16"/>
  <c r="P33" i="7"/>
  <c r="P41" i="5"/>
  <c r="P37" i="10"/>
  <c r="P27" i="7"/>
  <c r="P26" i="7"/>
  <c r="P32" i="7"/>
  <c r="AA10" i="16"/>
  <c r="P33" i="10"/>
  <c r="Q19" i="5"/>
  <c r="P34" i="5"/>
  <c r="Q33" i="7"/>
  <c r="Q27" i="7"/>
  <c r="P38" i="5"/>
  <c r="P25" i="5"/>
  <c r="P36" i="5"/>
  <c r="P37" i="5"/>
  <c r="Q20" i="7"/>
  <c r="P26" i="10"/>
  <c r="P29" i="10"/>
  <c r="Q29" i="10"/>
  <c r="Q33" i="5"/>
  <c r="Q28" i="5"/>
  <c r="P21" i="10"/>
  <c r="Q41" i="7"/>
  <c r="P30" i="7"/>
  <c r="Q26" i="7"/>
  <c r="Q25" i="5"/>
  <c r="Q34" i="7"/>
  <c r="Q23" i="10"/>
  <c r="Q41" i="10"/>
  <c r="Q35" i="5"/>
  <c r="P19" i="7"/>
  <c r="P32" i="10"/>
  <c r="Q31" i="5"/>
  <c r="P24" i="5"/>
  <c r="Q23" i="7"/>
  <c r="P32" i="5"/>
  <c r="Q24" i="5"/>
  <c r="P31" i="7"/>
  <c r="P29" i="7"/>
  <c r="P26" i="5"/>
  <c r="P28" i="10"/>
  <c r="Q22" i="7"/>
  <c r="P25" i="10"/>
  <c r="Y8" i="16"/>
  <c r="P28" i="5"/>
  <c r="Q23" i="5"/>
  <c r="P30" i="10"/>
  <c r="AA5" i="16"/>
  <c r="Q29" i="5"/>
  <c r="P22" i="10"/>
  <c r="P35" i="10"/>
  <c r="Q34" i="10"/>
  <c r="Z8" i="16"/>
  <c r="P39" i="5"/>
  <c r="P35" i="5"/>
  <c r="Q27" i="5"/>
  <c r="Q32" i="10"/>
  <c r="Q40" i="7"/>
  <c r="P20" i="10"/>
  <c r="Q24" i="7"/>
  <c r="Q25" i="10"/>
  <c r="P34" i="7"/>
  <c r="AA6" i="16"/>
  <c r="Q19" i="7"/>
  <c r="P31" i="5"/>
  <c r="P27" i="10"/>
  <c r="Q30" i="7"/>
  <c r="P30" i="5"/>
  <c r="Q32" i="7"/>
  <c r="Z6" i="16"/>
  <c r="Q28" i="7"/>
  <c r="P22" i="5"/>
  <c r="Q21" i="10"/>
  <c r="P27" i="5"/>
  <c r="P34" i="10"/>
  <c r="P41" i="10"/>
  <c r="Z7" i="16"/>
  <c r="Q19" i="10"/>
  <c r="Q22" i="5"/>
  <c r="P36" i="10"/>
  <c r="Z10" i="16"/>
  <c r="P38" i="10"/>
  <c r="P21" i="7"/>
  <c r="Q31" i="10"/>
  <c r="Q32" i="5"/>
  <c r="P23" i="10"/>
  <c r="P36" i="7"/>
  <c r="Y9" i="16"/>
  <c r="Q21" i="5"/>
  <c r="Q26" i="5"/>
  <c r="Q38" i="10"/>
  <c r="Q39" i="10"/>
  <c r="P21" i="5"/>
  <c r="Q20" i="10"/>
  <c r="Q28" i="10"/>
  <c r="P20" i="7"/>
  <c r="P25" i="7"/>
  <c r="Q27" i="10"/>
  <c r="Q36" i="10"/>
  <c r="P35" i="7"/>
  <c r="Q35" i="7"/>
  <c r="P31" i="10"/>
  <c r="Q30" i="10"/>
  <c r="Q20" i="5"/>
  <c r="Q24" i="10"/>
  <c r="Y7" i="16"/>
  <c r="Q36" i="5"/>
  <c r="P23" i="5"/>
  <c r="P20" i="5"/>
  <c r="Q29" i="7"/>
  <c r="AA9" i="16"/>
  <c r="Q37" i="10"/>
  <c r="Q33" i="10"/>
  <c r="P33" i="5"/>
  <c r="AA8" i="16"/>
  <c r="AA7" i="16"/>
  <c r="P29" i="5"/>
  <c r="P24" i="7"/>
  <c r="Q39" i="7"/>
  <c r="Q36" i="7"/>
  <c r="Q31" i="7"/>
  <c r="P37" i="7"/>
  <c r="Y10" i="16"/>
  <c r="P19" i="5"/>
  <c r="Q37" i="5"/>
  <c r="Q35" i="10"/>
  <c r="Q21" i="7"/>
  <c r="P28" i="7"/>
  <c r="P39" i="10"/>
  <c r="P24" i="10"/>
  <c r="Z9" i="16"/>
  <c r="Q40" i="10"/>
  <c r="Q38" i="7"/>
  <c r="P40" i="5"/>
  <c r="Q25" i="7"/>
  <c r="Y6" i="16"/>
  <c r="Q22" i="10"/>
  <c r="Q26" i="10"/>
  <c r="Q37" i="7"/>
  <c r="Q30" i="5"/>
  <c r="Q34" i="5"/>
  <c r="P19" i="10"/>
  <c r="R41" i="10" l="1"/>
  <c r="I41" i="10" s="1"/>
  <c r="R40" i="10"/>
  <c r="I40" i="10" s="1"/>
  <c r="R39" i="10"/>
  <c r="I39" i="10" s="1"/>
  <c r="R38" i="10"/>
  <c r="I38" i="10" s="1"/>
  <c r="R41" i="5"/>
  <c r="I41" i="5" s="1"/>
  <c r="R40" i="5"/>
  <c r="I40" i="5" s="1"/>
  <c r="R39" i="5"/>
  <c r="I39" i="5" s="1"/>
  <c r="R38" i="5"/>
  <c r="I38" i="5" s="1"/>
  <c r="R41" i="7"/>
  <c r="I41" i="7" s="1"/>
  <c r="R40" i="7"/>
  <c r="I40" i="7" s="1"/>
  <c r="R39" i="7"/>
  <c r="I39" i="7" s="1"/>
  <c r="R38" i="7"/>
  <c r="I38" i="7" s="1"/>
  <c r="R37" i="7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X11" i="16"/>
  <c r="W11" i="16"/>
  <c r="X13" i="16"/>
  <c r="X18" i="16"/>
  <c r="X16" i="16"/>
  <c r="X17" i="16"/>
  <c r="X15" i="16"/>
  <c r="X12" i="16"/>
  <c r="X14" i="16"/>
  <c r="H29" i="12" l="1"/>
  <c r="I24" i="7"/>
  <c r="I23" i="7"/>
  <c r="I20" i="7"/>
  <c r="I28" i="7"/>
  <c r="I19" i="7"/>
  <c r="I25" i="7"/>
  <c r="I27" i="7"/>
  <c r="I22" i="7"/>
  <c r="I26" i="7"/>
  <c r="I21" i="7"/>
  <c r="X6" i="16"/>
  <c r="W12" i="16"/>
  <c r="X5" i="16"/>
  <c r="X10" i="16"/>
  <c r="X7" i="16"/>
  <c r="X8" i="16"/>
  <c r="W5" i="16"/>
  <c r="X9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6" i="16"/>
  <c r="W13" i="16"/>
  <c r="X6" i="4" l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W6" i="4"/>
  <c r="V6" i="4"/>
  <c r="V7" i="4" s="1"/>
  <c r="V8" i="4" s="1"/>
  <c r="V9" i="4" s="1"/>
  <c r="V10" i="4" s="1"/>
  <c r="V11" i="4" s="1"/>
  <c r="V12" i="4" s="1"/>
  <c r="V13" i="4" s="1"/>
  <c r="V14" i="4" s="1"/>
  <c r="V15" i="4" s="1"/>
  <c r="K6" i="4"/>
  <c r="J6" i="4"/>
  <c r="I6" i="4"/>
  <c r="H6" i="4"/>
  <c r="H31" i="12"/>
  <c r="AK7" i="16"/>
  <c r="C6" i="4"/>
  <c r="E6" i="4"/>
  <c r="F6" i="4"/>
  <c r="G6" i="4"/>
  <c r="B6" i="4"/>
  <c r="B28" i="4" s="1"/>
  <c r="P64" i="2"/>
  <c r="O8" i="2"/>
  <c r="O12" i="2"/>
  <c r="S64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W7" i="16"/>
  <c r="W14" i="16"/>
  <c r="W7" i="4" l="1"/>
  <c r="X7" i="4"/>
  <c r="V16" i="4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U16" i="4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AA5" i="4"/>
  <c r="AA6" i="4" s="1"/>
  <c r="AA7" i="4" s="1"/>
  <c r="AA8" i="4" s="1"/>
  <c r="AA9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8" i="16"/>
  <c r="N6" i="16"/>
  <c r="N10" i="16"/>
  <c r="N5" i="16"/>
  <c r="N9" i="16"/>
  <c r="N7" i="16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W15" i="16"/>
  <c r="W18" i="16"/>
  <c r="W16" i="16"/>
  <c r="W17" i="16"/>
  <c r="W8" i="16"/>
  <c r="W8" i="4" l="1"/>
  <c r="X8" i="4"/>
  <c r="R16" i="4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AB16" i="4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O16" i="4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S16" i="4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G12" i="15"/>
  <c r="G13" i="15"/>
  <c r="AA10" i="4"/>
  <c r="G11" i="15"/>
  <c r="G10" i="15"/>
  <c r="E10" i="16"/>
  <c r="F10" i="16" s="1"/>
  <c r="E7" i="16"/>
  <c r="F7" i="16" s="1"/>
  <c r="E6" i="16"/>
  <c r="F6" i="16" s="1"/>
  <c r="W9" i="16"/>
  <c r="W9" i="4" l="1"/>
  <c r="X9" i="4"/>
  <c r="E11" i="16"/>
  <c r="F11" i="16" s="1"/>
  <c r="E8" i="16"/>
  <c r="F8" i="16" s="1"/>
  <c r="AA11" i="4"/>
  <c r="E5" i="16"/>
  <c r="F5" i="16" s="1"/>
  <c r="AC6" i="4"/>
  <c r="AC5" i="4"/>
  <c r="W10" i="16"/>
  <c r="W10" i="4" l="1"/>
  <c r="X10" i="4"/>
  <c r="AA12" i="4"/>
  <c r="W11" i="4" l="1"/>
  <c r="X11" i="4"/>
  <c r="E14" i="16"/>
  <c r="F14" i="16" s="1"/>
  <c r="AA13" i="4"/>
  <c r="W12" i="4" l="1"/>
  <c r="X12" i="4"/>
  <c r="AA14" i="4"/>
  <c r="AC10" i="4"/>
  <c r="AC9" i="4"/>
  <c r="W13" i="4" l="1"/>
  <c r="X13" i="4"/>
  <c r="E12" i="16"/>
  <c r="F12" i="16" s="1"/>
  <c r="E9" i="16"/>
  <c r="F9" i="16" s="1"/>
  <c r="AA15" i="4"/>
  <c r="AC8" i="4"/>
  <c r="W14" i="4" l="1"/>
  <c r="X14" i="4"/>
  <c r="AA16" i="4"/>
  <c r="AJ5" i="16" s="1"/>
  <c r="AC7" i="4"/>
  <c r="W15" i="4" l="1"/>
  <c r="X15" i="4"/>
  <c r="AA17" i="4"/>
  <c r="AJ6" i="16" s="1"/>
  <c r="AJ12" i="16"/>
  <c r="X16" i="4" l="1"/>
  <c r="W16" i="4"/>
  <c r="AA18" i="4"/>
  <c r="AJ7" i="16" s="1"/>
  <c r="AJ13" i="16"/>
  <c r="AC12" i="4"/>
  <c r="AC14" i="4"/>
  <c r="AC11" i="4"/>
  <c r="W17" i="4" l="1"/>
  <c r="X17" i="4"/>
  <c r="AA19" i="4"/>
  <c r="AJ8" i="16" s="1"/>
  <c r="AJ14" i="16"/>
  <c r="AC13" i="4"/>
  <c r="W18" i="4" l="1"/>
  <c r="X18" i="4"/>
  <c r="AA20" i="4"/>
  <c r="AJ9" i="16" s="1"/>
  <c r="AJ15" i="16"/>
  <c r="AC15" i="4"/>
  <c r="W19" i="4" l="1"/>
  <c r="X19" i="4"/>
  <c r="AA21" i="4"/>
  <c r="AJ10" i="16" s="1"/>
  <c r="AJ16" i="16"/>
  <c r="W20" i="4" l="1"/>
  <c r="X20" i="4"/>
  <c r="AA22" i="4"/>
  <c r="AA23" i="4" s="1"/>
  <c r="AJ17" i="16"/>
  <c r="AC16" i="4"/>
  <c r="AA24" i="4" l="1"/>
  <c r="AJ20" i="16" s="1"/>
  <c r="AJ19" i="16"/>
  <c r="W21" i="4"/>
  <c r="X21" i="4"/>
  <c r="AA25" i="4"/>
  <c r="AJ11" i="16"/>
  <c r="AI5" i="16"/>
  <c r="AI12" i="16"/>
  <c r="AJ18" i="16"/>
  <c r="AC17" i="4"/>
  <c r="AI13" i="16" s="1"/>
  <c r="W22" i="4" l="1"/>
  <c r="X22" i="4"/>
  <c r="AA26" i="4"/>
  <c r="AJ21" i="16"/>
  <c r="AI6" i="16"/>
  <c r="AC18" i="4"/>
  <c r="AI14" i="16" s="1"/>
  <c r="AJ22" i="16" l="1"/>
  <c r="AA27" i="4"/>
  <c r="W23" i="4"/>
  <c r="X23" i="4"/>
  <c r="AI7" i="16"/>
  <c r="AC19" i="4"/>
  <c r="AI8" i="16" s="1"/>
  <c r="W24" i="4" l="1"/>
  <c r="X24" i="4"/>
  <c r="AI15" i="16"/>
  <c r="AC20" i="4"/>
  <c r="AI16" i="16" s="1"/>
  <c r="W25" i="4" l="1"/>
  <c r="X25" i="4"/>
  <c r="F6" i="15"/>
  <c r="AI9" i="16"/>
  <c r="AC21" i="4"/>
  <c r="W26" i="4" l="1"/>
  <c r="X26" i="4"/>
  <c r="G6" i="15"/>
  <c r="AI17" i="16"/>
  <c r="AI10" i="16"/>
  <c r="AC22" i="4"/>
  <c r="X27" i="4" l="1"/>
  <c r="E15" i="16" s="1"/>
  <c r="F15" i="16" s="1"/>
  <c r="W27" i="4"/>
  <c r="E13" i="16" s="1"/>
  <c r="F13" i="16" s="1"/>
  <c r="AI18" i="16"/>
  <c r="AI11" i="16"/>
  <c r="AC23" i="4"/>
  <c r="AI19" i="16" s="1"/>
  <c r="Z25" i="4"/>
  <c r="Z24" i="4"/>
  <c r="Z26" i="4"/>
  <c r="F17" i="16" l="1"/>
  <c r="D10" i="15" s="1"/>
  <c r="C10" i="15"/>
  <c r="C12" i="15"/>
  <c r="C11" i="15"/>
  <c r="D12" i="15"/>
  <c r="D11" i="15"/>
  <c r="AC26" i="4"/>
  <c r="AI22" i="16" s="1"/>
  <c r="AC24" i="4"/>
  <c r="AI20" i="16" s="1"/>
  <c r="AC25" i="4"/>
  <c r="AI21" i="16" s="1"/>
  <c r="Z27" i="4"/>
  <c r="AC27" i="4"/>
  <c r="AI23" i="16" s="1"/>
  <c r="F5" i="15" l="1"/>
  <c r="G5" i="15"/>
</calcChain>
</file>

<file path=xl/sharedStrings.xml><?xml version="1.0" encoding="utf-8"?>
<sst xmlns="http://schemas.openxmlformats.org/spreadsheetml/2006/main" count="807" uniqueCount="324">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</sst>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0" fontId="0" fillId="6" borderId="0" xfId="0" applyFill="1"/>
    <xf numFmtId="44" fontId="38" fillId="0" borderId="0" xfId="1" applyNumberFormat="1" applyFont="1"/>
    <xf numFmtId="0" fontId="0" fillId="7" borderId="0" xfId="0" applyFill="1"/>
  </cellXfs>
  <cellStyles count="2">
    <cellStyle name="Currency" xfId="1" builtinId="4"/>
    <cellStyle name="Normal" xfId="0" builtinId="0"/>
  </cellStyles>
  <dxfs count="295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4466.1000000000004</c:v>
                </c:pt>
                <c:pt idx="1">
                  <c:v>3095.6</c:v>
                </c:pt>
                <c:pt idx="2">
                  <c:v>2457.6999999999998</c:v>
                </c:pt>
                <c:pt idx="3">
                  <c:v>3061.1</c:v>
                </c:pt>
                <c:pt idx="4">
                  <c:v>2048.9</c:v>
                </c:pt>
                <c:pt idx="5">
                  <c:v>4778.8</c:v>
                </c:pt>
                <c:pt idx="6">
                  <c:v>2696.9</c:v>
                </c:pt>
                <c:pt idx="7">
                  <c:v>2943.6</c:v>
                </c:pt>
                <c:pt idx="8">
                  <c:v>2328.6999999999998</c:v>
                </c:pt>
                <c:pt idx="9">
                  <c:v>2992.5</c:v>
                </c:pt>
                <c:pt idx="10">
                  <c:v>3423.7</c:v>
                </c:pt>
                <c:pt idx="11">
                  <c:v>2256.1999999999998</c:v>
                </c:pt>
                <c:pt idx="12">
                  <c:v>2238.5</c:v>
                </c:pt>
                <c:pt idx="13">
                  <c:v>2411.9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2144"/>
        <c:axId val="271781752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266.55</c:v>
                </c:pt>
                <c:pt idx="1">
                  <c:v>265.7</c:v>
                </c:pt>
                <c:pt idx="2">
                  <c:v>268.55</c:v>
                </c:pt>
                <c:pt idx="3">
                  <c:v>272.33</c:v>
                </c:pt>
                <c:pt idx="4">
                  <c:v>272.11</c:v>
                </c:pt>
                <c:pt idx="5">
                  <c:v>277.70999999999998</c:v>
                </c:pt>
                <c:pt idx="6">
                  <c:v>277.62</c:v>
                </c:pt>
                <c:pt idx="7">
                  <c:v>279.31</c:v>
                </c:pt>
                <c:pt idx="8">
                  <c:v>282.10000000000002</c:v>
                </c:pt>
                <c:pt idx="9">
                  <c:v>276.47000000000003</c:v>
                </c:pt>
                <c:pt idx="10">
                  <c:v>282.79000000000002</c:v>
                </c:pt>
                <c:pt idx="11">
                  <c:v>284.52</c:v>
                </c:pt>
                <c:pt idx="12">
                  <c:v>285.92</c:v>
                </c:pt>
                <c:pt idx="13">
                  <c:v>286.91000000000003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81360"/>
        <c:axId val="271783712"/>
      </c:lineChart>
      <c:catAx>
        <c:axId val="2717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3712"/>
        <c:crosses val="autoZero"/>
        <c:auto val="1"/>
        <c:lblAlgn val="ctr"/>
        <c:lblOffset val="100"/>
        <c:noMultiLvlLbl val="0"/>
      </c:catAx>
      <c:valAx>
        <c:axId val="2717837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1360"/>
        <c:crosses val="autoZero"/>
        <c:crossBetween val="between"/>
      </c:valAx>
      <c:valAx>
        <c:axId val="271781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2144"/>
        <c:crosses val="max"/>
        <c:crossBetween val="between"/>
      </c:valAx>
      <c:catAx>
        <c:axId val="27178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1781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266.55</c:v>
                </c:pt>
                <c:pt idx="1">
                  <c:v>265.7</c:v>
                </c:pt>
                <c:pt idx="2">
                  <c:v>268.55</c:v>
                </c:pt>
                <c:pt idx="3">
                  <c:v>272.33</c:v>
                </c:pt>
                <c:pt idx="4">
                  <c:v>272.11</c:v>
                </c:pt>
                <c:pt idx="5">
                  <c:v>277.70999999999998</c:v>
                </c:pt>
                <c:pt idx="6">
                  <c:v>277.62</c:v>
                </c:pt>
                <c:pt idx="7">
                  <c:v>279.31</c:v>
                </c:pt>
                <c:pt idx="8">
                  <c:v>282.10000000000002</c:v>
                </c:pt>
                <c:pt idx="9">
                  <c:v>276.47000000000003</c:v>
                </c:pt>
                <c:pt idx="10">
                  <c:v>282.79000000000002</c:v>
                </c:pt>
                <c:pt idx="11">
                  <c:v>284.52</c:v>
                </c:pt>
                <c:pt idx="12">
                  <c:v>285.92</c:v>
                </c:pt>
                <c:pt idx="13">
                  <c:v>286.91000000000003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276.75905537208826</c:v>
                </c:pt>
                <c:pt idx="1">
                  <c:v>275.6531498348794</c:v>
                </c:pt>
                <c:pt idx="2">
                  <c:v>274.94283485139147</c:v>
                </c:pt>
                <c:pt idx="3">
                  <c:v>274.68155136625234</c:v>
                </c:pt>
                <c:pt idx="4">
                  <c:v>274.42439622962712</c:v>
                </c:pt>
                <c:pt idx="5">
                  <c:v>274.75295660666444</c:v>
                </c:pt>
                <c:pt idx="6">
                  <c:v>275.03966094599798</c:v>
                </c:pt>
                <c:pt idx="7">
                  <c:v>275.46669485139819</c:v>
                </c:pt>
                <c:pt idx="8">
                  <c:v>276.13002536625839</c:v>
                </c:pt>
                <c:pt idx="9">
                  <c:v>276.16402282963259</c:v>
                </c:pt>
                <c:pt idx="10">
                  <c:v>276.82662054666935</c:v>
                </c:pt>
                <c:pt idx="11">
                  <c:v>277.59595849200241</c:v>
                </c:pt>
                <c:pt idx="12">
                  <c:v>278.4283626428022</c:v>
                </c:pt>
                <c:pt idx="13">
                  <c:v>279.27652637852196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84496"/>
        <c:axId val="271784888"/>
      </c:lineChart>
      <c:catAx>
        <c:axId val="2717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4888"/>
        <c:crosses val="autoZero"/>
        <c:auto val="1"/>
        <c:lblAlgn val="ctr"/>
        <c:lblOffset val="100"/>
        <c:noMultiLvlLbl val="0"/>
      </c:catAx>
      <c:valAx>
        <c:axId val="2717848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33.839391979584875</c:v>
                </c:pt>
                <c:pt idx="1">
                  <c:v>41.441428938990988</c:v>
                </c:pt>
                <c:pt idx="2">
                  <c:v>48.891103831628051</c:v>
                </c:pt>
                <c:pt idx="3">
                  <c:v>52.872910736706892</c:v>
                </c:pt>
                <c:pt idx="4">
                  <c:v>44.626102674301507</c:v>
                </c:pt>
                <c:pt idx="5">
                  <c:v>55.315077487225615</c:v>
                </c:pt>
                <c:pt idx="6">
                  <c:v>51.479712531228785</c:v>
                </c:pt>
                <c:pt idx="7">
                  <c:v>48.364264338019701</c:v>
                </c:pt>
                <c:pt idx="8">
                  <c:v>45.517789586070705</c:v>
                </c:pt>
                <c:pt idx="9">
                  <c:v>43.629624243256295</c:v>
                </c:pt>
                <c:pt idx="10">
                  <c:v>53.134008376657292</c:v>
                </c:pt>
                <c:pt idx="11">
                  <c:v>61.07812871052009</c:v>
                </c:pt>
                <c:pt idx="12">
                  <c:v>66.683058765674986</c:v>
                </c:pt>
                <c:pt idx="13">
                  <c:v>66.707616707616765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86456"/>
        <c:axId val="271786064"/>
      </c:lineChart>
      <c:catAx>
        <c:axId val="271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6064"/>
        <c:crosses val="autoZero"/>
        <c:auto val="1"/>
        <c:lblAlgn val="ctr"/>
        <c:lblOffset val="100"/>
        <c:noMultiLvlLbl val="0"/>
      </c:catAx>
      <c:valAx>
        <c:axId val="2717860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275.34571457142863</c:v>
                </c:pt>
                <c:pt idx="1">
                  <c:v>274.70785707142858</c:v>
                </c:pt>
                <c:pt idx="2">
                  <c:v>274.62857107142861</c:v>
                </c:pt>
                <c:pt idx="3">
                  <c:v>274.84785607142857</c:v>
                </c:pt>
                <c:pt idx="4">
                  <c:v>274.49571257142856</c:v>
                </c:pt>
                <c:pt idx="5">
                  <c:v>274.85356885714288</c:v>
                </c:pt>
                <c:pt idx="6">
                  <c:v>274.94571264285713</c:v>
                </c:pt>
                <c:pt idx="7">
                  <c:v>274.84999878571432</c:v>
                </c:pt>
                <c:pt idx="8">
                  <c:v>274.60142828571429</c:v>
                </c:pt>
                <c:pt idx="9">
                  <c:v>274.23285649999997</c:v>
                </c:pt>
                <c:pt idx="10">
                  <c:v>274.43499999999995</c:v>
                </c:pt>
                <c:pt idx="11">
                  <c:v>275.10142857142853</c:v>
                </c:pt>
                <c:pt idx="12">
                  <c:v>276.07071428571425</c:v>
                </c:pt>
                <c:pt idx="13">
                  <c:v>277.04214285714284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285.94152448278618</c:v>
                </c:pt>
                <c:pt idx="1">
                  <c:v>286.49719852482912</c:v>
                </c:pt>
                <c:pt idx="2">
                  <c:v>286.57799312369139</c:v>
                </c:pt>
                <c:pt idx="3">
                  <c:v>286.48138866846745</c:v>
                </c:pt>
                <c:pt idx="4">
                  <c:v>286.14185769809552</c:v>
                </c:pt>
                <c:pt idx="5">
                  <c:v>286.5697051387005</c:v>
                </c:pt>
                <c:pt idx="6">
                  <c:v>286.73194939465009</c:v>
                </c:pt>
                <c:pt idx="7">
                  <c:v>286.45709074034079</c:v>
                </c:pt>
                <c:pt idx="8">
                  <c:v>285.33483759798071</c:v>
                </c:pt>
                <c:pt idx="9">
                  <c:v>284.25757337880719</c:v>
                </c:pt>
                <c:pt idx="10">
                  <c:v>285.05372294219393</c:v>
                </c:pt>
                <c:pt idx="11">
                  <c:v>287.0162618790016</c:v>
                </c:pt>
                <c:pt idx="12">
                  <c:v>289.17031490037942</c:v>
                </c:pt>
                <c:pt idx="13">
                  <c:v>291.23158243749259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09/23</c:v>
                </c:pt>
                <c:pt idx="1">
                  <c:v>09/24</c:v>
                </c:pt>
                <c:pt idx="2">
                  <c:v>09/25</c:v>
                </c:pt>
                <c:pt idx="3">
                  <c:v>09/28</c:v>
                </c:pt>
                <c:pt idx="4">
                  <c:v>09/29</c:v>
                </c:pt>
                <c:pt idx="5">
                  <c:v>09/30</c:v>
                </c:pt>
                <c:pt idx="6">
                  <c:v>10/01</c:v>
                </c:pt>
                <c:pt idx="7">
                  <c:v>10/02</c:v>
                </c:pt>
                <c:pt idx="8">
                  <c:v>10/05</c:v>
                </c:pt>
                <c:pt idx="9">
                  <c:v>10/06</c:v>
                </c:pt>
                <c:pt idx="10">
                  <c:v>10/07</c:v>
                </c:pt>
                <c:pt idx="11">
                  <c:v>10/08</c:v>
                </c:pt>
                <c:pt idx="12">
                  <c:v>10/09</c:v>
                </c:pt>
                <c:pt idx="13">
                  <c:v>10/12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264.74990466007108</c:v>
                </c:pt>
                <c:pt idx="1">
                  <c:v>262.91851561802804</c:v>
                </c:pt>
                <c:pt idx="2">
                  <c:v>262.67914901916583</c:v>
                </c:pt>
                <c:pt idx="3">
                  <c:v>263.21432347438969</c:v>
                </c:pt>
                <c:pt idx="4">
                  <c:v>262.84956744476159</c:v>
                </c:pt>
                <c:pt idx="5">
                  <c:v>263.13743257558525</c:v>
                </c:pt>
                <c:pt idx="6">
                  <c:v>263.15947589106418</c:v>
                </c:pt>
                <c:pt idx="7">
                  <c:v>263.24290683108785</c:v>
                </c:pt>
                <c:pt idx="8">
                  <c:v>263.86801897344787</c:v>
                </c:pt>
                <c:pt idx="9">
                  <c:v>264.20813962119274</c:v>
                </c:pt>
                <c:pt idx="10">
                  <c:v>263.81627705780596</c:v>
                </c:pt>
                <c:pt idx="11">
                  <c:v>263.18659526385545</c:v>
                </c:pt>
                <c:pt idx="12">
                  <c:v>262.97111367104907</c:v>
                </c:pt>
                <c:pt idx="13">
                  <c:v>262.85270327679308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70552"/>
        <c:axId val="365475256"/>
      </c:lineChart>
      <c:catAx>
        <c:axId val="3654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5256"/>
        <c:crosses val="autoZero"/>
        <c:auto val="1"/>
        <c:lblAlgn val="ctr"/>
        <c:lblOffset val="100"/>
        <c:noMultiLvlLbl val="0"/>
      </c:catAx>
      <c:valAx>
        <c:axId val="3654752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09/25</c:v>
                </c:pt>
                <c:pt idx="1">
                  <c:v>09/28</c:v>
                </c:pt>
                <c:pt idx="2">
                  <c:v>09/29</c:v>
                </c:pt>
                <c:pt idx="3">
                  <c:v>09/30</c:v>
                </c:pt>
                <c:pt idx="4">
                  <c:v>10/01</c:v>
                </c:pt>
                <c:pt idx="5">
                  <c:v>10/02</c:v>
                </c:pt>
                <c:pt idx="6">
                  <c:v>10/05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43897.299999999996</c:v>
                </c:pt>
                <c:pt idx="1">
                  <c:v>49591.099999999991</c:v>
                </c:pt>
                <c:pt idx="2">
                  <c:v>49591.099999999991</c:v>
                </c:pt>
                <c:pt idx="3">
                  <c:v>49591.099999999991</c:v>
                </c:pt>
                <c:pt idx="4">
                  <c:v>49591.099999999991</c:v>
                </c:pt>
                <c:pt idx="5">
                  <c:v>49591.099999999991</c:v>
                </c:pt>
                <c:pt idx="6">
                  <c:v>49591.099999999991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76432"/>
        <c:axId val="36547682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09/25</c:v>
                </c:pt>
                <c:pt idx="1">
                  <c:v>09/28</c:v>
                </c:pt>
                <c:pt idx="2">
                  <c:v>09/29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34319.399999999994</c:v>
                </c:pt>
                <c:pt idx="1">
                  <c:v>34382.19999999999</c:v>
                </c:pt>
                <c:pt idx="2">
                  <c:v>34382.19999999999</c:v>
                </c:pt>
                <c:pt idx="3">
                  <c:v>34382.19999999999</c:v>
                </c:pt>
                <c:pt idx="4">
                  <c:v>34382.19999999999</c:v>
                </c:pt>
                <c:pt idx="5">
                  <c:v>34382.19999999999</c:v>
                </c:pt>
                <c:pt idx="6">
                  <c:v>34382.19999999999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76432"/>
        <c:axId val="365476824"/>
      </c:lineChart>
      <c:catAx>
        <c:axId val="3654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6824"/>
        <c:crosses val="autoZero"/>
        <c:auto val="1"/>
        <c:lblAlgn val="ctr"/>
        <c:lblOffset val="100"/>
        <c:noMultiLvlLbl val="0"/>
      </c:catAx>
      <c:valAx>
        <c:axId val="3654768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7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croll" dx="22" fmlaLink="$V$3" horiz="1" max="12" page="0" val="1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29</xdr:row>
          <xdr:rowOff>184150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1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1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64" totalsRowCount="1">
  <autoFilter ref="A4:S63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294"/>
    <tableColumn id="7" xr3:uid="{00000000-0010-0000-0000-000007000000}" name="Execution_Price" dataDxfId="293"/>
    <tableColumn id="8" xr3:uid="{00000000-0010-0000-0000-000008000000}" name="Month_order" dataDxfId="292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291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290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289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288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287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286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285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284" totalsRowDxfId="283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282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281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280" totalsRowDxfId="279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50" totalsRowCount="1">
  <autoFilter ref="A4:S49" xr:uid="{00000000-0009-0000-0100-00000C000000}"/>
  <tableColumns count="19">
    <tableColumn id="1" xr3:uid="{00000000-0010-0000-0900-000001000000}" name="Date" totalsRowLabel="Total" dataDxfId="205"/>
    <tableColumn id="2" xr3:uid="{00000000-0010-0000-0900-000002000000}" name="Open" dataDxfId="204"/>
    <tableColumn id="3" xr3:uid="{00000000-0010-0000-0900-000003000000}" name="High" dataDxfId="203"/>
    <tableColumn id="4" xr3:uid="{00000000-0010-0000-0900-000004000000}" name="Low" dataDxfId="202"/>
    <tableColumn id="5" xr3:uid="{00000000-0010-0000-0900-000005000000}" name="Close" dataDxfId="201"/>
    <tableColumn id="6" xr3:uid="{00000000-0010-0000-0900-000006000000}" name="Adj Close" dataDxfId="200"/>
    <tableColumn id="7" xr3:uid="{00000000-0010-0000-0900-000007000000}" name="Volume"/>
    <tableColumn id="8" xr3:uid="{00000000-0010-0000-0900-000008000000}" name="EMA" dataDxfId="199">
      <calculatedColumnFormula>IF(tbl_IBM[[#This Row],[Date]]=$A$5, $F5, EMA_Beta*$H4 + (1-EMA_Beta)*$F5)</calculatedColumnFormula>
    </tableColumn>
    <tableColumn id="9" xr3:uid="{00000000-0010-0000-0900-000009000000}" name="RSI" dataDxfId="198">
      <calculatedColumnFormula>IF(tbl_IBM[[#This Row],[RS]]= "", "", 100-(100/(1+tbl_IBM[[#This Row],[RS]])))</calculatedColumnFormula>
    </tableColumn>
    <tableColumn id="10" xr3:uid="{00000000-0010-0000-0900-00000A000000}" name="BB_Mean" dataDxfId="197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196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195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194">
      <calculatedColumnFormula>IF(ROW(tbl_IBM[[#This Row],[Adj Close]])=5, 0, $F5-$F4)</calculatedColumnFormula>
    </tableColumn>
    <tableColumn id="14" xr3:uid="{00000000-0010-0000-0900-00000E000000}" name="Upmove" dataDxfId="193">
      <calculatedColumnFormula>MAX(tbl_IBM[[#This Row],[Move]],0)</calculatedColumnFormula>
    </tableColumn>
    <tableColumn id="15" xr3:uid="{00000000-0010-0000-0900-00000F000000}" name="Downmove" dataDxfId="192">
      <calculatedColumnFormula>MAX(-tbl_IBM[[#This Row],[Move]],0)</calculatedColumnFormula>
    </tableColumn>
    <tableColumn id="16" xr3:uid="{00000000-0010-0000-0900-000010000000}" name="Avg_Upmove" dataDxfId="19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19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189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188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50" totalsRowCount="1">
  <autoFilter ref="A4:S49" xr:uid="{00000000-0009-0000-0100-00000D000000}"/>
  <tableColumns count="19">
    <tableColumn id="1" xr3:uid="{00000000-0010-0000-0A00-000001000000}" name="Date" totalsRowLabel="Total" dataDxfId="187"/>
    <tableColumn id="2" xr3:uid="{00000000-0010-0000-0A00-000002000000}" name="Open" totalsRowDxfId="75" dataCellStyle="Currency"/>
    <tableColumn id="3" xr3:uid="{00000000-0010-0000-0A00-000003000000}" name="High" totalsRowDxfId="74" dataCellStyle="Currency"/>
    <tableColumn id="4" xr3:uid="{00000000-0010-0000-0A00-000004000000}" name="Low" totalsRowDxfId="73" dataCellStyle="Currency"/>
    <tableColumn id="5" xr3:uid="{00000000-0010-0000-0A00-000005000000}" name="Close" totalsRowDxfId="72" dataCellStyle="Currency"/>
    <tableColumn id="6" xr3:uid="{00000000-0010-0000-0A00-000006000000}" name="Adj Close" totalsRowDxfId="71" dataCellStyle="Currency"/>
    <tableColumn id="7" xr3:uid="{00000000-0010-0000-0A00-000007000000}" name="Volume"/>
    <tableColumn id="8" xr3:uid="{00000000-0010-0000-0A00-000008000000}" name="EMA" dataDxfId="186" totalsRowDxfId="70" dataCellStyle="Currency">
      <calculatedColumnFormula>IF(tbl_ORCL[[#This Row],[Date]]=$A$5, $F5, EMA_Beta*$H4 + (1-EMA_Beta)*$F5)</calculatedColumnFormula>
    </tableColumn>
    <tableColumn id="9" xr3:uid="{00000000-0010-0000-0A00-000009000000}" name="RSI" dataDxfId="185" totalsRowDxfId="69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184" totalsRowDxfId="6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183" totalsRowDxfId="67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182" totalsRowDxfId="66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181" totalsRowDxfId="65" dataCellStyle="Currency">
      <calculatedColumnFormula>IF(ROW(tbl_ORCL[[#This Row],[Adj Close]])=5, 0, $F5-$F4)</calculatedColumnFormula>
    </tableColumn>
    <tableColumn id="14" xr3:uid="{00000000-0010-0000-0A00-00000E000000}" name="Upmove" dataDxfId="180" totalsRowDxfId="64" dataCellStyle="Currency">
      <calculatedColumnFormula>MAX(tbl_ORCL[[#This Row],[Move]],0)</calculatedColumnFormula>
    </tableColumn>
    <tableColumn id="15" xr3:uid="{00000000-0010-0000-0A00-00000F000000}" name="Downmove" dataDxfId="179" totalsRowDxfId="63" dataCellStyle="Currency">
      <calculatedColumnFormula>MAX(-tbl_ORCL[[#This Row],[Move]],0)</calculatedColumnFormula>
    </tableColumn>
    <tableColumn id="16" xr3:uid="{00000000-0010-0000-0A00-000010000000}" name="Avg_Upmove" dataDxfId="178" totalsRowDxfId="62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177" totalsRowDxfId="61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176" totalsRowDxfId="60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175" totalsRowDxfId="5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50" totalsRowCount="1">
  <autoFilter ref="A4:S49" xr:uid="{00000000-0009-0000-0100-00000E000000}"/>
  <tableColumns count="19">
    <tableColumn id="1" xr3:uid="{00000000-0010-0000-0B00-000001000000}" name="Date" totalsRowLabel="Total" dataDxfId="174"/>
    <tableColumn id="2" xr3:uid="{00000000-0010-0000-0B00-000002000000}" name="Open" totalsRowDxfId="58" dataCellStyle="Currency"/>
    <tableColumn id="3" xr3:uid="{00000000-0010-0000-0B00-000003000000}" name="High" totalsRowDxfId="57" dataCellStyle="Currency"/>
    <tableColumn id="4" xr3:uid="{00000000-0010-0000-0B00-000004000000}" name="Low" totalsRowDxfId="56" dataCellStyle="Currency"/>
    <tableColumn id="5" xr3:uid="{00000000-0010-0000-0B00-000005000000}" name="Close" totalsRowDxfId="55" dataCellStyle="Currency"/>
    <tableColumn id="6" xr3:uid="{00000000-0010-0000-0B00-000006000000}" name="Adj Close" totalsRowDxfId="54" dataCellStyle="Currency"/>
    <tableColumn id="7" xr3:uid="{00000000-0010-0000-0B00-000007000000}" name="Volume"/>
    <tableColumn id="8" xr3:uid="{00000000-0010-0000-0B00-000008000000}" name="EMA" totalsRowDxfId="53" dataCellStyle="Currency">
      <calculatedColumnFormula>IF(tbl_AKRO[[#This Row],[Date]]=$A$5, $F5, EMA_Beta*$H4 + (1-EMA_Beta)*$F5)</calculatedColumnFormula>
    </tableColumn>
    <tableColumn id="9" xr3:uid="{00000000-0010-0000-0B00-000009000000}" name="RSI" dataDxfId="173">
      <calculatedColumnFormula>IF(tbl_AKRO[[#This Row],[RS]]= "", "", 100-(100/(1+tbl_AKRO[[#This Row],[RS]])))</calculatedColumnFormula>
    </tableColumn>
    <tableColumn id="10" xr3:uid="{00000000-0010-0000-0B00-00000A000000}" name="BB_Mean" totalsRowDxfId="5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172" totalsRowDxfId="51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171" totalsRowDxfId="50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170">
      <calculatedColumnFormula>IF(ROW(tbl_AKRO[[#This Row],[Adj Close]])=5, 0, $F5-$F4)</calculatedColumnFormula>
    </tableColumn>
    <tableColumn id="14" xr3:uid="{00000000-0010-0000-0B00-00000E000000}" name="Upmove" dataDxfId="169">
      <calculatedColumnFormula>MAX(tbl_AKRO[[#This Row],[Move]],0)</calculatedColumnFormula>
    </tableColumn>
    <tableColumn id="15" xr3:uid="{00000000-0010-0000-0B00-00000F000000}" name="Downmove" dataDxfId="168">
      <calculatedColumnFormula>MAX(-tbl_AKRO[[#This Row],[Move]],0)</calculatedColumnFormula>
    </tableColumn>
    <tableColumn id="16" xr3:uid="{00000000-0010-0000-0B00-000010000000}" name="Avg_Upmove" dataDxfId="16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16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165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4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50" totalsRowCount="1">
  <autoFilter ref="A4:S49" xr:uid="{00000000-0009-0000-0100-000010000000}"/>
  <tableColumns count="19">
    <tableColumn id="1" xr3:uid="{00000000-0010-0000-0C00-000001000000}" name="Date" totalsRowLabel="Total" dataDxfId="164"/>
    <tableColumn id="2" xr3:uid="{00000000-0010-0000-0C00-000002000000}" name="Open" totalsRowDxfId="48" dataCellStyle="Currency"/>
    <tableColumn id="3" xr3:uid="{00000000-0010-0000-0C00-000003000000}" name="High" totalsRowDxfId="47" dataCellStyle="Currency"/>
    <tableColumn id="4" xr3:uid="{00000000-0010-0000-0C00-000004000000}" name="Low" totalsRowDxfId="46" dataCellStyle="Currency"/>
    <tableColumn id="5" xr3:uid="{00000000-0010-0000-0C00-000005000000}" name="Close" totalsRowDxfId="45" dataCellStyle="Currency"/>
    <tableColumn id="6" xr3:uid="{00000000-0010-0000-0C00-000006000000}" name="Adj Close" totalsRowDxfId="44" dataCellStyle="Currency"/>
    <tableColumn id="7" xr3:uid="{00000000-0010-0000-0C00-000007000000}" name="Volume"/>
    <tableColumn id="8" xr3:uid="{00000000-0010-0000-0C00-000008000000}" name="EMA" totalsRowDxfId="43" dataCellStyle="Currency">
      <calculatedColumnFormula>IF(tbl_FDX[[#This Row],[Date]]=$A$5, $F5, EMA_Beta*$H4 + (1-EMA_Beta)*$F5)</calculatedColumnFormula>
    </tableColumn>
    <tableColumn id="9" xr3:uid="{00000000-0010-0000-0C00-000009000000}" name="RSI" dataDxfId="163">
      <calculatedColumnFormula>IF(tbl_FDX[[#This Row],[RS]]= "", "", 100-(100/(1+tbl_FDX[[#This Row],[RS]])))</calculatedColumnFormula>
    </tableColumn>
    <tableColumn id="10" xr3:uid="{00000000-0010-0000-0C00-00000A000000}" name="BB_Mean" totalsRowDxfId="4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41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162" totalsRowDxfId="40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161">
      <calculatedColumnFormula>IF(ROW(tbl_FDX[[#This Row],[Adj Close]])=5, 0, $F5-$F4)</calculatedColumnFormula>
    </tableColumn>
    <tableColumn id="14" xr3:uid="{00000000-0010-0000-0C00-00000E000000}" name="Upmove" dataDxfId="160">
      <calculatedColumnFormula>MAX(tbl_FDX[[#This Row],[Move]],0)</calculatedColumnFormula>
    </tableColumn>
    <tableColumn id="15" xr3:uid="{00000000-0010-0000-0C00-00000F000000}" name="Downmove" dataDxfId="159">
      <calculatedColumnFormula>MAX(-tbl_FDX[[#This Row],[Move]],0)</calculatedColumnFormula>
    </tableColumn>
    <tableColumn id="16" xr3:uid="{00000000-0010-0000-0C00-000010000000}" name="Avg_Upmove" dataDxfId="15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15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156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3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50" totalsRowCount="1">
  <autoFilter ref="A4:S49" xr:uid="{00000000-0009-0000-0100-000011000000}"/>
  <tableColumns count="19">
    <tableColumn id="1" xr3:uid="{00000000-0010-0000-0D00-000001000000}" name="Date" totalsRowLabel="Total" dataDxfId="155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38" dataCellStyle="Currency">
      <calculatedColumnFormula>IF(tbl_NKLA[[#This Row],[Date]]=$A$5, $F5, EMA_Beta*$H4 + (1-EMA_Beta)*$F5)</calculatedColumnFormula>
    </tableColumn>
    <tableColumn id="9" xr3:uid="{00000000-0010-0000-0D00-000009000000}" name="RSI" dataDxfId="154">
      <calculatedColumnFormula>IF(tbl_NKLA[[#This Row],[RS]]= "", "", 100-(100/(1+tbl_NKLA[[#This Row],[RS]])))</calculatedColumnFormula>
    </tableColumn>
    <tableColumn id="10" xr3:uid="{00000000-0010-0000-0D00-00000A000000}" name="BB_Mean" totalsRowDxfId="3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36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35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153">
      <calculatedColumnFormula>IF(ROW(tbl_NKLA[[#This Row],[Adj Close]])=5, 0, $F5-$F4)</calculatedColumnFormula>
    </tableColumn>
    <tableColumn id="14" xr3:uid="{00000000-0010-0000-0D00-00000E000000}" name="Upmove" dataDxfId="152">
      <calculatedColumnFormula>MAX(tbl_NKLA[[#This Row],[Move]],0)</calculatedColumnFormula>
    </tableColumn>
    <tableColumn id="15" xr3:uid="{00000000-0010-0000-0D00-00000F000000}" name="Downmove" dataDxfId="151">
      <calculatedColumnFormula>MAX(-tbl_NKLA[[#This Row],[Move]],0)</calculatedColumnFormula>
    </tableColumn>
    <tableColumn id="16" xr3:uid="{00000000-0010-0000-0D00-000010000000}" name="Avg_Upmove" dataDxfId="15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14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148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3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50" totalsRowCount="1">
  <autoFilter ref="A4:S49" xr:uid="{00000000-0009-0000-0100-000012000000}"/>
  <tableColumns count="19">
    <tableColumn id="1" xr3:uid="{00000000-0010-0000-0E00-000001000000}" name="Date" totalsRowLabel="Total" dataDxfId="147"/>
    <tableColumn id="2" xr3:uid="{00000000-0010-0000-0E00-000002000000}" name="Open" totalsRowDxfId="33" dataCellStyle="Currency"/>
    <tableColumn id="3" xr3:uid="{00000000-0010-0000-0E00-000003000000}" name="High" totalsRowDxfId="32" dataCellStyle="Currency"/>
    <tableColumn id="4" xr3:uid="{00000000-0010-0000-0E00-000004000000}" name="Low" totalsRowDxfId="31" dataCellStyle="Currency"/>
    <tableColumn id="5" xr3:uid="{00000000-0010-0000-0E00-000005000000}" name="Close" totalsRowDxfId="30" dataCellStyle="Currency"/>
    <tableColumn id="6" xr3:uid="{00000000-0010-0000-0E00-000006000000}" name="Adj Close" totalsRowDxfId="29" dataCellStyle="Currency"/>
    <tableColumn id="7" xr3:uid="{00000000-0010-0000-0E00-000007000000}" name="Volume"/>
    <tableColumn id="8" xr3:uid="{00000000-0010-0000-0E00-000008000000}" name="EMA" totalsRowDxfId="28" dataCellStyle="Currency">
      <calculatedColumnFormula>IF(tbl_SPXS[[#This Row],[Date]]=$A$5, $F5, EMA_Beta*$H4 + (1-EMA_Beta)*$F5)</calculatedColumnFormula>
    </tableColumn>
    <tableColumn id="9" xr3:uid="{00000000-0010-0000-0E00-000009000000}" name="RSI" dataDxfId="146">
      <calculatedColumnFormula>IF(tbl_SPXS[[#This Row],[RS]]= "", "", 100-(100/(1+tbl_SPXS[[#This Row],[RS]])))</calculatedColumnFormula>
    </tableColumn>
    <tableColumn id="10" xr3:uid="{00000000-0010-0000-0E00-00000A000000}" name="BB_Mean" totalsRowDxfId="2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26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25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145">
      <calculatedColumnFormula>IF(ROW(tbl_SPXS[[#This Row],[Adj Close]])=5, 0, $F5-$F4)</calculatedColumnFormula>
    </tableColumn>
    <tableColumn id="14" xr3:uid="{00000000-0010-0000-0E00-00000E000000}" name="Upmove" dataDxfId="144">
      <calculatedColumnFormula>MAX(tbl_SPXS[[#This Row],[Move]],0)</calculatedColumnFormula>
    </tableColumn>
    <tableColumn id="15" xr3:uid="{00000000-0010-0000-0E00-00000F000000}" name="Downmove" dataDxfId="143">
      <calculatedColumnFormula>MAX(-tbl_SPXS[[#This Row],[Move]],0)</calculatedColumnFormula>
    </tableColumn>
    <tableColumn id="16" xr3:uid="{00000000-0010-0000-0E00-000010000000}" name="Avg_Upmove" dataDxfId="14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14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140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2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9002A4-E960-4DBA-A3DA-F3F74F3509EB}" name="tbl_AMD" displayName="tbl_AMD" ref="A4:S9" totalsRowCount="1">
  <autoFilter ref="A4:S8" xr:uid="{00000000-0009-0000-0100-000012000000}"/>
  <tableColumns count="19">
    <tableColumn id="1" xr3:uid="{7C048569-0C2F-45B3-9A63-7C640A0F9054}" name="Date" totalsRowLabel="Total" dataDxfId="139"/>
    <tableColumn id="2" xr3:uid="{4574FBFF-F643-4D65-867A-EA0049A616AD}" name="Open" totalsRowDxfId="23" dataCellStyle="Currency"/>
    <tableColumn id="3" xr3:uid="{A84FBB0A-C183-4A69-AECD-CC998DD31BA3}" name="High" totalsRowDxfId="22" dataCellStyle="Currency"/>
    <tableColumn id="4" xr3:uid="{53CC53AF-1F87-42C3-9392-94789C7E54B7}" name="Low" totalsRowDxfId="21" dataCellStyle="Currency"/>
    <tableColumn id="5" xr3:uid="{7B21FB54-0D9C-4A51-8713-E585CA3E1E25}" name="Close" totalsRowDxfId="20" dataCellStyle="Currency"/>
    <tableColumn id="6" xr3:uid="{CDD7740D-5ACD-450F-9D64-E831365B2895}" name="Adj Close" totalsRowDxfId="19" dataCellStyle="Currency"/>
    <tableColumn id="7" xr3:uid="{17C1732F-0E56-4AB1-94AE-7B15F14DA6B1}" name="Volume"/>
    <tableColumn id="8" xr3:uid="{6BB2D3C8-7E46-450F-BBA4-1BE8509921A5}" name="EMA" totalsRowDxfId="18" dataCellStyle="Currency">
      <calculatedColumnFormula>IF(tbl_AMD[[#This Row],[Date]]=$A$5, $F5, EMA_Beta*$H4 + (1-EMA_Beta)*$F5)</calculatedColumnFormula>
    </tableColumn>
    <tableColumn id="9" xr3:uid="{677A356A-EBBF-4AAE-A32C-19B5C5E60C0E}" name="RSI" dataDxfId="138">
      <calculatedColumnFormula>IF(tbl_AMD[[#This Row],[RS]]= "", "", 100-(100/(1+tbl_AMD[[#This Row],[RS]])))</calculatedColumnFormula>
    </tableColumn>
    <tableColumn id="10" xr3:uid="{E0365B31-A334-4094-A068-D222016A913B}" name="BB_Mean" totalsRowDxfId="1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7CE02F9-ECCC-456E-ACBB-30B5498F089F}" name="BB_Upper" totalsRowDxfId="16" dataCellStyle="Currency">
      <calculatedColumnFormula>IF(tbl_AMD[[#This Row],[BB_Mean]]="", "", tbl_AMD[[#This Row],[BB_Mean]]+(BB_Width*tbl_AMD[[#This Row],[BB_Stdev]]))</calculatedColumnFormula>
    </tableColumn>
    <tableColumn id="12" xr3:uid="{6868C993-14EB-4223-AA5B-491B11650BC4}" name="BB_Lower" totalsRowDxfId="15" dataCellStyle="Currency">
      <calculatedColumnFormula>IF(tbl_AMD[[#This Row],[BB_Mean]]="", "", tbl_AMD[[#This Row],[BB_Mean]]-(BB_Width*tbl_AMD[[#This Row],[BB_Stdev]]))</calculatedColumnFormula>
    </tableColumn>
    <tableColumn id="13" xr3:uid="{8E889AB7-60EF-4809-B40F-5F2F75793CCA}" name="Move" dataDxfId="137">
      <calculatedColumnFormula>IF(ROW(tbl_AMD[[#This Row],[Adj Close]])=5, 0, $F5-$F4)</calculatedColumnFormula>
    </tableColumn>
    <tableColumn id="14" xr3:uid="{A817F576-2F3A-479D-814F-5DA3D5376DB3}" name="Upmove" dataDxfId="136">
      <calculatedColumnFormula>MAX(tbl_AMD[[#This Row],[Move]],0)</calculatedColumnFormula>
    </tableColumn>
    <tableColumn id="15" xr3:uid="{53E54EEA-3605-4AFF-A929-82B4A9ED41A7}" name="Downmove" dataDxfId="135">
      <calculatedColumnFormula>MAX(-tbl_AMD[[#This Row],[Move]],0)</calculatedColumnFormula>
    </tableColumn>
    <tableColumn id="16" xr3:uid="{EED1B9AF-FECD-46C2-9967-7C7714C66002}" name="Avg_Upmove" dataDxfId="13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766F5B3B-4C98-42F7-9FE0-A38306088E64}" name="Avg_Downmove" dataDxfId="13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D73FCEEF-521E-4B51-8EC4-FD13EEE7DB19}" name="RS" dataDxfId="132">
      <calculatedColumnFormula>IF(tbl_AMD[[#This Row],[Avg_Upmove]]="", "", tbl_AMD[[#This Row],[Avg_Upmove]]/tbl_AMD[[#This Row],[Avg_Downmove]])</calculatedColumnFormula>
    </tableColumn>
    <tableColumn id="19" xr3:uid="{BE234855-29DD-4120-88B0-FF1D12D5EA9C}" name="BB_Stdev" totalsRowFunction="count" totalsRowDxfId="1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919D1EE-A780-451E-B795-4E6313D2ADE7}" name="tbl_CVX" displayName="tbl_CVX" ref="A4:S6" totalsRowCount="1">
  <autoFilter ref="A4:S5" xr:uid="{00000000-0009-0000-0100-000012000000}"/>
  <tableColumns count="19">
    <tableColumn id="1" xr3:uid="{E068BE20-85E8-4EFC-97EB-32190E11FB92}" name="Date" totalsRowLabel="Total" dataDxfId="124"/>
    <tableColumn id="2" xr3:uid="{065A7336-8A9B-41BB-B508-251DF9BB084A}" name="Open" totalsRowDxfId="13" dataCellStyle="Currency"/>
    <tableColumn id="3" xr3:uid="{4C85DA2C-A05F-49D6-9891-B5403129B924}" name="High" totalsRowDxfId="12" dataCellStyle="Currency"/>
    <tableColumn id="4" xr3:uid="{7F1599D9-9933-4979-9AF0-E9718CCE38A9}" name="Low" totalsRowDxfId="11" dataCellStyle="Currency"/>
    <tableColumn id="5" xr3:uid="{9075042C-CE44-407E-A10D-0B8958E804B3}" name="Close" totalsRowDxfId="10" dataCellStyle="Currency"/>
    <tableColumn id="6" xr3:uid="{075C4F3A-9CBC-4721-A377-0F7A13BF93A5}" name="Adj Close" totalsRowDxfId="9" dataCellStyle="Currency"/>
    <tableColumn id="7" xr3:uid="{097D9D23-5F23-4CB6-B183-FF88E61F7DC4}" name="Volume"/>
    <tableColumn id="8" xr3:uid="{47935DD0-A60C-45E0-89F5-794F4E2AA638}" name="EMA" totalsRowDxfId="8" dataCellStyle="Currency">
      <calculatedColumnFormula>IF(tbl_CVX[[#This Row],[Date]]=$A$5, $F5, EMA_Beta*$H4 + (1-EMA_Beta)*$F5)</calculatedColumnFormula>
    </tableColumn>
    <tableColumn id="9" xr3:uid="{9EE57F7E-D6F8-44AD-B73B-5118B29CB83C}" name="RSI" dataDxfId="123">
      <calculatedColumnFormula>IF(tbl_CVX[[#This Row],[RS]]= "", "", 100-(100/(1+tbl_CVX[[#This Row],[RS]])))</calculatedColumnFormula>
    </tableColumn>
    <tableColumn id="10" xr3:uid="{76F70204-BCF2-4C95-9D2A-430E5C82AAB1}" name="BB_Mean" totalsRowDxfId="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77E34F2-01DC-416E-90F0-5F450DCB4650}" name="BB_Upper" totalsRowDxfId="6" dataCellStyle="Currency">
      <calculatedColumnFormula>IF(tbl_CVX[[#This Row],[BB_Mean]]="", "", tbl_CVX[[#This Row],[BB_Mean]]+(BB_Width*tbl_CVX[[#This Row],[BB_Stdev]]))</calculatedColumnFormula>
    </tableColumn>
    <tableColumn id="12" xr3:uid="{5CEAD1CB-DD3D-48A6-BCA3-93C9E3CAC54E}" name="BB_Lower" totalsRowDxfId="5" dataCellStyle="Currency">
      <calculatedColumnFormula>IF(tbl_CVX[[#This Row],[BB_Mean]]="", "", tbl_CVX[[#This Row],[BB_Mean]]-(BB_Width*tbl_CVX[[#This Row],[BB_Stdev]]))</calculatedColumnFormula>
    </tableColumn>
    <tableColumn id="13" xr3:uid="{230592B9-DD82-4255-876F-52CD7478EAB8}" name="Move" dataDxfId="122">
      <calculatedColumnFormula>IF(ROW(tbl_CVX[[#This Row],[Adj Close]])=5, 0, $F5-$F4)</calculatedColumnFormula>
    </tableColumn>
    <tableColumn id="14" xr3:uid="{5FA9DDF9-44A8-4A6B-9C94-FCDADA2819BF}" name="Upmove" dataDxfId="121">
      <calculatedColumnFormula>MAX(tbl_CVX[[#This Row],[Move]],0)</calculatedColumnFormula>
    </tableColumn>
    <tableColumn id="15" xr3:uid="{52C3D2FF-FF83-420E-BBD1-C8A3DFC288D5}" name="Downmove" dataDxfId="120">
      <calculatedColumnFormula>MAX(-tbl_CVX[[#This Row],[Move]],0)</calculatedColumnFormula>
    </tableColumn>
    <tableColumn id="16" xr3:uid="{47B73678-F739-471E-8E0A-E14C2E1C418D}" name="Avg_Upmove" dataDxfId="11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CC8AED72-E624-4004-B1EB-6A32CEA2A800}" name="Avg_Downmove" dataDxfId="11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50F55E83-F6DB-43A6-ADEC-E588399A9DFE}" name="RS" dataDxfId="117">
      <calculatedColumnFormula>IF(tbl_CVX[[#This Row],[Avg_Upmove]]="", "", tbl_CVX[[#This Row],[Avg_Upmove]]/tbl_CVX[[#This Row],[Avg_Downmove]])</calculatedColumnFormula>
    </tableColumn>
    <tableColumn id="19" xr3:uid="{EA68CD8F-7992-4452-AEF0-AE8F9E3119C1}" name="BB_Stdev" totalsRowFunction="count" totalsRowDxfId="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bl_holdings" displayName="tbl_holdings" ref="B4:F17" totalsRowCount="1">
  <autoFilter ref="B4:F16" xr:uid="{00000000-0009-0000-0100-00000B000000}"/>
  <tableColumns count="5">
    <tableColumn id="1" xr3:uid="{00000000-0010-0000-0F00-000001000000}" name="Index" totalsRowLabel="Total"/>
    <tableColumn id="2" xr3:uid="{00000000-0010-0000-0F00-000002000000}" name="Stock">
      <calculatedColumnFormula>INDEX(Symbol,B5)</calculatedColumnFormula>
    </tableColumn>
    <tableColumn id="3" xr3:uid="{00000000-0010-0000-0F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0F00-000004000000}" name="# Holdings">
      <calculatedColumnFormula>INDEX(tbl_position[], COUNT(tbl_position[Date]), MATCH("Shares_"&amp;C5, pos_header,0))</calculatedColumnFormula>
    </tableColumn>
    <tableColumn id="5" xr3:uid="{00000000-0010-0000-0F00-000005000000}" name="Total" totalsRowFunction="sum" dataDxfId="131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bl_transsummary" displayName="tbl_transsummary" ref="J4:P10" totalsRowShown="0">
  <autoFilter ref="J4:P10" xr:uid="{00000000-0009-0000-0100-00000F000000}"/>
  <tableColumns count="7">
    <tableColumn id="1" xr3:uid="{00000000-0010-0000-1000-000001000000}" name="Index"/>
    <tableColumn id="2" xr3:uid="{00000000-0010-0000-1000-000002000000}" name="Start" dataDxfId="130">
      <calculatedColumnFormula>K4+7</calculatedColumnFormula>
    </tableColumn>
    <tableColumn id="3" xr3:uid="{00000000-0010-0000-1000-000003000000}" name="End" dataDxfId="129">
      <calculatedColumnFormula>L4+7</calculatedColumnFormula>
    </tableColumn>
    <tableColumn id="4" xr3:uid="{00000000-0010-0000-1000-000004000000}" name="BUY" dataDxfId="128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000-000005000000}" name="SELL" dataDxfId="127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000-000006000000}" name="SHORT" dataDxfId="126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000-000007000000}" name="COVER" dataDxfId="125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15" totalsRowShown="0" headerRowDxfId="278">
  <autoFilter ref="A3:A15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277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276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AC28" totalsRowCount="1">
  <autoFilter ref="A4:AC27" xr:uid="{00000000-0009-0000-0100-000004000000}"/>
  <tableColumns count="29">
    <tableColumn id="1" xr3:uid="{00000000-0010-0000-0400-000001000000}" name="Date" totalsRowLabel="Total" dataDxfId="275"/>
    <tableColumn id="2" xr3:uid="{00000000-0010-0000-0400-000002000000}" name="Price_AAPL" totalsRowFunction="count" dataCellStyle="Currency">
      <calculatedColumnFormula>VLOOKUP(tbl_position[[#This Row],[Date]], tbl_AAPL[], 5, 0)</calculatedColumnFormula>
    </tableColumn>
    <tableColumn id="3" xr3:uid="{00000000-0010-0000-0400-000003000000}" name="Price_RIOT" dataDxfId="274" dataCellStyle="Currency">
      <calculatedColumnFormula>VLOOKUP(tbl_position[[#This Row],[Date]], tbl_RIOT[], 5, 0)</calculatedColumnFormula>
    </tableColumn>
    <tableColumn id="4" xr3:uid="{00000000-0010-0000-0400-000004000000}" name="Price_HD" totalsRowDxfId="2" dataCellStyle="Currency">
      <calculatedColumnFormula>VLOOKUP(tbl_position[[#This Row],[Date]], tbl_HD[], 5, 0)</calculatedColumnFormula>
    </tableColumn>
    <tableColumn id="5" xr3:uid="{00000000-0010-0000-0400-000005000000}" name="Price_WMT" dataDxfId="273" dataCellStyle="Currency">
      <calculatedColumnFormula>VLOOKUP(tbl_position[[#This Row],[Date]], tbl_WMT[], 5, 0)</calculatedColumnFormula>
    </tableColumn>
    <tableColumn id="6" xr3:uid="{00000000-0010-0000-0400-000006000000}" name="Price_IBM" dataDxfId="272" dataCellStyle="Currency">
      <calculatedColumnFormula>VLOOKUP(tbl_position[[#This Row],[Date]], tbl_IBM[], 5, 0)</calculatedColumnFormula>
    </tableColumn>
    <tableColumn id="7" xr3:uid="{00000000-0010-0000-0400-000007000000}" name="Price_ORCL" dataDxfId="271" dataCellStyle="Currency">
      <calculatedColumnFormula>VLOOKUP(tbl_position[[#This Row],[Date]], tbl_ORCL[], 5, 0)</calculatedColumnFormula>
    </tableColumn>
    <tableColumn id="20" xr3:uid="{00000000-0010-0000-0400-000014000000}" name="Price_AKRO" dataDxfId="270" dataCellStyle="Currency">
      <calculatedColumnFormula>VLOOKUP(tbl_position[[#This Row],[Date]], tbl_AKRO[], 5, 0)</calculatedColumnFormula>
    </tableColumn>
    <tableColumn id="19" xr3:uid="{00000000-0010-0000-0400-000013000000}" name="Price_FDX" dataDxfId="269" dataCellStyle="Currency">
      <calculatedColumnFormula>VLOOKUP(tbl_position[[#This Row],[Date]], tbl_FDX[], 5, 0)</calculatedColumnFormula>
    </tableColumn>
    <tableColumn id="21" xr3:uid="{00000000-0010-0000-0400-000015000000}" name="Price_NKLA" dataDxfId="268" dataCellStyle="Currency">
      <calculatedColumnFormula>VLOOKUP(tbl_position[[#This Row],[Date]], tbl_NKLA[], 5, 0)</calculatedColumnFormula>
    </tableColumn>
    <tableColumn id="22" xr3:uid="{00000000-0010-0000-0400-000016000000}" name="Price_SPXS" dataDxfId="267" dataCellStyle="Currency">
      <calculatedColumnFormula>VLOOKUP(tbl_position[[#This Row],[Date]], tbl_SPXS[], 5, 0)</calculatedColumnFormula>
    </tableColumn>
    <tableColumn id="17" xr3:uid="{41D5EC5A-8224-418D-8D90-D0BA5C9EB9E0}" name="Price_AMD" dataDxfId="266" dataCellStyle="Currency">
      <calculatedColumnFormula>VLOOKUP(tbl_position[[#This Row],[Date]], tbl_AMD[], 5, 0)</calculatedColumnFormula>
    </tableColumn>
    <tableColumn id="28" xr3:uid="{8CF21480-DE20-4D40-9206-18965072DD37}" name="Price_CVX" dataDxfId="3" dataCellStyle="Currency">
      <calculatedColumnFormula>VLOOKUP(tbl_position[[#This Row],[Date]], tbl_CVX[], 5, 0)</calculatedColumnFormula>
    </tableColumn>
    <tableColumn id="8" xr3:uid="{00000000-0010-0000-0400-000008000000}" name="Shares_AAPL" dataDxfId="265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$N4)</calculatedColumnFormula>
    </tableColumn>
    <tableColumn id="9" xr3:uid="{00000000-0010-0000-0400-000009000000}" name="Shares_RIOT" dataDxfId="264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$O4)</calculatedColumnFormula>
    </tableColumn>
    <tableColumn id="10" xr3:uid="{00000000-0010-0000-0400-00000A000000}" name="Shares_HD" dataDxfId="263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$P4)</calculatedColumnFormula>
    </tableColumn>
    <tableColumn id="11" xr3:uid="{00000000-0010-0000-0400-00000B000000}" name="Shares_WMT" dataDxfId="262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$Q4)</calculatedColumnFormula>
    </tableColumn>
    <tableColumn id="12" xr3:uid="{00000000-0010-0000-0400-00000C000000}" name="Shares_IBM" dataDxfId="261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$R4)</calculatedColumnFormula>
    </tableColumn>
    <tableColumn id="13" xr3:uid="{00000000-0010-0000-0400-00000D000000}" name="Shares_ORCL" dataDxfId="260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$S4)</calculatedColumnFormula>
    </tableColumn>
    <tableColumn id="26" xr3:uid="{00000000-0010-0000-0400-00001A000000}" name="Shares_AKRO" dataDxfId="259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$T4)</calculatedColumnFormula>
    </tableColumn>
    <tableColumn id="25" xr3:uid="{00000000-0010-0000-0400-000019000000}" name="Shares_FDX" dataDxfId="258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$U4)</calculatedColumnFormula>
    </tableColumn>
    <tableColumn id="24" xr3:uid="{00000000-0010-0000-0400-000018000000}" name="Shares_NKLA" dataDxfId="257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$V4)</calculatedColumnFormula>
    </tableColumn>
    <tableColumn id="23" xr3:uid="{00000000-0010-0000-0400-000017000000}" name="Shares_SPXS" dataDxfId="256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$W4)</calculatedColumnFormula>
    </tableColumn>
    <tableColumn id="27" xr3:uid="{80492F90-F5BA-4F2D-8B9B-6900A7ACC907}" name="Shares_AMD" dataDxfId="255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$W4)</calculatedColumnFormula>
    </tableColumn>
    <tableColumn id="29" xr3:uid="{E09679F8-C8C0-4BEE-927A-2009A67FE724}" name="Shares_CVX" dataDxfId="0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$W4)</calculatedColumnFormula>
    </tableColumn>
    <tableColumn id="14" xr3:uid="{00000000-0010-0000-0400-00000E000000}" name="Shares_Holding" dataCellStyle="Currency">
      <calculatedColumnFormula xml:space="preserve"> SUMPRODUCT(INDIRECT(ADDRESS(ROW(Z5), 2)):INDIRECT(ADDRESS(ROW(Z5), MATCH("Shares_AAPL", pos_header,0)-1)), INDIRECT(ADDRESS(ROW(Z5), MATCH("Shares_AAPL", pos_header,0))): INDIRECT(ADDRESS(ROW(Z5), MATCH("Shares_Holding", pos_header,0)-1)))</calculatedColumnFormula>
    </tableColumn>
    <tableColumn id="15" xr3:uid="{00000000-0010-0000-0400-00000F000000}" name="Cash_Holding" dataDxfId="254" totalsRowDxfId="1" dataCellStyle="Currency">
      <calculatedColumnFormula>SUMIFS(tbl_transaction[Net_Cash_Change], tbl_transaction[Transaction_Date],tbl_position[[#This Row],[Date]])+IF(tbl_position[[#This Row],[Date]]=$A$5, 100000, $AA4)</calculatedColumnFormula>
    </tableColumn>
    <tableColumn id="16" xr3:uid="{00000000-0010-0000-0400-000010000000}" name="Liabilities_Holding" dataDxfId="253">
      <calculatedColumnFormula>SUMIFS(tbl_transaction[Net_Debt_Change], tbl_transaction[Transaction_Date],tbl_position[[#This Row],[Date]])+IF(tbl_position[[#This Row],[Date]]=$A$5, 0, $AB4)</calculatedColumnFormula>
    </tableColumn>
    <tableColumn id="18" xr3:uid="{00000000-0010-0000-0400-000012000000}" name="Total_Net_Asset" dataDxfId="252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50" totalsRowCount="1">
  <autoFilter ref="A4:S49" xr:uid="{00000000-0009-0000-0100-000005000000}"/>
  <tableColumns count="19">
    <tableColumn id="1" xr3:uid="{00000000-0010-0000-0500-000001000000}" name="Date" totalsRowLabel="Total" dataDxfId="251"/>
    <tableColumn id="2" xr3:uid="{00000000-0010-0000-0500-000002000000}" name="Open" dataDxfId="250"/>
    <tableColumn id="3" xr3:uid="{00000000-0010-0000-0500-000003000000}" name="High" dataDxfId="249"/>
    <tableColumn id="4" xr3:uid="{00000000-0010-0000-0500-000004000000}" name="Low" dataDxfId="248"/>
    <tableColumn id="5" xr3:uid="{00000000-0010-0000-0500-000005000000}" name="Close" dataDxfId="247"/>
    <tableColumn id="6" xr3:uid="{00000000-0010-0000-0500-000006000000}" name="Adj Close" dataDxfId="246"/>
    <tableColumn id="7" xr3:uid="{00000000-0010-0000-0500-000007000000}" name="Volume"/>
    <tableColumn id="8" xr3:uid="{00000000-0010-0000-0500-000008000000}" name="EMA" totalsRowDxfId="116" dataCellStyle="Currency">
      <calculatedColumnFormula>IF(tbl_HD[[#This Row],[Date]]=$A$5, $F5, EMA_Beta*$H4 + (1-EMA_Beta)*$F5)</calculatedColumnFormula>
    </tableColumn>
    <tableColumn id="9" xr3:uid="{00000000-0010-0000-0500-000009000000}" name="RSI" dataDxfId="245">
      <calculatedColumnFormula>IF(tbl_HD[[#This Row],[RS]]= "", "", 100-(100/(1+tbl_HD[[#This Row],[RS]])))</calculatedColumnFormula>
    </tableColumn>
    <tableColumn id="10" xr3:uid="{00000000-0010-0000-0500-00000A000000}" name="BB_Mean" totalsRowDxfId="11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244" totalsRowDxfId="114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243" totalsRowDxfId="113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242">
      <calculatedColumnFormula>IF(ROW(tbl_HD[[#This Row],[Adj Close]])=5, 0, $F5-$F4)</calculatedColumnFormula>
    </tableColumn>
    <tableColumn id="14" xr3:uid="{00000000-0010-0000-0500-00000E000000}" name="Upmove" dataDxfId="241">
      <calculatedColumnFormula>MAX(tbl_HD[[#This Row],[Move]],0)</calculatedColumnFormula>
    </tableColumn>
    <tableColumn id="15" xr3:uid="{00000000-0010-0000-0500-00000F000000}" name="Downmove" dataDxfId="240">
      <calculatedColumnFormula>MAX(-tbl_HD[[#This Row],[Move]],0)</calculatedColumnFormula>
    </tableColumn>
    <tableColumn id="16" xr3:uid="{00000000-0010-0000-0500-000010000000}" name="Avg_Upmove" dataDxfId="23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23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237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11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50" totalsRowCount="1">
  <autoFilter ref="A4:S49" xr:uid="{00000000-0009-0000-0100-000006000000}"/>
  <tableColumns count="19">
    <tableColumn id="1" xr3:uid="{00000000-0010-0000-0600-000001000000}" name="Date" totalsRowLabel="Total" dataDxfId="236"/>
    <tableColumn id="2" xr3:uid="{00000000-0010-0000-0600-000002000000}" name="Open" totalsRowDxfId="111" dataCellStyle="Currency"/>
    <tableColumn id="3" xr3:uid="{00000000-0010-0000-0600-000003000000}" name="High" totalsRowDxfId="110" dataCellStyle="Currency"/>
    <tableColumn id="4" xr3:uid="{00000000-0010-0000-0600-000004000000}" name="Low" totalsRowDxfId="109" dataCellStyle="Currency"/>
    <tableColumn id="5" xr3:uid="{00000000-0010-0000-0600-000005000000}" name="Close" totalsRowDxfId="108" dataCellStyle="Currency"/>
    <tableColumn id="6" xr3:uid="{00000000-0010-0000-0600-000006000000}" name="Adj Close" totalsRowDxfId="107" dataCellStyle="Currency"/>
    <tableColumn id="7" xr3:uid="{00000000-0010-0000-0600-000007000000}" name="Volume"/>
    <tableColumn id="8" xr3:uid="{00000000-0010-0000-0600-000008000000}" name="EMA" dataDxfId="235" totalsRowDxfId="106" dataCellStyle="Currency">
      <calculatedColumnFormula>IF(tbl_AAPL[[#This Row],[Date]]=$A$5, $F5, EMA_Beta*$H4 + (1-EMA_Beta)*$F5)</calculatedColumnFormula>
    </tableColumn>
    <tableColumn id="9" xr3:uid="{00000000-0010-0000-0600-000009000000}" name="RSI" dataDxfId="234" totalsRowDxfId="105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233" totalsRowDxfId="10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232" totalsRowDxfId="103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231" totalsRowDxfId="102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230" totalsRowDxfId="101" dataCellStyle="Currency">
      <calculatedColumnFormula>IF(ROW(tbl_AAPL[[#This Row],[Adj Close]])=5, 0, $F5-$F4)</calculatedColumnFormula>
    </tableColumn>
    <tableColumn id="14" xr3:uid="{00000000-0010-0000-0600-00000E000000}" name="Upmove" dataDxfId="229" totalsRowDxfId="100" dataCellStyle="Currency">
      <calculatedColumnFormula>MAX(tbl_AAPL[[#This Row],[Move]],0)</calculatedColumnFormula>
    </tableColumn>
    <tableColumn id="15" xr3:uid="{00000000-0010-0000-0600-00000F000000}" name="Downmove" dataDxfId="228" totalsRowDxfId="99" dataCellStyle="Currency">
      <calculatedColumnFormula>MAX(-tbl_AAPL[[#This Row],[Move]],0)</calculatedColumnFormula>
    </tableColumn>
    <tableColumn id="16" xr3:uid="{00000000-0010-0000-0600-000010000000}" name="Avg_Upmove" dataDxfId="227" totalsRowDxfId="9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226" totalsRowDxfId="97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225" totalsRowDxfId="96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224" totalsRowDxfId="9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50" totalsRowCount="1">
  <autoFilter ref="A4:S49" xr:uid="{00000000-0009-0000-0100-000009000000}"/>
  <tableColumns count="19">
    <tableColumn id="1" xr3:uid="{00000000-0010-0000-0700-000001000000}" name="Date" totalsRowLabel="Total" dataDxfId="94"/>
    <tableColumn id="2" xr3:uid="{00000000-0010-0000-0700-000002000000}" name="Open" dataDxfId="93"/>
    <tableColumn id="3" xr3:uid="{00000000-0010-0000-0700-000003000000}" name="High" dataDxfId="92"/>
    <tableColumn id="4" xr3:uid="{00000000-0010-0000-0700-000004000000}" name="Low" dataDxfId="91"/>
    <tableColumn id="5" xr3:uid="{00000000-0010-0000-0700-000005000000}" name="Close" dataDxfId="90"/>
    <tableColumn id="6" xr3:uid="{00000000-0010-0000-0700-000006000000}" name="Adj Close" dataDxfId="89"/>
    <tableColumn id="7" xr3:uid="{00000000-0010-0000-0700-000007000000}" name="Volume"/>
    <tableColumn id="8" xr3:uid="{00000000-0010-0000-0700-000008000000}" name="EMA" dataDxfId="88">
      <calculatedColumnFormula>IF(tbl_WMT[[#This Row],[Date]]=$A$5, $F5, EMA_Beta*$H4 + (1-EMA_Beta)*$F5)</calculatedColumnFormula>
    </tableColumn>
    <tableColumn id="9" xr3:uid="{00000000-0010-0000-0700-000009000000}" name="RSI" dataDxfId="87" totalsRowDxfId="76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8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85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84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83">
      <calculatedColumnFormula>IF(ROW(tbl_WMT[[#This Row],[Adj Close]])=5, 0, $F5-$F4)</calculatedColumnFormula>
    </tableColumn>
    <tableColumn id="14" xr3:uid="{00000000-0010-0000-0700-00000E000000}" name="Upmove" dataDxfId="82">
      <calculatedColumnFormula>MAX(tbl_WMT[[#This Row],[Move]],0)</calculatedColumnFormula>
    </tableColumn>
    <tableColumn id="15" xr3:uid="{00000000-0010-0000-0700-00000F000000}" name="Downmove" dataDxfId="81">
      <calculatedColumnFormula>MAX(-tbl_WMT[[#This Row],[Move]],0)</calculatedColumnFormula>
    </tableColumn>
    <tableColumn id="16" xr3:uid="{00000000-0010-0000-0700-000010000000}" name="Avg_Upmove" dataDxfId="8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7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78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7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50" totalsRowCount="1">
  <autoFilter ref="A4:S49" xr:uid="{00000000-0009-0000-0100-00000A000000}"/>
  <tableColumns count="19">
    <tableColumn id="1" xr3:uid="{00000000-0010-0000-0800-000001000000}" name="Date" totalsRowLabel="Total" dataDxfId="223"/>
    <tableColumn id="2" xr3:uid="{00000000-0010-0000-0800-000002000000}" name="Open" dataDxfId="222"/>
    <tableColumn id="3" xr3:uid="{00000000-0010-0000-0800-000003000000}" name="High" dataDxfId="221"/>
    <tableColumn id="4" xr3:uid="{00000000-0010-0000-0800-000004000000}" name="Low" dataDxfId="220"/>
    <tableColumn id="5" xr3:uid="{00000000-0010-0000-0800-000005000000}" name="Close" dataDxfId="219"/>
    <tableColumn id="6" xr3:uid="{00000000-0010-0000-0800-000006000000}" name="Adj Close" dataDxfId="218"/>
    <tableColumn id="7" xr3:uid="{00000000-0010-0000-0800-000007000000}" name="Volume"/>
    <tableColumn id="8" xr3:uid="{00000000-0010-0000-0800-000008000000}" name="EMA" dataDxfId="217">
      <calculatedColumnFormula>IF(tbl_RIOT[[#This Row],[Date]]=$A$5, $F5, EMA_Beta*$H4 + (1-EMA_Beta)*$F5)</calculatedColumnFormula>
    </tableColumn>
    <tableColumn id="9" xr3:uid="{00000000-0010-0000-0800-000009000000}" name="RSI" dataDxfId="216">
      <calculatedColumnFormula>IF(tbl_RIOT[[#This Row],[RS]]= "", "", 100-(100/(1+tbl_RIOT[[#This Row],[RS]])))</calculatedColumnFormula>
    </tableColumn>
    <tableColumn id="10" xr3:uid="{00000000-0010-0000-0800-00000A000000}" name="BB_Mean" dataDxfId="215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214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213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212">
      <calculatedColumnFormula>IF(ROW(tbl_RIOT[[#This Row],[Adj Close]])=5, 0, $F5-$F4)</calculatedColumnFormula>
    </tableColumn>
    <tableColumn id="14" xr3:uid="{00000000-0010-0000-0800-00000E000000}" name="Upmove" dataDxfId="211">
      <calculatedColumnFormula>MAX(tbl_RIOT[[#This Row],[Move]],0)</calculatedColumnFormula>
    </tableColumn>
    <tableColumn id="15" xr3:uid="{00000000-0010-0000-0800-00000F000000}" name="Downmove" dataDxfId="210">
      <calculatedColumnFormula>MAX(-tbl_RIOT[[#This Row],[Move]],0)</calculatedColumnFormula>
    </tableColumn>
    <tableColumn id="16" xr3:uid="{00000000-0010-0000-0800-000010000000}" name="Avg_Upmove" dataDxfId="20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20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207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206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G36" sqref="G36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"/>
  <sheetViews>
    <sheetView topLeftCell="A32" zoomScale="110" zoomScaleNormal="11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3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121.97</v>
      </c>
      <c r="G45">
        <v>3872300</v>
      </c>
      <c r="H45" s="48">
        <f>IF(tbl_IBM[[#This Row],[Date]]=$A$5, $F45, EMA_Beta*$H44 + (1-EMA_Beta)*$F45)</f>
        <v>121.60485061591187</v>
      </c>
      <c r="I45" s="46">
        <f ca="1">IF(tbl_IBM[[#This Row],[RS]]= "", "", 100-(100/(1+tbl_IBM[[#This Row],[RS]])))</f>
        <v>42.875232069421209</v>
      </c>
      <c r="J45" s="48">
        <f ca="1">IF(ROW($N45)-4&lt;BB_Periods, "", AVERAGE(INDIRECT(ADDRESS(ROW($F45)-RSI_Periods +1, MATCH("Adj Close", Price_Header,0))): INDIRECT(ADDRESS(ROW($F45),MATCH("Adj Close", Price_Header,0)))))</f>
        <v>121.02071414285714</v>
      </c>
      <c r="K45" s="48">
        <f ca="1">IF(tbl_IBM[[#This Row],[BB_Mean]]="", "", tbl_IBM[[#This Row],[BB_Mean]]+(BB_Width*tbl_IBM[[#This Row],[BB_Stdev]]))</f>
        <v>124.5192622927222</v>
      </c>
      <c r="L45" s="48">
        <f ca="1">IF(tbl_IBM[[#This Row],[BB_Mean]]="", "", tbl_IBM[[#This Row],[BB_Mean]]-(BB_Width*tbl_IBM[[#This Row],[BB_Stdev]]))</f>
        <v>117.52216599299209</v>
      </c>
      <c r="M45" s="46">
        <f>IF(ROW(tbl_IBM[[#This Row],[Adj Close]])=5, 0, $F45-$F44)</f>
        <v>-4.0000000000006253E-2</v>
      </c>
      <c r="N45" s="46">
        <f>MAX(tbl_IBM[[#This Row],[Move]],0)</f>
        <v>0</v>
      </c>
      <c r="O45" s="46">
        <f>MAX(-tbl_IBM[[#This Row],[Move]],0)</f>
        <v>4.0000000000006253E-2</v>
      </c>
      <c r="P45" s="46">
        <f ca="1">IF(ROW($N45)-5&lt;RSI_Periods, "", AVERAGE(INDIRECT(ADDRESS(ROW($N45)-RSI_Periods +1, MATCH("Upmove", Price_Header,0))): INDIRECT(ADDRESS(ROW($N45),MATCH("Upmove", Price_Header,0)))))</f>
        <v>0.48357121428571659</v>
      </c>
      <c r="Q45" s="46">
        <f ca="1">IF(ROW($O45)-5&lt;RSI_Periods, "", AVERAGE(INDIRECT(ADDRESS(ROW($O45)-RSI_Periods +1, MATCH("Downmove", Price_Header,0))): INDIRECT(ADDRESS(ROW($O45),MATCH("Downmove", Price_Header,0)))))</f>
        <v>0.64428557142857357</v>
      </c>
      <c r="R45" s="46">
        <f ca="1">IF(tbl_IBM[[#This Row],[Avg_Upmove]]="", "", tbl_IBM[[#This Row],[Avg_Upmove]]/tbl_IBM[[#This Row],[Avg_Downmove]])</f>
        <v>0.75055415755081212</v>
      </c>
      <c r="S45" s="48">
        <f ca="1">IF(ROW($N45)-4&lt;BB_Periods, "", _xlfn.STDEV.S(INDIRECT(ADDRESS(ROW($F45)-RSI_Periods +1, MATCH("Adj Close", Price_Header,0))): INDIRECT(ADDRESS(ROW($F45),MATCH("Adj Close", Price_Header,0)))))</f>
        <v>1.7492740749325302</v>
      </c>
    </row>
    <row r="46" spans="1:19" x14ac:dyDescent="0.3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124.07</v>
      </c>
      <c r="G46">
        <v>2815400</v>
      </c>
      <c r="H46" s="48">
        <f>IF(tbl_IBM[[#This Row],[Date]]=$A$5, $F46, EMA_Beta*$H45 + (1-EMA_Beta)*$F46)</f>
        <v>121.85136555432068</v>
      </c>
      <c r="I46" s="46">
        <f ca="1">IF(tbl_IBM[[#This Row],[RS]]= "", "", 100-(100/(1+tbl_IBM[[#This Row],[RS]])))</f>
        <v>47.527637874070692</v>
      </c>
      <c r="J46" s="48">
        <f ca="1">IF(ROW($N46)-4&lt;BB_Periods, "", AVERAGE(INDIRECT(ADDRESS(ROW($F46)-RSI_Periods +1, MATCH("Adj Close", Price_Header,0))): INDIRECT(ADDRESS(ROW($F46),MATCH("Adj Close", Price_Header,0)))))</f>
        <v>120.96</v>
      </c>
      <c r="K46" s="48">
        <f ca="1">IF(tbl_IBM[[#This Row],[BB_Mean]]="", "", tbl_IBM[[#This Row],[BB_Mean]]+(BB_Width*tbl_IBM[[#This Row],[BB_Stdev]]))</f>
        <v>124.18593337715554</v>
      </c>
      <c r="L46" s="48">
        <f ca="1">IF(tbl_IBM[[#This Row],[BB_Mean]]="", "", tbl_IBM[[#This Row],[BB_Mean]]-(BB_Width*tbl_IBM[[#This Row],[BB_Stdev]]))</f>
        <v>117.73406662284445</v>
      </c>
      <c r="M46" s="46">
        <f>IF(ROW(tbl_IBM[[#This Row],[Adj Close]])=5, 0, $F46-$F45)</f>
        <v>2.0999999999999943</v>
      </c>
      <c r="N46" s="46">
        <f>MAX(tbl_IBM[[#This Row],[Move]],0)</f>
        <v>2.0999999999999943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0.58357142857142974</v>
      </c>
      <c r="Q46" s="46">
        <f ca="1">IF(ROW($O46)-5&lt;RSI_Periods, "", AVERAGE(INDIRECT(ADDRESS(ROW($O46)-RSI_Periods +1, MATCH("Downmove", Price_Header,0))): INDIRECT(ADDRESS(ROW($O46),MATCH("Downmove", Price_Header,0)))))</f>
        <v>0.64428557142857357</v>
      </c>
      <c r="R46" s="46">
        <f ca="1">IF(tbl_IBM[[#This Row],[Avg_Upmove]]="", "", tbl_IBM[[#This Row],[Avg_Upmove]]/tbl_IBM[[#This Row],[Avg_Downmove]])</f>
        <v>0.90576516757542402</v>
      </c>
      <c r="S46" s="48">
        <f ca="1">IF(ROW($N46)-4&lt;BB_Periods, "", _xlfn.STDEV.S(INDIRECT(ADDRESS(ROW($F46)-RSI_Periods +1, MATCH("Adj Close", Price_Header,0))): INDIRECT(ADDRESS(ROW($F46),MATCH("Adj Close", Price_Header,0)))))</f>
        <v>1.61296668857777</v>
      </c>
    </row>
    <row r="47" spans="1:19" x14ac:dyDescent="0.3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131.49</v>
      </c>
      <c r="G47">
        <v>25288900</v>
      </c>
      <c r="H47" s="48">
        <f>IF(tbl_IBM[[#This Row],[Date]]=$A$5, $F47, EMA_Beta*$H46 + (1-EMA_Beta)*$F47)</f>
        <v>122.81522899888861</v>
      </c>
      <c r="I47" s="46">
        <f ca="1">IF(tbl_IBM[[#This Row],[RS]]= "", "", 100-(100/(1+tbl_IBM[[#This Row],[RS]])))</f>
        <v>69.443207126948735</v>
      </c>
      <c r="J47" s="48">
        <f ca="1">IF(ROW($N47)-4&lt;BB_Periods, "", AVERAGE(INDIRECT(ADDRESS(ROW($F47)-RSI_Periods +1, MATCH("Adj Close", Price_Header,0))): INDIRECT(ADDRESS(ROW($F47),MATCH("Adj Close", Price_Header,0)))))</f>
        <v>121.58357142857142</v>
      </c>
      <c r="K47" s="48">
        <f ca="1">IF(tbl_IBM[[#This Row],[BB_Mean]]="", "", tbl_IBM[[#This Row],[BB_Mean]]+(BB_Width*tbl_IBM[[#This Row],[BB_Stdev]]))</f>
        <v>128.05287697752445</v>
      </c>
      <c r="L47" s="48">
        <f ca="1">IF(tbl_IBM[[#This Row],[BB_Mean]]="", "", tbl_IBM[[#This Row],[BB_Mean]]-(BB_Width*tbl_IBM[[#This Row],[BB_Stdev]]))</f>
        <v>115.1142658796184</v>
      </c>
      <c r="M47" s="46">
        <f>IF(ROW(tbl_IBM[[#This Row],[Adj Close]])=5, 0, $F47-$F46)</f>
        <v>7.4200000000000159</v>
      </c>
      <c r="N47" s="46">
        <f>MAX(tbl_IBM[[#This Row],[Move]],0)</f>
        <v>7.4200000000000159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1.1135714285714309</v>
      </c>
      <c r="Q47" s="46">
        <f ca="1">IF(ROW($O47)-5&lt;RSI_Periods, "", AVERAGE(INDIRECT(ADDRESS(ROW($O47)-RSI_Periods +1, MATCH("Downmove", Price_Header,0))): INDIRECT(ADDRESS(ROW($O47),MATCH("Downmove", Price_Header,0)))))</f>
        <v>0.49000000000000199</v>
      </c>
      <c r="R47" s="46">
        <f ca="1">IF(tbl_IBM[[#This Row],[Avg_Upmove]]="", "", tbl_IBM[[#This Row],[Avg_Upmove]]/tbl_IBM[[#This Row],[Avg_Downmove]])</f>
        <v>2.2725947521865844</v>
      </c>
      <c r="S47" s="48">
        <f ca="1">IF(ROW($N47)-4&lt;BB_Periods, "", _xlfn.STDEV.S(INDIRECT(ADDRESS(ROW($F47)-RSI_Periods +1, MATCH("Adj Close", Price_Header,0))): INDIRECT(ADDRESS(ROW($F47),MATCH("Adj Close", Price_Header,0)))))</f>
        <v>3.2346527744765097</v>
      </c>
    </row>
    <row r="48" spans="1:19" x14ac:dyDescent="0.3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127.79</v>
      </c>
      <c r="G48">
        <v>8347800</v>
      </c>
      <c r="H48" s="48">
        <f>IF(tbl_IBM[[#This Row],[Date]]=$A$5, $F48, EMA_Beta*$H47 + (1-EMA_Beta)*$F48)</f>
        <v>123.31270609899975</v>
      </c>
      <c r="I48" s="46">
        <f ca="1">IF(tbl_IBM[[#This Row],[RS]]= "", "", 100-(100/(1+tbl_IBM[[#This Row],[RS]])))</f>
        <v>65.947546531302848</v>
      </c>
      <c r="J48" s="48">
        <f ca="1">IF(ROW($N48)-4&lt;BB_Periods, "", AVERAGE(INDIRECT(ADDRESS(ROW($F48)-RSI_Periods +1, MATCH("Adj Close", Price_Header,0))): INDIRECT(ADDRESS(ROW($F48),MATCH("Adj Close", Price_Header,0)))))</f>
        <v>122.12214285714285</v>
      </c>
      <c r="K48" s="48">
        <f ca="1">IF(tbl_IBM[[#This Row],[BB_Mean]]="", "", tbl_IBM[[#This Row],[BB_Mean]]+(BB_Width*tbl_IBM[[#This Row],[BB_Stdev]]))</f>
        <v>129.3268258580012</v>
      </c>
      <c r="L48" s="48">
        <f ca="1">IF(tbl_IBM[[#This Row],[BB_Mean]]="", "", tbl_IBM[[#This Row],[BB_Mean]]-(BB_Width*tbl_IBM[[#This Row],[BB_Stdev]]))</f>
        <v>114.91745985628451</v>
      </c>
      <c r="M48" s="46">
        <f>IF(ROW(tbl_IBM[[#This Row],[Adj Close]])=5, 0, $F48-$F47)</f>
        <v>-3.7000000000000028</v>
      </c>
      <c r="N48" s="46">
        <f>MAX(tbl_IBM[[#This Row],[Move]],0)</f>
        <v>0</v>
      </c>
      <c r="O48" s="46">
        <f>MAX(-tbl_IBM[[#This Row],[Move]],0)</f>
        <v>3.7000000000000028</v>
      </c>
      <c r="P48" s="46">
        <f ca="1">IF(ROW($N48)-5&lt;RSI_Periods, "", AVERAGE(INDIRECT(ADDRESS(ROW($N48)-RSI_Periods +1, MATCH("Upmove", Price_Header,0))): INDIRECT(ADDRESS(ROW($N48),MATCH("Upmove", Price_Header,0)))))</f>
        <v>1.1135714285714309</v>
      </c>
      <c r="Q48" s="46">
        <f ca="1">IF(ROW($O48)-5&lt;RSI_Periods, "", AVERAGE(INDIRECT(ADDRESS(ROW($O48)-RSI_Periods +1, MATCH("Downmove", Price_Header,0))): INDIRECT(ADDRESS(ROW($O48),MATCH("Downmove", Price_Header,0)))))</f>
        <v>0.57500000000000184</v>
      </c>
      <c r="R48" s="46">
        <f ca="1">IF(tbl_IBM[[#This Row],[Avg_Upmove]]="", "", tbl_IBM[[#This Row],[Avg_Upmove]]/tbl_IBM[[#This Row],[Avg_Downmove]])</f>
        <v>1.9366459627329171</v>
      </c>
      <c r="S48" s="48">
        <f ca="1">IF(ROW($N48)-4&lt;BB_Periods, "", _xlfn.STDEV.S(INDIRECT(ADDRESS(ROW($F48)-RSI_Periods +1, MATCH("Adj Close", Price_Header,0))): INDIRECT(ADDRESS(ROW($F48),MATCH("Adj Close", Price_Header,0)))))</f>
        <v>3.6023415004291723</v>
      </c>
    </row>
    <row r="49" spans="1:19" x14ac:dyDescent="0.3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127.21</v>
      </c>
      <c r="G49">
        <v>4635100</v>
      </c>
      <c r="H49" s="48">
        <f>IF(tbl_IBM[[#This Row],[Date]]=$A$5, $F49, EMA_Beta*$H48 + (1-EMA_Beta)*$F49)</f>
        <v>123.70243548909977</v>
      </c>
      <c r="I49" s="46">
        <f ca="1">IF(tbl_IBM[[#This Row],[RS]]= "", "", 100-(100/(1+tbl_IBM[[#This Row],[RS]])))</f>
        <v>63.981636060100101</v>
      </c>
      <c r="J49" s="48">
        <f ca="1">IF(ROW($N49)-4&lt;BB_Periods, "", AVERAGE(INDIRECT(ADDRESS(ROW($F49)-RSI_Periods +1, MATCH("Adj Close", Price_Header,0))): INDIRECT(ADDRESS(ROW($F49),MATCH("Adj Close", Price_Header,0)))))</f>
        <v>122.60071428571428</v>
      </c>
      <c r="K49" s="48">
        <f ca="1">IF(tbl_IBM[[#This Row],[BB_Mean]]="", "", tbl_IBM[[#This Row],[BB_Mean]]+(BB_Width*tbl_IBM[[#This Row],[BB_Stdev]]))</f>
        <v>130.22214344418464</v>
      </c>
      <c r="L49" s="48">
        <f ca="1">IF(tbl_IBM[[#This Row],[BB_Mean]]="", "", tbl_IBM[[#This Row],[BB_Mean]]-(BB_Width*tbl_IBM[[#This Row],[BB_Stdev]]))</f>
        <v>114.9792851272439</v>
      </c>
      <c r="M49" s="46">
        <f>IF(ROW(tbl_IBM[[#This Row],[Adj Close]])=5, 0, $F49-$F48)</f>
        <v>-0.58000000000001251</v>
      </c>
      <c r="N49" s="46">
        <f>MAX(tbl_IBM[[#This Row],[Move]],0)</f>
        <v>0</v>
      </c>
      <c r="O49" s="46">
        <f>MAX(-tbl_IBM[[#This Row],[Move]],0)</f>
        <v>0.58000000000001251</v>
      </c>
      <c r="P49" s="46">
        <f ca="1">IF(ROW($N49)-5&lt;RSI_Periods, "", AVERAGE(INDIRECT(ADDRESS(ROW($N49)-RSI_Periods +1, MATCH("Upmove", Price_Header,0))): INDIRECT(ADDRESS(ROW($N49),MATCH("Upmove", Price_Header,0)))))</f>
        <v>1.095000000000002</v>
      </c>
      <c r="Q49" s="46">
        <f ca="1">IF(ROW($O49)-5&lt;RSI_Periods, "", AVERAGE(INDIRECT(ADDRESS(ROW($O49)-RSI_Periods +1, MATCH("Downmove", Price_Header,0))): INDIRECT(ADDRESS(ROW($O49),MATCH("Downmove", Price_Header,0)))))</f>
        <v>0.6164285714285741</v>
      </c>
      <c r="R49" s="46">
        <f ca="1">IF(tbl_IBM[[#This Row],[Avg_Upmove]]="", "", tbl_IBM[[#This Row],[Avg_Upmove]]/tbl_IBM[[#This Row],[Avg_Downmove]])</f>
        <v>1.7763615295480835</v>
      </c>
      <c r="S49" s="48">
        <f ca="1">IF(ROW($N49)-4&lt;BB_Periods, "", _xlfn.STDEV.S(INDIRECT(ADDRESS(ROW($F49)-RSI_Periods +1, MATCH("Adj Close", Price_Header,0))): INDIRECT(ADDRESS(ROW($F49),MATCH("Adj Close", Price_Header,0)))))</f>
        <v>3.8107145792351877</v>
      </c>
    </row>
    <row r="50" spans="1:19" x14ac:dyDescent="0.35">
      <c r="A50" t="s">
        <v>162</v>
      </c>
      <c r="S50">
        <f ca="1">SUBTOTAL(103,tbl_IBM[BB_Stdev])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3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3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3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3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35">
      <c r="A50" t="s">
        <v>162</v>
      </c>
      <c r="B50" s="61"/>
      <c r="C50" s="61"/>
      <c r="D50" s="61"/>
      <c r="E50" s="61"/>
      <c r="F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>
        <f ca="1">SUBTOTAL(103,tbl_ORCL[BB_Stdev])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3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3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3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3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35">
      <c r="A50" t="s">
        <v>162</v>
      </c>
      <c r="B50" s="61"/>
      <c r="C50" s="61"/>
      <c r="D50" s="61"/>
      <c r="E50" s="61"/>
      <c r="F50" s="61"/>
      <c r="H50" s="61"/>
      <c r="J50" s="61"/>
      <c r="K50" s="61"/>
      <c r="L50" s="61"/>
      <c r="S50" s="61">
        <f ca="1">SUBTOTAL(103,tbl_AKRO[BB_Stdev])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3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3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3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3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35">
      <c r="A50" t="s">
        <v>162</v>
      </c>
      <c r="B50" s="61"/>
      <c r="C50" s="61"/>
      <c r="D50" s="61"/>
      <c r="E50" s="61"/>
      <c r="F50" s="61"/>
      <c r="H50" s="61"/>
      <c r="J50" s="61"/>
      <c r="K50" s="61"/>
      <c r="L50" s="61"/>
      <c r="S50" s="61">
        <f ca="1">SUBTOTAL(103,tbl_FDX[BB_Stdev])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3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3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3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3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35">
      <c r="A50" t="s">
        <v>162</v>
      </c>
      <c r="H50" s="61"/>
      <c r="J50" s="61"/>
      <c r="K50" s="61"/>
      <c r="L50" s="61"/>
      <c r="S50" s="61">
        <f ca="1">SUBTOTAL(103,tbl_NKLA[BB_Stdev])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0"/>
  <sheetViews>
    <sheetView topLeftCell="A30" workbookViewId="0">
      <selection activeCell="F50" sqref="F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3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3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3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3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35">
      <c r="A50" t="s">
        <v>162</v>
      </c>
      <c r="B50" s="61"/>
      <c r="C50" s="61"/>
      <c r="D50" s="61"/>
      <c r="E50" s="61"/>
      <c r="F50" s="61"/>
      <c r="H50" s="61"/>
      <c r="J50" s="61"/>
      <c r="K50" s="61"/>
      <c r="L50" s="61"/>
      <c r="S50" s="61">
        <f ca="1">SUBTOTAL(103,tbl_SPXS[BB_Stdev])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4548-6BA8-4495-92B4-484C880E7791}">
  <dimension ref="A1:S9"/>
  <sheetViews>
    <sheetView workbookViewId="0">
      <selection activeCell="A9" sqref="A9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319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44111</v>
      </c>
      <c r="B5" s="10">
        <v>86.1</v>
      </c>
      <c r="C5" s="10">
        <v>87.79</v>
      </c>
      <c r="D5" s="10">
        <v>85.65</v>
      </c>
      <c r="E5" s="10">
        <v>86.69</v>
      </c>
      <c r="F5" s="10">
        <v>86.69</v>
      </c>
      <c r="G5">
        <v>43045700</v>
      </c>
      <c r="H5" s="10">
        <f>IF(tbl_AMD[[#This Row],[Date]]=$A$5, $F5, EMA_Beta*$H4 + (1-EMA_Beta)*$F5)</f>
        <v>86.69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44112</v>
      </c>
      <c r="B6" s="10">
        <v>88.11</v>
      </c>
      <c r="C6" s="10">
        <v>88.72</v>
      </c>
      <c r="D6" s="10">
        <v>85.95</v>
      </c>
      <c r="E6" s="10">
        <v>86.51</v>
      </c>
      <c r="F6" s="10">
        <v>86.51</v>
      </c>
      <c r="G6">
        <v>54240700</v>
      </c>
      <c r="H6" s="10">
        <f>IF(tbl_AMD[[#This Row],[Date]]=$A$5, $F6, EMA_Beta*$H5 + (1-EMA_Beta)*$F6)</f>
        <v>86.671999999999997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-0.17999999999999261</v>
      </c>
      <c r="N6" s="46">
        <f>MAX(tbl_AMD[[#This Row],[Move]],0)</f>
        <v>0</v>
      </c>
      <c r="O6" s="46">
        <f>MAX(-tbl_AMD[[#This Row],[Move]],0)</f>
        <v>0.17999999999999261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44113</v>
      </c>
      <c r="B7" s="10">
        <v>84.74</v>
      </c>
      <c r="C7" s="10">
        <v>85.75</v>
      </c>
      <c r="D7" s="10">
        <v>82.35</v>
      </c>
      <c r="E7" s="10">
        <v>83.1</v>
      </c>
      <c r="F7" s="10">
        <v>83.1</v>
      </c>
      <c r="G7">
        <v>80225400</v>
      </c>
      <c r="H7" s="10">
        <f>IF(tbl_AMD[[#This Row],[Date]]=$A$5, $F7, EMA_Beta*$H6 + (1-EMA_Beta)*$F7)</f>
        <v>86.314800000000005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-3.4100000000000108</v>
      </c>
      <c r="N7" s="46">
        <f>MAX(tbl_AMD[[#This Row],[Move]],0)</f>
        <v>0</v>
      </c>
      <c r="O7" s="46">
        <f>MAX(-tbl_AMD[[#This Row],[Move]],0)</f>
        <v>3.4100000000000108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44116</v>
      </c>
      <c r="B8" s="10">
        <v>83.65</v>
      </c>
      <c r="C8" s="10">
        <v>85.13</v>
      </c>
      <c r="D8" s="10">
        <v>85.12</v>
      </c>
      <c r="E8" s="10">
        <v>84.29</v>
      </c>
      <c r="F8" s="10">
        <v>84.29</v>
      </c>
      <c r="G8">
        <v>47669700</v>
      </c>
      <c r="H8" s="10">
        <f>IF(tbl_AMD[[#This Row],[Date]]=$A$5, $F8, EMA_Beta*$H7 + (1-EMA_Beta)*$F8)</f>
        <v>86.112320000000011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1.1900000000000119</v>
      </c>
      <c r="N8" s="46">
        <f>MAX(tbl_AMD[[#This Row],[Move]],0)</f>
        <v>1.1900000000000119</v>
      </c>
      <c r="O8" s="46">
        <f>MAX(-tbl_AMD[[#This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t="s">
        <v>162</v>
      </c>
      <c r="B9" s="61"/>
      <c r="C9" s="61"/>
      <c r="D9" s="61"/>
      <c r="E9" s="61"/>
      <c r="F9" s="61"/>
      <c r="H9" s="61"/>
      <c r="J9" s="61"/>
      <c r="K9" s="61"/>
      <c r="L9" s="61"/>
      <c r="S9" s="61">
        <f ca="1">SUBTOTAL(103,tbl_AMD[BB_Stdev])</f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92CF-5973-4560-A53C-6EEBD8D89CA6}">
  <dimension ref="A1:S6"/>
  <sheetViews>
    <sheetView workbookViewId="0">
      <selection activeCell="G6" sqref="G6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44116</v>
      </c>
      <c r="B5" s="10">
        <v>73.63</v>
      </c>
      <c r="C5" s="10">
        <v>74.95</v>
      </c>
      <c r="D5" s="10">
        <v>73.2</v>
      </c>
      <c r="E5" s="10">
        <v>74.510000000000005</v>
      </c>
      <c r="F5" s="10">
        <v>74.510000000000005</v>
      </c>
      <c r="G5">
        <v>9056900</v>
      </c>
      <c r="H5" s="10">
        <f>IF(tbl_CVX[[#This Row],[Date]]=$A$5, $F5, EMA_Beta*$H4 + (1-EMA_Beta)*$F5)</f>
        <v>74.510000000000005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t="s">
        <v>162</v>
      </c>
      <c r="B6" s="61"/>
      <c r="C6" s="61"/>
      <c r="D6" s="61"/>
      <c r="E6" s="61"/>
      <c r="F6" s="61"/>
      <c r="H6" s="61"/>
      <c r="J6" s="61"/>
      <c r="K6" s="61"/>
      <c r="L6" s="61"/>
      <c r="S6" s="61">
        <f ca="1">SUBTOTAL(103,tbl_CVX[BB_Stdev])</f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W44"/>
  <sheetViews>
    <sheetView tabSelected="1" topLeftCell="A19" zoomScale="95" zoomScaleNormal="55" workbookViewId="0">
      <selection activeCell="G18" sqref="G18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5.26953125" style="67" customWidth="1"/>
    <col min="7" max="7" width="17.45312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10, 5)</f>
        <v>44109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12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91032.18</v>
      </c>
      <c r="G5" s="70">
        <f ca="1">INDEX(tbl_position[], COUNT(tbl_position[Date]), MATCH("Total_Net_Asset", pos_header,0))-INDEX(tbl_position[], COUNT(tbl_position[Date])-1, MATCH("Total_Net_Asset", pos_header,0))</f>
        <v>472.5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36635.579999999994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0.28774734477329034</v>
      </c>
      <c r="E10" s="75"/>
      <c r="F10" s="108" t="s">
        <v>190</v>
      </c>
      <c r="G10" s="109">
        <f>INDEX(tbl_transsummary[], _xlfn.FLOOR.MATH(($G$3-DATE(2020, 9, 9))/7)+1, 4)</f>
        <v>0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FDX</v>
      </c>
      <c r="D11" s="94">
        <f ca="1">LARGE(tbl_holdings[Total], 2)/tbl_holdings[[#Totals],[Total]]</f>
        <v>0.27429820778465336</v>
      </c>
      <c r="E11" s="75"/>
      <c r="F11" s="112" t="s">
        <v>191</v>
      </c>
      <c r="G11" s="113">
        <f>INDEX(tbl_transsummary[], _xlfn.FLOOR.MATH(($G$3-DATE(2020, 9, 9))/7)+1, 5)</f>
        <v>0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IBM</v>
      </c>
      <c r="D12" s="95">
        <f ca="1">LARGE(tbl_holdings[Total], 3)/tbl_holdings[[#Totals],[Total]]</f>
        <v>0.25516252294176051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22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44089</v>
      </c>
      <c r="C21" s="119">
        <f t="shared" ref="C21:C30" ca="1" si="1">INDEX(INDIRECT("tbl_"&amp;$G$18), COUNT(Date_List)-20+$I$18+A21, MATCH("Open", Price_Header,0))</f>
        <v>283.040009</v>
      </c>
      <c r="D21" s="119">
        <f t="shared" ref="D21:D30" ca="1" si="2">INDEX(INDIRECT("tbl_"&amp;$G$18), COUNT(Date_List)-20+$I$18+A21, MATCH("High", Price_Header,0))</f>
        <v>286.70001200000002</v>
      </c>
      <c r="E21" s="119">
        <f t="shared" ref="E21:E30" ca="1" si="3">INDEX(INDIRECT("tbl_"&amp;$G$18), COUNT(Date_List)-20+$I$18+A21, MATCH("low", Price_Header,0))</f>
        <v>282.38000499999998</v>
      </c>
      <c r="F21" s="119">
        <f t="shared" ref="F21:F30" ca="1" si="4">INDEX(INDIRECT("tbl_"&amp;$G$18), COUNT(Date_List)-20+$I$18+A21, MATCH("Close", Price_Header,0))</f>
        <v>285.57998700000002</v>
      </c>
      <c r="G21" s="119">
        <f t="shared" ref="G21:G30" ca="1" si="5">INDEX(INDIRECT("tbl_"&amp;$G$18), COUNT(Date_List)-20+$I$18+A21, MATCH("adj close", Price_Header,0))</f>
        <v>285.57998700000002</v>
      </c>
      <c r="H21" s="121">
        <f t="shared" ref="H21:H30" ca="1" si="6">INDEX(INDIRECT("tbl_"&amp;$G$18), COUNT(Date_List)-20+$I$18+A21, MATCH("volume", Price_Header,0))/1000</f>
        <v>4174.8999999999996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44090</v>
      </c>
      <c r="C22" s="119">
        <f t="shared" ca="1" si="1"/>
        <v>285.60998499999999</v>
      </c>
      <c r="D22" s="119">
        <f t="shared" ca="1" si="2"/>
        <v>286.57998700000002</v>
      </c>
      <c r="E22" s="119">
        <f t="shared" ca="1" si="3"/>
        <v>280.67999300000002</v>
      </c>
      <c r="F22" s="119">
        <f t="shared" ca="1" si="4"/>
        <v>281.63000499999998</v>
      </c>
      <c r="G22" s="119">
        <f t="shared" ca="1" si="5"/>
        <v>281.63000499999998</v>
      </c>
      <c r="H22" s="121">
        <f t="shared" ca="1" si="6"/>
        <v>3379.1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44091</v>
      </c>
      <c r="C23" s="119">
        <f t="shared" ca="1" si="1"/>
        <v>277.91000400000001</v>
      </c>
      <c r="D23" s="119">
        <f t="shared" ca="1" si="2"/>
        <v>282.72000100000002</v>
      </c>
      <c r="E23" s="119">
        <f t="shared" ca="1" si="3"/>
        <v>276.959991</v>
      </c>
      <c r="F23" s="119">
        <f t="shared" ca="1" si="4"/>
        <v>279.959991</v>
      </c>
      <c r="G23" s="119">
        <f t="shared" ca="1" si="5"/>
        <v>279.959991</v>
      </c>
      <c r="H23" s="121">
        <f t="shared" ca="1" si="6"/>
        <v>3055.8809999999999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44092</v>
      </c>
      <c r="C24" s="119">
        <f t="shared" ca="1" si="1"/>
        <v>278.41000000000003</v>
      </c>
      <c r="D24" s="119">
        <f t="shared" ca="1" si="2"/>
        <v>279.83</v>
      </c>
      <c r="E24" s="119">
        <f t="shared" ca="1" si="3"/>
        <v>270.81</v>
      </c>
      <c r="F24" s="119">
        <f t="shared" ca="1" si="4"/>
        <v>275.19</v>
      </c>
      <c r="G24" s="119">
        <f t="shared" ca="1" si="5"/>
        <v>275.19</v>
      </c>
      <c r="H24" s="121">
        <f t="shared" ca="1" si="6"/>
        <v>6072.9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44095</v>
      </c>
      <c r="C25" s="119">
        <f t="shared" ca="1" si="1"/>
        <v>271.87</v>
      </c>
      <c r="D25" s="119">
        <f t="shared" ca="1" si="2"/>
        <v>272.89999999999998</v>
      </c>
      <c r="E25" s="119">
        <f t="shared" ca="1" si="3"/>
        <v>266.52999999999997</v>
      </c>
      <c r="F25" s="119">
        <f t="shared" ca="1" si="4"/>
        <v>272.35000000000002</v>
      </c>
      <c r="G25" s="119">
        <f t="shared" ca="1" si="5"/>
        <v>272.35000000000002</v>
      </c>
      <c r="H25" s="121">
        <f t="shared" ca="1" si="6"/>
        <v>3548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44096</v>
      </c>
      <c r="C26" s="119">
        <f t="shared" ca="1" si="1"/>
        <v>271.68</v>
      </c>
      <c r="D26" s="119">
        <f t="shared" ca="1" si="2"/>
        <v>273.52</v>
      </c>
      <c r="E26" s="119">
        <f t="shared" ca="1" si="3"/>
        <v>270.63</v>
      </c>
      <c r="F26" s="119">
        <f t="shared" ca="1" si="4"/>
        <v>273.31</v>
      </c>
      <c r="G26" s="119">
        <f t="shared" ca="1" si="5"/>
        <v>273.31</v>
      </c>
      <c r="H26" s="121">
        <f t="shared" ca="1" si="6"/>
        <v>2967.9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44097</v>
      </c>
      <c r="C27" s="119">
        <f t="shared" ca="1" si="1"/>
        <v>275.42</v>
      </c>
      <c r="D27" s="119">
        <f t="shared" ca="1" si="2"/>
        <v>276.62</v>
      </c>
      <c r="E27" s="119">
        <f t="shared" ca="1" si="3"/>
        <v>264.49</v>
      </c>
      <c r="F27" s="119">
        <f t="shared" ca="1" si="4"/>
        <v>266.55</v>
      </c>
      <c r="G27" s="119">
        <f t="shared" ca="1" si="5"/>
        <v>266.55</v>
      </c>
      <c r="H27" s="121">
        <f t="shared" ca="1" si="6"/>
        <v>4466.1000000000004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44098</v>
      </c>
      <c r="C28" s="119">
        <f t="shared" ca="1" si="1"/>
        <v>265.70999999999998</v>
      </c>
      <c r="D28" s="119">
        <f t="shared" ca="1" si="2"/>
        <v>269.7</v>
      </c>
      <c r="E28" s="119">
        <f t="shared" ca="1" si="3"/>
        <v>263.88</v>
      </c>
      <c r="F28" s="119">
        <f t="shared" ca="1" si="4"/>
        <v>265.7</v>
      </c>
      <c r="G28" s="119">
        <f t="shared" ca="1" si="5"/>
        <v>265.7</v>
      </c>
      <c r="H28" s="121">
        <f t="shared" ca="1" si="6"/>
        <v>3095.6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44099</v>
      </c>
      <c r="C29" s="119">
        <f t="shared" ca="1" si="1"/>
        <v>264.19</v>
      </c>
      <c r="D29" s="119">
        <f t="shared" ca="1" si="2"/>
        <v>270.14999999999998</v>
      </c>
      <c r="E29" s="119">
        <f t="shared" ca="1" si="3"/>
        <v>263.92</v>
      </c>
      <c r="F29" s="119">
        <f t="shared" ca="1" si="4"/>
        <v>268.55</v>
      </c>
      <c r="G29" s="119">
        <f t="shared" ca="1" si="5"/>
        <v>268.55</v>
      </c>
      <c r="H29" s="121">
        <f t="shared" ca="1" si="6"/>
        <v>2457.6999999999998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44102</v>
      </c>
      <c r="C30" s="120">
        <f t="shared" ca="1" si="1"/>
        <v>271.93</v>
      </c>
      <c r="D30" s="120">
        <f t="shared" ca="1" si="2"/>
        <v>274.22000000000003</v>
      </c>
      <c r="E30" s="120">
        <f t="shared" ca="1" si="3"/>
        <v>270.3</v>
      </c>
      <c r="F30" s="120">
        <f t="shared" ca="1" si="4"/>
        <v>272.33</v>
      </c>
      <c r="G30" s="120">
        <f t="shared" ca="1" si="5"/>
        <v>272.33</v>
      </c>
      <c r="H30" s="122">
        <f t="shared" ca="1" si="6"/>
        <v>3061.1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0F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K23"/>
  <sheetViews>
    <sheetView workbookViewId="0">
      <selection activeCell="AL21" sqref="AL21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10.7265625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HD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124.4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6220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44097</v>
      </c>
      <c r="U5" s="63">
        <f ca="1">INDEX(INDIRECT("tbl_"&amp;$U$2), COUNT(Date_List)-$W$2+$S5, MATCH("Adj Close", Price_Header,0))</f>
        <v>266.55</v>
      </c>
      <c r="V5" s="19">
        <f t="shared" ref="V5:V18" ca="1" si="1">INDEX(INDIRECT("tbl_"&amp;$U$2), COUNT(Date_List)-$W$2+$S5, MATCH("volume", Price_Header,0))/1000</f>
        <v>4466.1000000000004</v>
      </c>
      <c r="W5" s="63">
        <f t="shared" ref="W5:W18" ca="1" si="2">INDEX(INDIRECT("tbl_"&amp;$U$2), COUNT(Date_List)-$W$2+$S5, MATCH("EMA", Price_Header,0))</f>
        <v>276.75905537208826</v>
      </c>
      <c r="X5" s="64">
        <f t="shared" ref="X5:X18" ca="1" si="3">INDEX(INDIRECT("tbl_"&amp;$U$2), COUNT(Date_List)-$W$2+$S5, MATCH("RSI", Price_Header,0))</f>
        <v>33.839391979584875</v>
      </c>
      <c r="Y5" s="63">
        <f t="shared" ref="Y5:Y18" ca="1" si="4">INDEX(INDIRECT("tbl_"&amp;$U$2), COUNT(Date_List)-$W$2+$S5, MATCH("BB_Mean", Price_Header,0))</f>
        <v>275.34571457142863</v>
      </c>
      <c r="Z5" s="63">
        <f t="shared" ref="Z5:Z18" ca="1" si="5">INDEX(INDIRECT("tbl_"&amp;$U$2), COUNT(Date_List)-$W$2+$S5, MATCH("BB_upper", Price_Header,0))</f>
        <v>285.94152448278618</v>
      </c>
      <c r="AA5" s="63">
        <f t="shared" ref="AA5:AA18" ca="1" si="6">INDEX(INDIRECT("tbl_"&amp;$U$2), COUNT(Date_List)-$W$2+$S5, MATCH("BB_lower", Price_Header,0))</f>
        <v>264.74990466007108</v>
      </c>
      <c r="AB5" s="19" t="str">
        <f ca="1">TEXT(T5, "mm/dd")</f>
        <v>09/23</v>
      </c>
      <c r="AC5" s="19">
        <v>70</v>
      </c>
      <c r="AD5" s="20">
        <v>30</v>
      </c>
      <c r="AG5">
        <f>0+Dashboard!V3</f>
        <v>12</v>
      </c>
      <c r="AH5" s="8">
        <f>IF(AG5=0, DATE(2020, 9, 9),INDEX(tbl_position[], AG5, MATCH("DATE", pos_header, 0)))</f>
        <v>44099</v>
      </c>
      <c r="AI5" s="126">
        <f>IF(AG5=0, 100000, INDEX(tbl_position[Total_Net_Asset], AG5))</f>
        <v>34319.399999999994</v>
      </c>
      <c r="AJ5" s="126">
        <f>IF(AG5=0, 100000, INDEX(tbl_position[Cash_Holding], AG5))</f>
        <v>43897.299999999996</v>
      </c>
      <c r="AK5" t="str">
        <f>TEXT(AH5, "mm/dd")</f>
        <v>09/25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28.93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2893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44098</v>
      </c>
      <c r="U6" s="53">
        <f t="shared" ref="U6:U18" ca="1" si="8">INDEX(INDIRECT("tbl_"&amp;$U$2), COUNT(Date_List)-$W$2+$S6, MATCH("Adj Close", Price_Header,0))</f>
        <v>265.7</v>
      </c>
      <c r="V6" s="21">
        <f t="shared" ca="1" si="1"/>
        <v>3095.6</v>
      </c>
      <c r="W6" s="53">
        <f t="shared" ca="1" si="2"/>
        <v>275.6531498348794</v>
      </c>
      <c r="X6" s="54">
        <f t="shared" ca="1" si="3"/>
        <v>41.441428938990988</v>
      </c>
      <c r="Y6" s="53">
        <f t="shared" ca="1" si="4"/>
        <v>274.70785707142858</v>
      </c>
      <c r="Z6" s="53">
        <f t="shared" ca="1" si="5"/>
        <v>286.49719852482912</v>
      </c>
      <c r="AA6" s="53">
        <f t="shared" ca="1" si="6"/>
        <v>262.91851561802804</v>
      </c>
      <c r="AB6" s="21" t="str">
        <f t="shared" ref="AB6:AB18" ca="1" si="9">TEXT(T6, "mm/dd")</f>
        <v>09/24</v>
      </c>
      <c r="AC6" s="21">
        <v>70</v>
      </c>
      <c r="AD6" s="15">
        <v>30</v>
      </c>
      <c r="AG6" s="47">
        <f>1+Dashboard!V3</f>
        <v>13</v>
      </c>
      <c r="AH6" s="8">
        <f>IF(AG6=0, DATE(2020, 9, 9),INDEX(tbl_position[], AG6, MATCH("DATE", pos_header, 0)))</f>
        <v>44102</v>
      </c>
      <c r="AI6" s="126">
        <f>IF(AG6=0, 100000, INDEX(tbl_position[Total_Net_Asset], AG6))</f>
        <v>34382.19999999999</v>
      </c>
      <c r="AJ6" s="126">
        <f>IF(AG6=0, 100000, INDEX(tbl_position[Cash_Holding], AG6))</f>
        <v>49591.099999999991</v>
      </c>
      <c r="AK6" t="str">
        <f>TEXT(AH6, "mm/dd")</f>
        <v>09/28</v>
      </c>
    </row>
    <row r="7" spans="2:37" x14ac:dyDescent="0.35">
      <c r="B7">
        <v>3</v>
      </c>
      <c r="C7" t="str">
        <f t="shared" si="0"/>
        <v>FDX</v>
      </c>
      <c r="D7">
        <f t="shared" ca="1" si="7"/>
        <v>273.5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13675</v>
      </c>
      <c r="J7">
        <v>3</v>
      </c>
      <c r="K7" s="8">
        <f t="shared" ref="K7:K10" si="10">K6+7</f>
        <v>44097</v>
      </c>
      <c r="L7" s="8">
        <f t="shared" ref="L7:L10" si="11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2">INDEX(INDIRECT("tbl_"&amp;$U$2), COUNT(Date_List)-$W$2+$S7, 1)</f>
        <v>44099</v>
      </c>
      <c r="U7" s="53">
        <f t="shared" ca="1" si="8"/>
        <v>268.55</v>
      </c>
      <c r="V7" s="21">
        <f t="shared" ca="1" si="1"/>
        <v>2457.6999999999998</v>
      </c>
      <c r="W7" s="53">
        <f t="shared" ca="1" si="2"/>
        <v>274.94283485139147</v>
      </c>
      <c r="X7" s="54">
        <f t="shared" ca="1" si="3"/>
        <v>48.891103831628051</v>
      </c>
      <c r="Y7" s="53">
        <f t="shared" ca="1" si="4"/>
        <v>274.62857107142861</v>
      </c>
      <c r="Z7" s="53">
        <f t="shared" ca="1" si="5"/>
        <v>286.57799312369139</v>
      </c>
      <c r="AA7" s="53">
        <f t="shared" ca="1" si="6"/>
        <v>262.67914901916583</v>
      </c>
      <c r="AB7" s="21" t="str">
        <f t="shared" ca="1" si="9"/>
        <v>09/25</v>
      </c>
      <c r="AC7" s="21">
        <v>70</v>
      </c>
      <c r="AD7" s="15">
        <v>30</v>
      </c>
      <c r="AG7" s="47">
        <f>2+Dashboard!V3</f>
        <v>14</v>
      </c>
      <c r="AH7" s="8">
        <f>IF(AG7=0, DATE(2020, 9, 9),INDEX(tbl_position[], AG7, MATCH("DATE", pos_header, 0)))</f>
        <v>44103</v>
      </c>
      <c r="AI7" s="126">
        <f>IF(AG7=0, 100000, INDEX(tbl_position[Total_Net_Asset], AG7))</f>
        <v>34382.19999999999</v>
      </c>
      <c r="AJ7" s="126">
        <f>IF(AG7=0, 100000, INDEX(tbl_position[Cash_Holding], AG7))</f>
        <v>49591.099999999991</v>
      </c>
      <c r="AK7" t="str">
        <f>TEXT(AH7, "mm/dd")</f>
        <v>09/29</v>
      </c>
    </row>
    <row r="8" spans="2:37" x14ac:dyDescent="0.35">
      <c r="B8">
        <v>4</v>
      </c>
      <c r="C8" t="str">
        <f t="shared" si="0"/>
        <v>HD</v>
      </c>
      <c r="D8">
        <f t="shared" ca="1" si="7"/>
        <v>286.91000000000003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14345.500000000002</v>
      </c>
      <c r="J8">
        <v>4</v>
      </c>
      <c r="K8" s="8">
        <f t="shared" si="10"/>
        <v>44104</v>
      </c>
      <c r="L8" s="8">
        <f t="shared" si="11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2"/>
        <v>44102</v>
      </c>
      <c r="U8" s="53">
        <f t="shared" ca="1" si="8"/>
        <v>272.33</v>
      </c>
      <c r="V8" s="21">
        <f t="shared" ca="1" si="1"/>
        <v>3061.1</v>
      </c>
      <c r="W8" s="53">
        <f t="shared" ca="1" si="2"/>
        <v>274.68155136625234</v>
      </c>
      <c r="X8" s="54">
        <f t="shared" ca="1" si="3"/>
        <v>52.872910736706892</v>
      </c>
      <c r="Y8" s="53">
        <f t="shared" ca="1" si="4"/>
        <v>274.84785607142857</v>
      </c>
      <c r="Z8" s="53">
        <f t="shared" ca="1" si="5"/>
        <v>286.48138866846745</v>
      </c>
      <c r="AA8" s="53">
        <f t="shared" ca="1" si="6"/>
        <v>263.21432347438969</v>
      </c>
      <c r="AB8" s="21" t="str">
        <f t="shared" ca="1" si="9"/>
        <v>09/28</v>
      </c>
      <c r="AC8" s="21">
        <v>70</v>
      </c>
      <c r="AD8" s="15">
        <v>30</v>
      </c>
      <c r="AG8" s="47">
        <f>3+Dashboard!V3</f>
        <v>15</v>
      </c>
      <c r="AH8" s="8">
        <f>IF(AG8=0, DATE(2020, 9, 9),INDEX(tbl_position[], AG8, MATCH("DATE", pos_header, 0)))</f>
        <v>44104</v>
      </c>
      <c r="AI8" s="126">
        <f>IF(AG8=0, 100000, INDEX(tbl_position[Total_Net_Asset], AG8))</f>
        <v>34382.19999999999</v>
      </c>
      <c r="AJ8" s="126">
        <f>IF(AG8=0, 100000, INDEX(tbl_position[Cash_Holding], AG8))</f>
        <v>49591.099999999991</v>
      </c>
      <c r="AK8" t="str">
        <f t="shared" ref="AK8:AK22" si="13">TEXT(AH8, "mm/dd")</f>
        <v>09/30</v>
      </c>
    </row>
    <row r="9" spans="2:37" x14ac:dyDescent="0.35">
      <c r="B9">
        <v>5</v>
      </c>
      <c r="C9" t="str">
        <f t="shared" si="0"/>
        <v>IBM</v>
      </c>
      <c r="D9">
        <f t="shared" ca="1" si="7"/>
        <v>127.21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12721</v>
      </c>
      <c r="J9">
        <v>5</v>
      </c>
      <c r="K9" s="8">
        <f t="shared" si="10"/>
        <v>44111</v>
      </c>
      <c r="L9" s="8">
        <f t="shared" si="11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12980.17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24.65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2"/>
        <v>44103</v>
      </c>
      <c r="U9" s="53">
        <f t="shared" ca="1" si="8"/>
        <v>272.11</v>
      </c>
      <c r="V9" s="21">
        <f t="shared" ca="1" si="1"/>
        <v>2048.9</v>
      </c>
      <c r="W9" s="53">
        <f t="shared" ca="1" si="2"/>
        <v>274.42439622962712</v>
      </c>
      <c r="X9" s="54">
        <f t="shared" ca="1" si="3"/>
        <v>44.626102674301507</v>
      </c>
      <c r="Y9" s="53">
        <f t="shared" ca="1" si="4"/>
        <v>274.49571257142856</v>
      </c>
      <c r="Z9" s="53">
        <f t="shared" ca="1" si="5"/>
        <v>286.14185769809552</v>
      </c>
      <c r="AA9" s="53">
        <f t="shared" ca="1" si="6"/>
        <v>262.84956744476159</v>
      </c>
      <c r="AB9" s="21" t="str">
        <f t="shared" ca="1" si="9"/>
        <v>09/29</v>
      </c>
      <c r="AC9" s="21">
        <v>70</v>
      </c>
      <c r="AD9" s="15">
        <v>30</v>
      </c>
      <c r="AG9" s="47">
        <f>4+Dashboard!V3</f>
        <v>16</v>
      </c>
      <c r="AH9" s="8">
        <f>IF(AG9=0, DATE(2020, 9, 9),INDEX(tbl_position[], AG9, MATCH("DATE", pos_header, 0)))</f>
        <v>44105</v>
      </c>
      <c r="AI9" s="126">
        <f>IF(AG9=0, 100000, INDEX(tbl_position[Total_Net_Asset], AG9))</f>
        <v>34382.19999999999</v>
      </c>
      <c r="AJ9" s="126">
        <f>IF(AG9=0, 100000, INDEX(tbl_position[Cash_Holding], AG9))</f>
        <v>49591.099999999991</v>
      </c>
      <c r="AK9" t="str">
        <f t="shared" si="13"/>
        <v>10/01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24.15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0"/>
        <v>44118</v>
      </c>
      <c r="L10" s="8">
        <f t="shared" si="11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2"/>
        <v>44104</v>
      </c>
      <c r="U10" s="53">
        <f t="shared" ca="1" si="8"/>
        <v>277.70999999999998</v>
      </c>
      <c r="V10" s="21">
        <f t="shared" ca="1" si="1"/>
        <v>4778.8</v>
      </c>
      <c r="W10" s="53">
        <f t="shared" ca="1" si="2"/>
        <v>274.75295660666444</v>
      </c>
      <c r="X10" s="54">
        <f t="shared" ca="1" si="3"/>
        <v>55.315077487225615</v>
      </c>
      <c r="Y10" s="53">
        <f t="shared" ca="1" si="4"/>
        <v>274.85356885714288</v>
      </c>
      <c r="Z10" s="53">
        <f t="shared" ca="1" si="5"/>
        <v>286.5697051387005</v>
      </c>
      <c r="AA10" s="53">
        <f t="shared" ca="1" si="6"/>
        <v>263.13743257558525</v>
      </c>
      <c r="AB10" s="21" t="str">
        <f t="shared" ca="1" si="9"/>
        <v>09/30</v>
      </c>
      <c r="AC10" s="21">
        <v>70</v>
      </c>
      <c r="AD10" s="15">
        <v>30</v>
      </c>
      <c r="AG10" s="47">
        <f>5+Dashboard!V3</f>
        <v>17</v>
      </c>
      <c r="AH10" s="8">
        <f>IF(AG10=0, DATE(2020, 9, 9),INDEX(tbl_position[], AG10, MATCH("DATE", pos_header, 0)))</f>
        <v>44106</v>
      </c>
      <c r="AI10" s="126">
        <f>IF(AG10=0, 100000, INDEX(tbl_position[Total_Net_Asset], AG10))</f>
        <v>34382.19999999999</v>
      </c>
      <c r="AJ10" s="126">
        <f>IF(AG10=0, 100000, INDEX(tbl_position[Cash_Holding], AG10))</f>
        <v>49591.099999999991</v>
      </c>
      <c r="AK10" t="str">
        <f t="shared" si="13"/>
        <v>10/02</v>
      </c>
    </row>
    <row r="11" spans="2:37" x14ac:dyDescent="0.3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61.46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12"/>
        <v>44105</v>
      </c>
      <c r="U11" s="53">
        <f t="shared" ca="1" si="8"/>
        <v>277.62</v>
      </c>
      <c r="V11" s="21">
        <f t="shared" ca="1" si="1"/>
        <v>2696.9</v>
      </c>
      <c r="W11" s="53">
        <f t="shared" ca="1" si="2"/>
        <v>275.03966094599798</v>
      </c>
      <c r="X11" s="54">
        <f t="shared" ca="1" si="3"/>
        <v>51.479712531228785</v>
      </c>
      <c r="Y11" s="53">
        <f t="shared" ca="1" si="4"/>
        <v>274.94571264285713</v>
      </c>
      <c r="Z11" s="53">
        <f t="shared" ca="1" si="5"/>
        <v>286.73194939465009</v>
      </c>
      <c r="AA11" s="53">
        <f t="shared" ca="1" si="6"/>
        <v>263.15947589106418</v>
      </c>
      <c r="AB11" s="21" t="str">
        <f t="shared" ca="1" si="9"/>
        <v>10/01</v>
      </c>
      <c r="AC11" s="21">
        <v>70</v>
      </c>
      <c r="AD11" s="15">
        <v>30</v>
      </c>
      <c r="AG11" s="47">
        <f>6+Dashboard!V3</f>
        <v>18</v>
      </c>
      <c r="AH11" s="8">
        <f>IF(AG11=0, DATE(2020, 9, 9),INDEX(tbl_position[], AG11, MATCH("DATE", pos_header, 0)))</f>
        <v>44109</v>
      </c>
      <c r="AI11" s="126">
        <f>IF(AG11=0, 100000, INDEX(tbl_position[Total_Net_Asset], AG11))</f>
        <v>34382.19999999999</v>
      </c>
      <c r="AJ11" s="126">
        <f>IF(AG11=0, 100000, INDEX(tbl_position[Cash_Holding], AG11))</f>
        <v>49591.099999999991</v>
      </c>
      <c r="AK11" t="str">
        <f t="shared" si="13"/>
        <v>10/05</v>
      </c>
    </row>
    <row r="12" spans="2:37" x14ac:dyDescent="0.3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3.5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12"/>
        <v>44106</v>
      </c>
      <c r="U12" s="53">
        <f t="shared" ca="1" si="8"/>
        <v>279.31</v>
      </c>
      <c r="V12" s="21">
        <f t="shared" ca="1" si="1"/>
        <v>2943.6</v>
      </c>
      <c r="W12" s="53">
        <f t="shared" ca="1" si="2"/>
        <v>275.46669485139819</v>
      </c>
      <c r="X12" s="54">
        <f t="shared" ca="1" si="3"/>
        <v>48.364264338019701</v>
      </c>
      <c r="Y12" s="53">
        <f t="shared" ca="1" si="4"/>
        <v>274.84999878571432</v>
      </c>
      <c r="Z12" s="53">
        <f t="shared" ca="1" si="5"/>
        <v>286.45709074034079</v>
      </c>
      <c r="AA12" s="53">
        <f t="shared" ca="1" si="6"/>
        <v>263.24290683108785</v>
      </c>
      <c r="AB12" s="21" t="str">
        <f t="shared" ca="1" si="9"/>
        <v>10/02</v>
      </c>
      <c r="AC12" s="21">
        <v>70</v>
      </c>
      <c r="AD12" s="15">
        <v>30</v>
      </c>
      <c r="AG12" s="47">
        <v>12</v>
      </c>
      <c r="AH12" s="8">
        <f>IF(AG12=0, DATE(2020, 9, 9),INDEX(tbl_position[], AG12, MATCH("DATE", pos_header, 0)))</f>
        <v>44099</v>
      </c>
      <c r="AI12" s="126">
        <f>IF(AG12=0, 100000, INDEX(tbl_position[Total_Net_Asset], AG12))</f>
        <v>34319.399999999994</v>
      </c>
      <c r="AJ12" s="126">
        <f>IF(AG12=0, 100000, INDEX(tbl_position[Cash_Holding], AG12))</f>
        <v>43897.299999999996</v>
      </c>
      <c r="AK12" t="str">
        <f t="shared" si="13"/>
        <v>09/25</v>
      </c>
    </row>
    <row r="13" spans="2:37" x14ac:dyDescent="0.3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4.9000000000000004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12"/>
        <v>44109</v>
      </c>
      <c r="U13" s="53">
        <f t="shared" ca="1" si="8"/>
        <v>282.10000000000002</v>
      </c>
      <c r="V13" s="21">
        <f t="shared" ca="1" si="1"/>
        <v>2328.6999999999998</v>
      </c>
      <c r="W13" s="53">
        <f t="shared" ca="1" si="2"/>
        <v>276.13002536625839</v>
      </c>
      <c r="X13" s="54">
        <f t="shared" ca="1" si="3"/>
        <v>45.517789586070705</v>
      </c>
      <c r="Y13" s="53">
        <f t="shared" ca="1" si="4"/>
        <v>274.60142828571429</v>
      </c>
      <c r="Z13" s="53">
        <f t="shared" ca="1" si="5"/>
        <v>285.33483759798071</v>
      </c>
      <c r="AA13" s="53">
        <f t="shared" ca="1" si="6"/>
        <v>263.86801897344787</v>
      </c>
      <c r="AB13" s="21" t="str">
        <f t="shared" ca="1" si="9"/>
        <v>10/05</v>
      </c>
      <c r="AC13" s="21">
        <v>70</v>
      </c>
      <c r="AD13" s="15">
        <v>30</v>
      </c>
      <c r="AG13" s="47">
        <v>13</v>
      </c>
      <c r="AH13" s="8">
        <f>IF(AG13=0, DATE(2020, 9, 9),INDEX(tbl_position[], AG13, MATCH("DATE", pos_header, 0)))</f>
        <v>44102</v>
      </c>
      <c r="AI13" s="126">
        <f>IF(AG13=0, 100000, INDEX(tbl_position[Total_Net_Asset], AG13))</f>
        <v>34382.19999999999</v>
      </c>
      <c r="AJ13" s="126">
        <f>IF(AG13=0, 100000, INDEX(tbl_position[Cash_Holding], AG13))</f>
        <v>49591.099999999991</v>
      </c>
      <c r="AK13" t="str">
        <f t="shared" si="13"/>
        <v>09/28</v>
      </c>
    </row>
    <row r="14" spans="2:37" x14ac:dyDescent="0.3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144.25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12"/>
        <v>44110</v>
      </c>
      <c r="U14" s="53">
        <f t="shared" ca="1" si="8"/>
        <v>276.47000000000003</v>
      </c>
      <c r="V14" s="21">
        <f t="shared" ca="1" si="1"/>
        <v>2992.5</v>
      </c>
      <c r="W14" s="53">
        <f t="shared" ca="1" si="2"/>
        <v>276.16402282963259</v>
      </c>
      <c r="X14" s="54">
        <f t="shared" ca="1" si="3"/>
        <v>43.629624243256295</v>
      </c>
      <c r="Y14" s="53">
        <f t="shared" ca="1" si="4"/>
        <v>274.23285649999997</v>
      </c>
      <c r="Z14" s="53">
        <f t="shared" ca="1" si="5"/>
        <v>284.25757337880719</v>
      </c>
      <c r="AA14" s="53">
        <f t="shared" ca="1" si="6"/>
        <v>264.20813962119274</v>
      </c>
      <c r="AB14" s="21" t="str">
        <f t="shared" ca="1" si="9"/>
        <v>10/06</v>
      </c>
      <c r="AC14" s="21">
        <v>70</v>
      </c>
      <c r="AD14" s="15">
        <v>30</v>
      </c>
      <c r="AG14" s="47">
        <v>14</v>
      </c>
      <c r="AH14" s="8">
        <f>IF(AG14=0, DATE(2020, 9, 9),INDEX(tbl_position[], AG14, MATCH("DATE", pos_header, 0)))</f>
        <v>44103</v>
      </c>
      <c r="AI14" s="126">
        <f>IF(AG14=0, 100000, INDEX(tbl_position[Total_Net_Asset], AG14))</f>
        <v>34382.19999999999</v>
      </c>
      <c r="AJ14" s="126">
        <f>IF(AG14=0, 100000, INDEX(tbl_position[Cash_Holding], AG14))</f>
        <v>49591.099999999991</v>
      </c>
      <c r="AK14" t="str">
        <f t="shared" si="13"/>
        <v>09/29</v>
      </c>
    </row>
    <row r="15" spans="2:37" x14ac:dyDescent="0.35">
      <c r="B15">
        <v>11</v>
      </c>
      <c r="C15" t="str">
        <f>INDEX(Symbol,B15)</f>
        <v>AMD</v>
      </c>
      <c r="D15">
        <f ca="1">INDEX(INDIRECT("tbl_"&amp;C15),COUNT(INDIRECT("tbl_"&amp;C15&amp;"[Date]")), MATCH("Adj close", Price_Header,0))</f>
        <v>84.29</v>
      </c>
      <c r="E15">
        <f>INDEX(tbl_position[], COUNT(tbl_position[Date]), MATCH("Shares_"&amp;C15, pos_header,0))</f>
        <v>0</v>
      </c>
      <c r="F15" s="61">
        <f ca="1">tbl_holdings[[#This Row],[Current Price]]*tbl_holdings[[#This Row],['# Holdings]]</f>
        <v>0</v>
      </c>
      <c r="S15" s="14">
        <v>11</v>
      </c>
      <c r="T15" s="52">
        <f t="shared" ca="1" si="12"/>
        <v>44111</v>
      </c>
      <c r="U15" s="53">
        <f t="shared" ca="1" si="8"/>
        <v>282.79000000000002</v>
      </c>
      <c r="V15" s="21">
        <f t="shared" ca="1" si="1"/>
        <v>3423.7</v>
      </c>
      <c r="W15" s="53">
        <f t="shared" ca="1" si="2"/>
        <v>276.82662054666935</v>
      </c>
      <c r="X15" s="54">
        <f t="shared" ca="1" si="3"/>
        <v>53.134008376657292</v>
      </c>
      <c r="Y15" s="53">
        <f t="shared" ca="1" si="4"/>
        <v>274.43499999999995</v>
      </c>
      <c r="Z15" s="53">
        <f t="shared" ca="1" si="5"/>
        <v>285.05372294219393</v>
      </c>
      <c r="AA15" s="53">
        <f t="shared" ca="1" si="6"/>
        <v>263.81627705780596</v>
      </c>
      <c r="AB15" s="21" t="str">
        <f t="shared" ca="1" si="9"/>
        <v>10/07</v>
      </c>
      <c r="AC15" s="21">
        <v>70</v>
      </c>
      <c r="AD15" s="15">
        <v>30</v>
      </c>
      <c r="AG15" s="47">
        <v>15</v>
      </c>
      <c r="AH15" s="8">
        <f>IF(AG15=0, DATE(2020, 9, 9),INDEX(tbl_position[], AG15, MATCH("DATE", pos_header, 0)))</f>
        <v>44104</v>
      </c>
      <c r="AI15" s="126">
        <f>IF(AG15=0, 100000, INDEX(tbl_position[Total_Net_Asset], AG15))</f>
        <v>34382.19999999999</v>
      </c>
      <c r="AJ15" s="126">
        <f>IF(AG15=0, 100000, INDEX(tbl_position[Cash_Holding], AG15))</f>
        <v>49591.099999999991</v>
      </c>
      <c r="AK15" t="str">
        <f t="shared" si="13"/>
        <v>09/30</v>
      </c>
    </row>
    <row r="16" spans="2:37" x14ac:dyDescent="0.35">
      <c r="B16">
        <v>12</v>
      </c>
      <c r="C16" t="str">
        <f>INDEX(Symbol,B16)</f>
        <v>CVX</v>
      </c>
      <c r="D16">
        <f ca="1">INDEX(INDIRECT("tbl_"&amp;C16),COUNT(INDIRECT("tbl_"&amp;C16&amp;"[Date]")), MATCH("Adj close", Price_Header,0))</f>
        <v>74.510000000000005</v>
      </c>
      <c r="E16">
        <f>INDEX(tbl_position[], COUNT(tbl_position[Date]), MATCH("Shares_"&amp;C16, pos_header,0))</f>
        <v>0</v>
      </c>
      <c r="F16" s="61">
        <f ca="1">tbl_holdings[[#This Row],[Current Price]]*tbl_holdings[[#This Row],['# Holdings]]</f>
        <v>0</v>
      </c>
      <c r="S16" s="14">
        <v>12</v>
      </c>
      <c r="T16" s="52">
        <f t="shared" ca="1" si="12"/>
        <v>44112</v>
      </c>
      <c r="U16" s="53">
        <f t="shared" ca="1" si="8"/>
        <v>284.52</v>
      </c>
      <c r="V16" s="21">
        <f t="shared" ca="1" si="1"/>
        <v>2256.1999999999998</v>
      </c>
      <c r="W16" s="53">
        <f t="shared" ca="1" si="2"/>
        <v>277.59595849200241</v>
      </c>
      <c r="X16" s="54">
        <f t="shared" ca="1" si="3"/>
        <v>61.07812871052009</v>
      </c>
      <c r="Y16" s="53">
        <f t="shared" ca="1" si="4"/>
        <v>275.10142857142853</v>
      </c>
      <c r="Z16" s="53">
        <f t="shared" ca="1" si="5"/>
        <v>287.0162618790016</v>
      </c>
      <c r="AA16" s="53">
        <f t="shared" ca="1" si="6"/>
        <v>263.18659526385545</v>
      </c>
      <c r="AB16" s="21" t="str">
        <f t="shared" ca="1" si="9"/>
        <v>10/08</v>
      </c>
      <c r="AC16" s="21">
        <v>70</v>
      </c>
      <c r="AD16" s="15">
        <v>30</v>
      </c>
      <c r="AG16" s="47">
        <v>16</v>
      </c>
      <c r="AH16" s="8">
        <f>IF(AG16=0, DATE(2020, 9, 9),INDEX(tbl_position[], AG16, MATCH("DATE", pos_header, 0)))</f>
        <v>44105</v>
      </c>
      <c r="AI16" s="126">
        <f>IF(AG16=0, 100000, INDEX(tbl_position[Total_Net_Asset], AG16))</f>
        <v>34382.19999999999</v>
      </c>
      <c r="AJ16" s="126">
        <f>IF(AG16=0, 100000, INDEX(tbl_position[Cash_Holding], AG16))</f>
        <v>49591.099999999991</v>
      </c>
      <c r="AK16" t="str">
        <f t="shared" si="13"/>
        <v>10/01</v>
      </c>
    </row>
    <row r="17" spans="2:37" x14ac:dyDescent="0.35">
      <c r="B17" t="s">
        <v>162</v>
      </c>
      <c r="F17">
        <f ca="1">SUBTOTAL(109,tbl_holdings[Total])</f>
        <v>49854.5</v>
      </c>
      <c r="S17" s="14">
        <v>13</v>
      </c>
      <c r="T17" s="52">
        <f t="shared" ca="1" si="12"/>
        <v>44113</v>
      </c>
      <c r="U17" s="53">
        <f t="shared" ca="1" si="8"/>
        <v>285.92</v>
      </c>
      <c r="V17" s="21">
        <f t="shared" ca="1" si="1"/>
        <v>2238.5</v>
      </c>
      <c r="W17" s="53">
        <f t="shared" ca="1" si="2"/>
        <v>278.4283626428022</v>
      </c>
      <c r="X17" s="54">
        <f t="shared" ca="1" si="3"/>
        <v>66.683058765674986</v>
      </c>
      <c r="Y17" s="53">
        <f t="shared" ca="1" si="4"/>
        <v>276.07071428571425</v>
      </c>
      <c r="Z17" s="53">
        <f t="shared" ca="1" si="5"/>
        <v>289.17031490037942</v>
      </c>
      <c r="AA17" s="53">
        <f t="shared" ca="1" si="6"/>
        <v>262.97111367104907</v>
      </c>
      <c r="AB17" s="21" t="str">
        <f t="shared" ca="1" si="9"/>
        <v>10/09</v>
      </c>
      <c r="AC17" s="21">
        <v>70</v>
      </c>
      <c r="AD17" s="15">
        <v>30</v>
      </c>
      <c r="AG17" s="47">
        <v>17</v>
      </c>
      <c r="AH17" s="8">
        <f>IF(AG17=0, DATE(2020, 9, 9),INDEX(tbl_position[], AG17, MATCH("DATE", pos_header, 0)))</f>
        <v>44106</v>
      </c>
      <c r="AI17" s="126">
        <f>IF(AG17=0, 100000, INDEX(tbl_position[Total_Net_Asset], AG17))</f>
        <v>34382.19999999999</v>
      </c>
      <c r="AJ17" s="126">
        <f>IF(AG17=0, 100000, INDEX(tbl_position[Cash_Holding], AG17))</f>
        <v>49591.099999999991</v>
      </c>
      <c r="AK17" t="str">
        <f t="shared" si="13"/>
        <v>10/02</v>
      </c>
    </row>
    <row r="18" spans="2:37" ht="15" thickBot="1" x14ac:dyDescent="0.4">
      <c r="S18" s="16">
        <v>14</v>
      </c>
      <c r="T18" s="55">
        <f t="shared" ca="1" si="12"/>
        <v>44116</v>
      </c>
      <c r="U18" s="56">
        <f t="shared" ca="1" si="8"/>
        <v>286.91000000000003</v>
      </c>
      <c r="V18" s="22">
        <f t="shared" ca="1" si="1"/>
        <v>2411.9</v>
      </c>
      <c r="W18" s="56">
        <f t="shared" ca="1" si="2"/>
        <v>279.27652637852196</v>
      </c>
      <c r="X18" s="57">
        <f t="shared" ca="1" si="3"/>
        <v>66.707616707616765</v>
      </c>
      <c r="Y18" s="56">
        <f t="shared" ca="1" si="4"/>
        <v>277.04214285714284</v>
      </c>
      <c r="Z18" s="56">
        <f t="shared" ca="1" si="5"/>
        <v>291.23158243749259</v>
      </c>
      <c r="AA18" s="56">
        <f t="shared" ca="1" si="6"/>
        <v>262.85270327679308</v>
      </c>
      <c r="AB18" s="22" t="str">
        <f t="shared" ca="1" si="9"/>
        <v>10/12</v>
      </c>
      <c r="AC18" s="22">
        <v>70</v>
      </c>
      <c r="AD18" s="17">
        <v>30</v>
      </c>
      <c r="AG18" s="47">
        <v>18</v>
      </c>
      <c r="AH18" s="8">
        <f>IF(AG18=0, DATE(2020, 9, 9),INDEX(tbl_position[], AG18, MATCH("DATE", pos_header, 0)))</f>
        <v>44109</v>
      </c>
      <c r="AI18" s="126">
        <f>IF(AG18=0, 100000, INDEX(tbl_position[Total_Net_Asset], AG18))</f>
        <v>34382.19999999999</v>
      </c>
      <c r="AJ18" s="126">
        <f>IF(AG18=0, 100000, INDEX(tbl_position[Cash_Holding], AG18))</f>
        <v>49591.099999999991</v>
      </c>
      <c r="AK18" t="str">
        <f t="shared" si="13"/>
        <v>10/05</v>
      </c>
    </row>
    <row r="19" spans="2:37" x14ac:dyDescent="0.3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47">
        <v>19</v>
      </c>
      <c r="AH19" s="8">
        <f>IF(AG19=0, DATE(2020, 9, 9),INDEX(tbl_position[], AG19, MATCH("DATE", pos_header, 0)))</f>
        <v>44110</v>
      </c>
      <c r="AI19" s="126">
        <f>IF(AG19=0, 100000, INDEX(tbl_position[Total_Net_Asset], AG19))</f>
        <v>34382.19999999999</v>
      </c>
      <c r="AJ19" s="126">
        <f>IF(AG19=0, 100000, INDEX(tbl_position[Cash_Holding], AG19))</f>
        <v>49591.099999999991</v>
      </c>
      <c r="AK19" t="str">
        <f t="shared" si="13"/>
        <v>10/06</v>
      </c>
    </row>
    <row r="20" spans="2:37" x14ac:dyDescent="0.3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47">
        <v>20</v>
      </c>
      <c r="AH20" s="8">
        <f>IF(AG20=0, DATE(2020, 9, 9),INDEX(tbl_position[], AG20, MATCH("DATE", pos_header, 0)))</f>
        <v>44111</v>
      </c>
      <c r="AI20" s="126">
        <f ca="1">IF(AG20=0, 100000, INDEX(tbl_position[Total_Net_Asset], AG20))</f>
        <v>103089.7</v>
      </c>
      <c r="AJ20" s="126">
        <f>IF(AG20=0, 100000, INDEX(tbl_position[Cash_Holding], AG20))</f>
        <v>36635.599999999991</v>
      </c>
      <c r="AK20" t="str">
        <f t="shared" si="13"/>
        <v>10/07</v>
      </c>
    </row>
    <row r="21" spans="2:37" x14ac:dyDescent="0.35">
      <c r="AG21" s="47">
        <v>21</v>
      </c>
      <c r="AH21" s="8">
        <f>IF(AG21=0, DATE(2020, 9, 9),INDEX(tbl_position[], AG21, MATCH("DATE", pos_header, 0)))</f>
        <v>44112</v>
      </c>
      <c r="AI21" s="126">
        <f ca="1">IF(AG21=0, 100000, INDEX(tbl_position[Total_Net_Asset], AG21))</f>
        <v>90876.2</v>
      </c>
      <c r="AJ21" s="126">
        <f>IF(AG21=0, 100000, INDEX(tbl_position[Cash_Holding], AG21))</f>
        <v>36635.599999999991</v>
      </c>
      <c r="AK21" t="str">
        <f t="shared" si="13"/>
        <v>10/08</v>
      </c>
    </row>
    <row r="22" spans="2:37" x14ac:dyDescent="0.35">
      <c r="AG22" s="47">
        <v>22</v>
      </c>
      <c r="AH22" s="8">
        <f>IF(AG22=0, DATE(2020, 9, 9),INDEX(tbl_position[], AG22, MATCH("DATE", pos_header, 0)))</f>
        <v>44113</v>
      </c>
      <c r="AI22" s="126">
        <f ca="1">IF(AG22=0, 100000, INDEX(tbl_position[Total_Net_Asset], AG22))</f>
        <v>90559.679999999993</v>
      </c>
      <c r="AJ22" s="126">
        <f>IF(AG22=0, 100000, INDEX(tbl_position[Cash_Holding], AG22))</f>
        <v>36635.579999999994</v>
      </c>
      <c r="AK22" t="str">
        <f t="shared" si="13"/>
        <v>10/09</v>
      </c>
    </row>
    <row r="23" spans="2:37" x14ac:dyDescent="0.35">
      <c r="AG23" s="47">
        <v>23</v>
      </c>
      <c r="AH23" s="8">
        <f>IF(AG23=0, DATE(2020, 9, 9),INDEX(tbl_position[], AG23, MATCH("DATE", pos_header, 0)))</f>
        <v>44116</v>
      </c>
      <c r="AI23" s="126">
        <f ca="1">IF(AG23=0, 100000, INDEX(tbl_position[Total_Net_Asset], AG23))</f>
        <v>91032.18</v>
      </c>
      <c r="AJ23" s="126">
        <f>IF(AG23=0, 100000, INDEX(tbl_position[Cash_Holding], AG23))</f>
        <v>36635.579999999994</v>
      </c>
      <c r="AK23" t="str">
        <f t="shared" ref="AK23" si="14">TEXT(AH23, "mm/dd")</f>
        <v>10/12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Q4"/>
  <sheetViews>
    <sheetView topLeftCell="A4" workbookViewId="0">
      <selection activeCell="M28" sqref="M28"/>
    </sheetView>
  </sheetViews>
  <sheetFormatPr defaultRowHeight="14.5" x14ac:dyDescent="0.35"/>
  <sheetData>
    <row r="3" spans="2:17" ht="15.5" x14ac:dyDescent="0.3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5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8"/>
  <sheetViews>
    <sheetView workbookViewId="0">
      <selection activeCell="I8" sqref="I8"/>
    </sheetView>
  </sheetViews>
  <sheetFormatPr defaultRowHeight="14.5" x14ac:dyDescent="0.35"/>
  <sheetData>
    <row r="2" spans="1:11" x14ac:dyDescent="0.35">
      <c r="A2" s="1" t="s">
        <v>305</v>
      </c>
    </row>
    <row r="4" spans="1:11" x14ac:dyDescent="0.35">
      <c r="A4" t="s">
        <v>306</v>
      </c>
      <c r="J4" s="130"/>
      <c r="K4" s="132"/>
    </row>
    <row r="5" spans="1:11" x14ac:dyDescent="0.35">
      <c r="A5" t="s">
        <v>307</v>
      </c>
      <c r="F5" s="130"/>
      <c r="G5" s="132"/>
    </row>
    <row r="6" spans="1:11" x14ac:dyDescent="0.35">
      <c r="A6" t="s">
        <v>308</v>
      </c>
      <c r="I6" s="130"/>
      <c r="J6" s="132"/>
    </row>
    <row r="7" spans="1:11" x14ac:dyDescent="0.35">
      <c r="A7" t="s">
        <v>309</v>
      </c>
    </row>
    <row r="8" spans="1:11" x14ac:dyDescent="0.35">
      <c r="A8" t="s">
        <v>310</v>
      </c>
      <c r="H8" s="130"/>
      <c r="I8" s="1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topLeftCell="A44" workbookViewId="0">
      <selection activeCell="G64" sqref="G64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217</v>
      </c>
      <c r="B58" t="s">
        <v>311</v>
      </c>
      <c r="C58" t="s">
        <v>311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35">
      <c r="A59" t="s">
        <v>312</v>
      </c>
      <c r="B59" t="s">
        <v>313</v>
      </c>
      <c r="C59" t="s">
        <v>313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35">
      <c r="A60" t="s">
        <v>217</v>
      </c>
      <c r="B60" t="s">
        <v>314</v>
      </c>
      <c r="C60" t="s">
        <v>314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35">
      <c r="A61" t="s">
        <v>217</v>
      </c>
      <c r="B61" t="s">
        <v>315</v>
      </c>
      <c r="C61" t="s">
        <v>315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35">
      <c r="A62" t="s">
        <v>217</v>
      </c>
      <c r="B62" t="s">
        <v>316</v>
      </c>
      <c r="C62" t="s">
        <v>316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35">
      <c r="A63" t="s">
        <v>217</v>
      </c>
      <c r="B63" t="s">
        <v>316</v>
      </c>
      <c r="C63" t="s">
        <v>316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35">
      <c r="A64" t="s">
        <v>162</v>
      </c>
      <c r="B64">
        <f>SUBTOTAL(103,tbl_transaction[Order Date])</f>
        <v>59</v>
      </c>
      <c r="P64" s="11">
        <f>SUBTOTAL(109,tbl_transaction[Net_Cash_Change])</f>
        <v>-63364.420000000006</v>
      </c>
      <c r="S64" s="47">
        <f>SUBTOTAL(109,tbl_transaction[Stock Holding Change])</f>
        <v>500</v>
      </c>
    </row>
  </sheetData>
  <dataValidations count="3">
    <dataValidation type="list" allowBlank="1" showInputMessage="1" showErrorMessage="1" sqref="D5:D63" xr:uid="{00000000-0002-0000-0200-000000000000}">
      <formula1>Transactions</formula1>
    </dataValidation>
    <dataValidation type="list" allowBlank="1" showInputMessage="1" showErrorMessage="1" sqref="A5:A63" xr:uid="{00000000-0002-0000-0200-000001000000}">
      <formula1>Symbol</formula1>
    </dataValidation>
    <dataValidation type="whole" allowBlank="1" showInputMessage="1" showErrorMessage="1" sqref="F5:F63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5"/>
  <sheetViews>
    <sheetView workbookViewId="0">
      <selection activeCell="A16" sqref="A16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  <row r="14" spans="1:9" x14ac:dyDescent="0.35">
      <c r="A14" t="s">
        <v>312</v>
      </c>
    </row>
    <row r="15" spans="1:9" x14ac:dyDescent="0.35">
      <c r="A15" t="s">
        <v>321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8"/>
  <sheetViews>
    <sheetView topLeftCell="S7" workbookViewId="0">
      <selection activeCell="X11" sqref="X11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453125" customWidth="1"/>
    <col min="11" max="11" width="13.1796875" customWidth="1"/>
    <col min="12" max="12" width="14.54296875" customWidth="1"/>
    <col min="13" max="13" width="15.54296875" customWidth="1"/>
    <col min="14" max="14" width="12.54296875" customWidth="1"/>
    <col min="15" max="15" width="16.7265625" customWidth="1"/>
    <col min="16" max="16" width="15.54296875" customWidth="1"/>
    <col min="17" max="21" width="16.453125" customWidth="1"/>
    <col min="22" max="22" width="16.81640625" customWidth="1"/>
    <col min="23" max="23" width="15.453125" customWidth="1"/>
    <col min="24" max="24" width="15.81640625" customWidth="1"/>
    <col min="25" max="25" width="17.453125" customWidth="1"/>
    <col min="26" max="26" width="11.81640625" customWidth="1"/>
    <col min="27" max="27" width="13" customWidth="1"/>
    <col min="28" max="28" width="11.26953125" customWidth="1"/>
    <col min="29" max="29" width="11.7265625" customWidth="1"/>
  </cols>
  <sheetData>
    <row r="1" spans="1:29" ht="21" x14ac:dyDescent="0.5">
      <c r="A1" s="41" t="s">
        <v>126</v>
      </c>
      <c r="B1" s="41"/>
      <c r="C1" s="41"/>
      <c r="D1" s="41"/>
      <c r="E1" s="41"/>
    </row>
    <row r="2" spans="1:29" ht="15.5" x14ac:dyDescent="0.35">
      <c r="A2" t="s">
        <v>127</v>
      </c>
    </row>
    <row r="4" spans="1:29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317</v>
      </c>
      <c r="M4" t="s">
        <v>322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  <c r="T4" t="s">
        <v>246</v>
      </c>
      <c r="U4" t="s">
        <v>247</v>
      </c>
      <c r="V4" t="s">
        <v>248</v>
      </c>
      <c r="W4" t="s">
        <v>249</v>
      </c>
      <c r="X4" t="s">
        <v>318</v>
      </c>
      <c r="Y4" t="s">
        <v>323</v>
      </c>
      <c r="Z4" t="s">
        <v>71</v>
      </c>
      <c r="AA4" t="s">
        <v>72</v>
      </c>
      <c r="AB4" t="s">
        <v>165</v>
      </c>
      <c r="AC4" t="s">
        <v>167</v>
      </c>
    </row>
    <row r="5" spans="1:29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/>
      <c r="M5" s="10"/>
      <c r="N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$N4)</f>
        <v>150</v>
      </c>
      <c r="O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$O4)</f>
        <v>1500</v>
      </c>
      <c r="P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$P4)</f>
        <v>50</v>
      </c>
      <c r="Q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$U4)</f>
        <v>0</v>
      </c>
      <c r="V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$V4)</f>
        <v>0</v>
      </c>
      <c r="W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$W4)</f>
        <v>0</v>
      </c>
      <c r="X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$W4)</f>
        <v>0</v>
      </c>
      <c r="Y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$W4)</f>
        <v>0</v>
      </c>
      <c r="Z5" s="10"/>
      <c r="AA5" s="10">
        <f>SUMIFS(tbl_transaction[Net_Cash_Change], tbl_transaction[Transaction_Date],tbl_position[[#This Row],[Date]])+IF(tbl_position[[#This Row],[Date]]=$A$5, 100000, $AA4)</f>
        <v>63721.5</v>
      </c>
      <c r="AB5" s="11">
        <f>SUMIFS(tbl_transaction[Net_Debt_Change], tbl_transaction[Transaction_Date],tbl_position[[#This Row],[Date]])+IF(tbl_position[[#This Row],[Date]]=$A$5, 0, $AB4)</f>
        <v>0</v>
      </c>
      <c r="AC5" s="48">
        <f>tbl_position[[#This Row],[Shares_Holding]]+tbl_position[[#This Row],[Cash_Holding]]-tbl_position[[#This Row],[Liabilities_Holding]]</f>
        <v>63721.5</v>
      </c>
    </row>
    <row r="6" spans="1:29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/>
      <c r="M6" s="10"/>
      <c r="N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$N5)</f>
        <v>100</v>
      </c>
      <c r="O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$O5)</f>
        <v>1000</v>
      </c>
      <c r="P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$P5)</f>
        <v>50</v>
      </c>
      <c r="Q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$Q5)</f>
        <v>0</v>
      </c>
      <c r="R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$S5)</f>
        <v>100</v>
      </c>
      <c r="T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$U5)</f>
        <v>0</v>
      </c>
      <c r="V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$V5)</f>
        <v>0</v>
      </c>
      <c r="W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$W5)</f>
        <v>0</v>
      </c>
      <c r="X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$W5)</f>
        <v>0</v>
      </c>
      <c r="Y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$W5)</f>
        <v>0</v>
      </c>
      <c r="Z6" s="10"/>
      <c r="AA6" s="10">
        <f>SUMIFS(tbl_transaction[Net_Cash_Change], tbl_transaction[Transaction_Date],tbl_position[[#This Row],[Date]])+IF(tbl_position[[#This Row],[Date]]=$A$5, 100000, $AA5)</f>
        <v>65134</v>
      </c>
      <c r="AB6" s="11">
        <f>SUMIFS(tbl_transaction[Net_Debt_Change], tbl_transaction[Transaction_Date],tbl_position[[#This Row],[Date]])+IF(tbl_position[[#This Row],[Date]]=$A$5, 0, $AB5)</f>
        <v>-34</v>
      </c>
      <c r="AC6" s="48">
        <f>tbl_position[[#This Row],[Shares_Holding]]+tbl_position[[#This Row],[Cash_Holding]]-tbl_position[[#This Row],[Liabilities_Holding]]</f>
        <v>65168</v>
      </c>
    </row>
    <row r="7" spans="1:29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/>
      <c r="M7" s="10"/>
      <c r="N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$N6)</f>
        <v>100</v>
      </c>
      <c r="O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$O6)</f>
        <v>1000</v>
      </c>
      <c r="P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$P6)</f>
        <v>50</v>
      </c>
      <c r="Q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$T6)</f>
        <v>0</v>
      </c>
      <c r="U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$U6)</f>
        <v>0</v>
      </c>
      <c r="V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$V6)</f>
        <v>250</v>
      </c>
      <c r="W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$W6)</f>
        <v>0</v>
      </c>
      <c r="X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$W6)</f>
        <v>0</v>
      </c>
      <c r="Y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$W6)</f>
        <v>0</v>
      </c>
      <c r="Z7" s="10"/>
      <c r="AA7" s="10">
        <f>SUMIFS(tbl_transaction[Net_Cash_Change], tbl_transaction[Transaction_Date],tbl_position[[#This Row],[Date]])+IF(tbl_position[[#This Row],[Date]]=$A$5, 100000, $AA6)</f>
        <v>62700.2</v>
      </c>
      <c r="AB7" s="11">
        <f>SUMIFS(tbl_transaction[Net_Debt_Change], tbl_transaction[Transaction_Date],tbl_position[[#This Row],[Date]])+IF(tbl_position[[#This Row],[Date]]=$A$5, 0, $AB6)</f>
        <v>-450</v>
      </c>
      <c r="AC7" s="48">
        <f>tbl_position[[#This Row],[Shares_Holding]]+tbl_position[[#This Row],[Cash_Holding]]-tbl_position[[#This Row],[Liabilities_Holding]]</f>
        <v>63150.2</v>
      </c>
    </row>
    <row r="8" spans="1:29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/>
      <c r="M8" s="10"/>
      <c r="N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$N7)</f>
        <v>100</v>
      </c>
      <c r="O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$O7)</f>
        <v>1000</v>
      </c>
      <c r="P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$P7)</f>
        <v>50</v>
      </c>
      <c r="Q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$T7)</f>
        <v>0</v>
      </c>
      <c r="U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$U7)</f>
        <v>0</v>
      </c>
      <c r="V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$V7)</f>
        <v>250</v>
      </c>
      <c r="W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$W7)</f>
        <v>0</v>
      </c>
      <c r="X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$W7)</f>
        <v>0</v>
      </c>
      <c r="Y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$W7)</f>
        <v>0</v>
      </c>
      <c r="Z8" s="10"/>
      <c r="AA8" s="10">
        <f>SUMIFS(tbl_transaction[Net_Cash_Change], tbl_transaction[Transaction_Date],tbl_position[[#This Row],[Date]])+IF(tbl_position[[#This Row],[Date]]=$A$5, 100000, $AA7)</f>
        <v>62700.2</v>
      </c>
      <c r="AB8" s="11">
        <f>SUMIFS(tbl_transaction[Net_Debt_Change], tbl_transaction[Transaction_Date],tbl_position[[#This Row],[Date]])+IF(tbl_position[[#This Row],[Date]]=$A$5, 0, $AB7)</f>
        <v>-450</v>
      </c>
      <c r="AC8" s="48">
        <f>tbl_position[[#This Row],[Shares_Holding]]+tbl_position[[#This Row],[Cash_Holding]]-tbl_position[[#This Row],[Liabilities_Holding]]</f>
        <v>63150.2</v>
      </c>
    </row>
    <row r="9" spans="1:29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/>
      <c r="M9" s="10"/>
      <c r="N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$N8)</f>
        <v>100</v>
      </c>
      <c r="O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$P8)</f>
        <v>50</v>
      </c>
      <c r="Q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$R8)</f>
        <v>100</v>
      </c>
      <c r="S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$T8)</f>
        <v>0</v>
      </c>
      <c r="U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$U8)</f>
        <v>0</v>
      </c>
      <c r="V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$V8)</f>
        <v>200</v>
      </c>
      <c r="W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$W8)</f>
        <v>0</v>
      </c>
      <c r="X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$W8)</f>
        <v>0</v>
      </c>
      <c r="Y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$W8)</f>
        <v>0</v>
      </c>
      <c r="Z9" s="10"/>
      <c r="AA9" s="10">
        <f>SUMIFS(tbl_transaction[Net_Cash_Change], tbl_transaction[Transaction_Date],tbl_position[[#This Row],[Date]])+IF(tbl_position[[#This Row],[Date]]=$A$5, 100000, $AA8)</f>
        <v>61575.199999999997</v>
      </c>
      <c r="AB9" s="11">
        <f>SUMIFS(tbl_transaction[Net_Debt_Change], tbl_transaction[Transaction_Date],tbl_position[[#This Row],[Date]])+IF(tbl_position[[#This Row],[Date]]=$A$5, 0, $AB8)</f>
        <v>6192.4</v>
      </c>
      <c r="AC9" s="48">
        <f>tbl_position[[#This Row],[Shares_Holding]]+tbl_position[[#This Row],[Cash_Holding]]-tbl_position[[#This Row],[Liabilities_Holding]]</f>
        <v>55382.799999999996</v>
      </c>
    </row>
    <row r="10" spans="1:29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/>
      <c r="M10" s="10"/>
      <c r="N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$N9)</f>
        <v>100</v>
      </c>
      <c r="O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$P9)</f>
        <v>50</v>
      </c>
      <c r="Q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$T9)</f>
        <v>100</v>
      </c>
      <c r="U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$U9)</f>
        <v>0</v>
      </c>
      <c r="V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$V9)</f>
        <v>0</v>
      </c>
      <c r="W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$W9)</f>
        <v>1000</v>
      </c>
      <c r="X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$W9)</f>
        <v>0</v>
      </c>
      <c r="Y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$W9)</f>
        <v>0</v>
      </c>
      <c r="Z10" s="10"/>
      <c r="AA10" s="10">
        <f>SUMIFS(tbl_transaction[Net_Cash_Change], tbl_transaction[Transaction_Date],tbl_position[[#This Row],[Date]])+IF(tbl_position[[#This Row],[Date]]=$A$5, 100000, $AA9)</f>
        <v>57949.2</v>
      </c>
      <c r="AB10" s="11">
        <f>SUMIFS(tbl_transaction[Net_Debt_Change], tbl_transaction[Transaction_Date],tbl_position[[#This Row],[Date]])+IF(tbl_position[[#This Row],[Date]]=$A$5, 0, $AB9)</f>
        <v>5492.9</v>
      </c>
      <c r="AC10" s="48">
        <f>tbl_position[[#This Row],[Shares_Holding]]+tbl_position[[#This Row],[Cash_Holding]]-tbl_position[[#This Row],[Liabilities_Holding]]</f>
        <v>52456.299999999996</v>
      </c>
    </row>
    <row r="11" spans="1:29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/>
      <c r="M11" s="10"/>
      <c r="N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$P10)</f>
        <v>50</v>
      </c>
      <c r="Q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$T10)</f>
        <v>100</v>
      </c>
      <c r="U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$U10)</f>
        <v>0</v>
      </c>
      <c r="V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$V10)</f>
        <v>0</v>
      </c>
      <c r="W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$W10)</f>
        <v>0</v>
      </c>
      <c r="X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$W10)</f>
        <v>1000</v>
      </c>
      <c r="Y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$W10)</f>
        <v>1000</v>
      </c>
      <c r="Z11" s="10"/>
      <c r="AA11" s="10">
        <f>SUMIFS(tbl_transaction[Net_Cash_Change], tbl_transaction[Transaction_Date],tbl_position[[#This Row],[Date]])+IF(tbl_position[[#This Row],[Date]]=$A$5, 100000, $AA10)</f>
        <v>63351.7</v>
      </c>
      <c r="AB11" s="11">
        <f>SUMIFS(tbl_transaction[Net_Debt_Change], tbl_transaction[Transaction_Date],tbl_position[[#This Row],[Date]])+IF(tbl_position[[#This Row],[Date]]=$A$5, 0, $AB10)</f>
        <v>-407.10000000000036</v>
      </c>
      <c r="AC11" s="48">
        <f>tbl_position[[#This Row],[Shares_Holding]]+tbl_position[[#This Row],[Cash_Holding]]-tbl_position[[#This Row],[Liabilities_Holding]]</f>
        <v>63758.799999999996</v>
      </c>
    </row>
    <row r="12" spans="1:29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/>
      <c r="M12" s="10"/>
      <c r="N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$P11)</f>
        <v>50</v>
      </c>
      <c r="Q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$T11)</f>
        <v>100</v>
      </c>
      <c r="U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$U11)</f>
        <v>0</v>
      </c>
      <c r="V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$V11)</f>
        <v>0</v>
      </c>
      <c r="W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$W11)</f>
        <v>4000</v>
      </c>
      <c r="X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$W11)</f>
        <v>0</v>
      </c>
      <c r="Y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$W11)</f>
        <v>0</v>
      </c>
      <c r="Z12" s="10"/>
      <c r="AA12" s="10">
        <f>SUMIFS(tbl_transaction[Net_Cash_Change], tbl_transaction[Transaction_Date],tbl_position[[#This Row],[Date]])+IF(tbl_position[[#This Row],[Date]]=$A$5, 100000, $AA11)</f>
        <v>37751.699999999997</v>
      </c>
      <c r="AB12" s="11">
        <f>SUMIFS(tbl_transaction[Net_Debt_Change], tbl_transaction[Transaction_Date],tbl_position[[#This Row],[Date]])+IF(tbl_position[[#This Row],[Date]]=$A$5, 0, $AB11)</f>
        <v>-407.10000000000036</v>
      </c>
      <c r="AC12" s="48">
        <f>tbl_position[[#This Row],[Shares_Holding]]+tbl_position[[#This Row],[Cash_Holding]]-tbl_position[[#This Row],[Liabilities_Holding]]</f>
        <v>38158.799999999996</v>
      </c>
    </row>
    <row r="13" spans="1:29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/>
      <c r="M13" s="10"/>
      <c r="N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$P12)</f>
        <v>50</v>
      </c>
      <c r="Q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$T12)</f>
        <v>100</v>
      </c>
      <c r="U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$U12)</f>
        <v>0</v>
      </c>
      <c r="V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$V12)</f>
        <v>0</v>
      </c>
      <c r="W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$W12)</f>
        <v>2000</v>
      </c>
      <c r="X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$W12)</f>
        <v>4000</v>
      </c>
      <c r="Y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$W12)</f>
        <v>4000</v>
      </c>
      <c r="Z13" s="10"/>
      <c r="AA13" s="10">
        <f>SUMIFS(tbl_transaction[Net_Cash_Change], tbl_transaction[Transaction_Date],tbl_position[[#This Row],[Date]])+IF(tbl_position[[#This Row],[Date]]=$A$5, 100000, $AA12)</f>
        <v>50051.7</v>
      </c>
      <c r="AB13" s="11">
        <f>SUMIFS(tbl_transaction[Net_Debt_Change], tbl_transaction[Transaction_Date],tbl_position[[#This Row],[Date]])+IF(tbl_position[[#This Row],[Date]]=$A$5, 0, $AB12)</f>
        <v>-407.10000000000036</v>
      </c>
      <c r="AC13" s="48">
        <f>tbl_position[[#This Row],[Shares_Holding]]+tbl_position[[#This Row],[Cash_Holding]]-tbl_position[[#This Row],[Liabilities_Holding]]</f>
        <v>50458.799999999996</v>
      </c>
    </row>
    <row r="14" spans="1:29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/>
      <c r="M14" s="10"/>
      <c r="N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$P13)</f>
        <v>50</v>
      </c>
      <c r="Q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$S13)</f>
        <v>0</v>
      </c>
      <c r="T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$T13)</f>
        <v>100</v>
      </c>
      <c r="U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$U13)</f>
        <v>50</v>
      </c>
      <c r="V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$V13)</f>
        <v>0</v>
      </c>
      <c r="W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$W13)</f>
        <v>980</v>
      </c>
      <c r="X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$W13)</f>
        <v>2000</v>
      </c>
      <c r="Y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$W13)</f>
        <v>2000</v>
      </c>
      <c r="Z14" s="10"/>
      <c r="AA14" s="10">
        <f>SUMIFS(tbl_transaction[Net_Cash_Change], tbl_transaction[Transaction_Date],tbl_position[[#This Row],[Date]])+IF(tbl_position[[#This Row],[Date]]=$A$5, 100000, $AA13)</f>
        <v>43897.299999999996</v>
      </c>
      <c r="AB14" s="11">
        <f>SUMIFS(tbl_transaction[Net_Debt_Change], tbl_transaction[Transaction_Date],tbl_position[[#This Row],[Date]])+IF(tbl_position[[#This Row],[Date]]=$A$5, 0, $AB13)</f>
        <v>-407.10000000000036</v>
      </c>
      <c r="AC14" s="48">
        <f>tbl_position[[#This Row],[Shares_Holding]]+tbl_position[[#This Row],[Cash_Holding]]-tbl_position[[#This Row],[Liabilities_Holding]]</f>
        <v>44304.399999999994</v>
      </c>
    </row>
    <row r="15" spans="1:29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27"/>
      <c r="M15" s="127"/>
      <c r="N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$P14)</f>
        <v>50</v>
      </c>
      <c r="Q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$S14)</f>
        <v>0</v>
      </c>
      <c r="T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$T14)</f>
        <v>100</v>
      </c>
      <c r="U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$U14)</f>
        <v>50</v>
      </c>
      <c r="V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$V14)</f>
        <v>500</v>
      </c>
      <c r="W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$W14)</f>
        <v>980</v>
      </c>
      <c r="X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$W14)</f>
        <v>980</v>
      </c>
      <c r="Y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$W14)</f>
        <v>980</v>
      </c>
      <c r="Z15" s="10"/>
      <c r="AA15" s="10">
        <f>SUMIFS(tbl_transaction[Net_Cash_Change], tbl_transaction[Transaction_Date],tbl_position[[#This Row],[Date]])+IF(tbl_position[[#This Row],[Date]]=$A$5, 100000, $AA14)</f>
        <v>43897.299999999996</v>
      </c>
      <c r="AB15" s="11">
        <f>SUMIFS(tbl_transaction[Net_Debt_Change], tbl_transaction[Transaction_Date],tbl_position[[#This Row],[Date]])+IF(tbl_position[[#This Row],[Date]]=$A$5, 0, $AB14)</f>
        <v>9577.9</v>
      </c>
      <c r="AC15" s="48">
        <f>tbl_position[[#This Row],[Shares_Holding]]+tbl_position[[#This Row],[Cash_Holding]]-tbl_position[[#This Row],[Liabilities_Holding]]</f>
        <v>34319.399999999994</v>
      </c>
    </row>
    <row r="16" spans="1:29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29"/>
      <c r="M16" s="129"/>
      <c r="N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$N15)</f>
        <v>50</v>
      </c>
      <c r="O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$O15)</f>
        <v>0</v>
      </c>
      <c r="P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$P15)</f>
        <v>50</v>
      </c>
      <c r="Q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$Q15)</f>
        <v>0</v>
      </c>
      <c r="R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$R15)</f>
        <v>100</v>
      </c>
      <c r="S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$S15)</f>
        <v>0</v>
      </c>
      <c r="T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$T15)</f>
        <v>100</v>
      </c>
      <c r="U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$U15)</f>
        <v>50</v>
      </c>
      <c r="V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$V15)</f>
        <v>500</v>
      </c>
      <c r="W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$W15)</f>
        <v>980</v>
      </c>
      <c r="X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$W15)</f>
        <v>980</v>
      </c>
      <c r="Y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$W15)</f>
        <v>980</v>
      </c>
      <c r="Z16" s="10"/>
      <c r="AA16" s="129">
        <f>SUMIFS(tbl_transaction[Net_Cash_Change], tbl_transaction[Transaction_Date],tbl_position[[#This Row],[Date]])+IF(tbl_position[[#This Row],[Date]]=$A$5, 100000, $AA15)</f>
        <v>43897.299999999996</v>
      </c>
      <c r="AB16" s="11">
        <f>SUMIFS(tbl_transaction[Net_Debt_Change], tbl_transaction[Transaction_Date],tbl_position[[#This Row],[Date]])+IF(tbl_position[[#This Row],[Date]]=$A$5, 0, $AB15)</f>
        <v>9577.9</v>
      </c>
      <c r="AC16" s="48">
        <f>tbl_position[[#This Row],[Shares_Holding]]+tbl_position[[#This Row],[Cash_Holding]]-tbl_position[[#This Row],[Liabilities_Holding]]</f>
        <v>34319.399999999994</v>
      </c>
    </row>
    <row r="17" spans="1:29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29"/>
      <c r="M17" s="129"/>
      <c r="N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$N16)</f>
        <v>50</v>
      </c>
      <c r="O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$O16)</f>
        <v>0</v>
      </c>
      <c r="P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$P16)</f>
        <v>50</v>
      </c>
      <c r="Q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$Q16)</f>
        <v>0</v>
      </c>
      <c r="R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$R16)</f>
        <v>100</v>
      </c>
      <c r="S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$S16)</f>
        <v>0</v>
      </c>
      <c r="T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$T16)</f>
        <v>100</v>
      </c>
      <c r="U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$U16)</f>
        <v>50</v>
      </c>
      <c r="V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$V16)</f>
        <v>800</v>
      </c>
      <c r="W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$W16)</f>
        <v>0</v>
      </c>
      <c r="X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$W16)</f>
        <v>980</v>
      </c>
      <c r="Y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$W16)</f>
        <v>980</v>
      </c>
      <c r="Z17" s="10"/>
      <c r="AA17" s="129">
        <f>SUMIFS(tbl_transaction[Net_Cash_Change], tbl_transaction[Transaction_Date],tbl_position[[#This Row],[Date]])+IF(tbl_position[[#This Row],[Date]]=$A$5, 100000, $AA16)</f>
        <v>49591.099999999991</v>
      </c>
      <c r="AB17" s="11">
        <f>SUMIFS(tbl_transaction[Net_Debt_Change], tbl_transaction[Transaction_Date],tbl_position[[#This Row],[Date]])+IF(tbl_position[[#This Row],[Date]]=$A$5, 0, $AB16)</f>
        <v>15208.9</v>
      </c>
      <c r="AC17" s="48">
        <f>tbl_position[[#This Row],[Shares_Holding]]+tbl_position[[#This Row],[Cash_Holding]]-tbl_position[[#This Row],[Liabilities_Holding]]</f>
        <v>34382.19999999999</v>
      </c>
    </row>
    <row r="18" spans="1:29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29"/>
      <c r="M18" s="129"/>
      <c r="N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$N17)</f>
        <v>50</v>
      </c>
      <c r="O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$O17)</f>
        <v>0</v>
      </c>
      <c r="P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$P17)</f>
        <v>50</v>
      </c>
      <c r="Q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$Q17)</f>
        <v>0</v>
      </c>
      <c r="R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$R17)</f>
        <v>100</v>
      </c>
      <c r="S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$S17)</f>
        <v>0</v>
      </c>
      <c r="T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$T17)</f>
        <v>100</v>
      </c>
      <c r="U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$U17)</f>
        <v>50</v>
      </c>
      <c r="V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$V17)</f>
        <v>800</v>
      </c>
      <c r="W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$W17)</f>
        <v>0</v>
      </c>
      <c r="X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$W17)</f>
        <v>0</v>
      </c>
      <c r="Y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$W17)</f>
        <v>0</v>
      </c>
      <c r="Z18" s="10"/>
      <c r="AA18" s="129">
        <f>SUMIFS(tbl_transaction[Net_Cash_Change], tbl_transaction[Transaction_Date],tbl_position[[#This Row],[Date]])+IF(tbl_position[[#This Row],[Date]]=$A$5, 100000, $AA17)</f>
        <v>49591.099999999991</v>
      </c>
      <c r="AB18" s="11">
        <f>SUMIFS(tbl_transaction[Net_Debt_Change], tbl_transaction[Transaction_Date],tbl_position[[#This Row],[Date]])+IF(tbl_position[[#This Row],[Date]]=$A$5, 0, $AB17)</f>
        <v>15208.9</v>
      </c>
      <c r="AC18" s="48">
        <f>tbl_position[[#This Row],[Shares_Holding]]+tbl_position[[#This Row],[Cash_Holding]]-tbl_position[[#This Row],[Liabilities_Holding]]</f>
        <v>34382.19999999999</v>
      </c>
    </row>
    <row r="19" spans="1:29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29"/>
      <c r="M19" s="129"/>
      <c r="N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$N18)</f>
        <v>50</v>
      </c>
      <c r="O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$O18)</f>
        <v>0</v>
      </c>
      <c r="P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$P18)</f>
        <v>50</v>
      </c>
      <c r="Q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$Q18)</f>
        <v>0</v>
      </c>
      <c r="R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$R18)</f>
        <v>100</v>
      </c>
      <c r="S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$S18)</f>
        <v>0</v>
      </c>
      <c r="T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$T18)</f>
        <v>100</v>
      </c>
      <c r="U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$U18)</f>
        <v>50</v>
      </c>
      <c r="V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$V18)</f>
        <v>800</v>
      </c>
      <c r="W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$W18)</f>
        <v>0</v>
      </c>
      <c r="X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$W18)</f>
        <v>0</v>
      </c>
      <c r="Y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$W18)</f>
        <v>0</v>
      </c>
      <c r="Z19" s="10"/>
      <c r="AA19" s="129">
        <f>SUMIFS(tbl_transaction[Net_Cash_Change], tbl_transaction[Transaction_Date],tbl_position[[#This Row],[Date]])+IF(tbl_position[[#This Row],[Date]]=$A$5, 100000, $AA18)</f>
        <v>49591.099999999991</v>
      </c>
      <c r="AB19" s="11">
        <f>SUMIFS(tbl_transaction[Net_Debt_Change], tbl_transaction[Transaction_Date],tbl_position[[#This Row],[Date]])+IF(tbl_position[[#This Row],[Date]]=$A$5, 0, $AB18)</f>
        <v>15208.9</v>
      </c>
      <c r="AC19" s="48">
        <f>tbl_position[[#This Row],[Shares_Holding]]+tbl_position[[#This Row],[Cash_Holding]]-tbl_position[[#This Row],[Liabilities_Holding]]</f>
        <v>34382.19999999999</v>
      </c>
    </row>
    <row r="20" spans="1:29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29"/>
      <c r="M20" s="129"/>
      <c r="N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$N19)</f>
        <v>50</v>
      </c>
      <c r="O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$O19)</f>
        <v>0</v>
      </c>
      <c r="P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$P19)</f>
        <v>50</v>
      </c>
      <c r="Q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$Q19)</f>
        <v>0</v>
      </c>
      <c r="R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$R19)</f>
        <v>100</v>
      </c>
      <c r="S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$S19)</f>
        <v>0</v>
      </c>
      <c r="T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$T19)</f>
        <v>100</v>
      </c>
      <c r="U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$U19)</f>
        <v>50</v>
      </c>
      <c r="V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$V19)</f>
        <v>800</v>
      </c>
      <c r="W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$W19)</f>
        <v>0</v>
      </c>
      <c r="X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$W19)</f>
        <v>0</v>
      </c>
      <c r="Y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$W19)</f>
        <v>0</v>
      </c>
      <c r="Z20" s="10"/>
      <c r="AA20" s="129">
        <f>SUMIFS(tbl_transaction[Net_Cash_Change], tbl_transaction[Transaction_Date],tbl_position[[#This Row],[Date]])+IF(tbl_position[[#This Row],[Date]]=$A$5, 100000, $AA19)</f>
        <v>49591.099999999991</v>
      </c>
      <c r="AB20" s="11">
        <f>SUMIFS(tbl_transaction[Net_Debt_Change], tbl_transaction[Transaction_Date],tbl_position[[#This Row],[Date]])+IF(tbl_position[[#This Row],[Date]]=$A$5, 0, $AB19)</f>
        <v>15208.9</v>
      </c>
      <c r="AC20" s="48">
        <f>tbl_position[[#This Row],[Shares_Holding]]+tbl_position[[#This Row],[Cash_Holding]]-tbl_position[[#This Row],[Liabilities_Holding]]</f>
        <v>34382.19999999999</v>
      </c>
    </row>
    <row r="21" spans="1:29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29"/>
      <c r="M21" s="129"/>
      <c r="N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$N20)</f>
        <v>50</v>
      </c>
      <c r="O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$O20)</f>
        <v>0</v>
      </c>
      <c r="P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$P20)</f>
        <v>50</v>
      </c>
      <c r="Q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$Q20)</f>
        <v>0</v>
      </c>
      <c r="R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$R20)</f>
        <v>100</v>
      </c>
      <c r="S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$S20)</f>
        <v>0</v>
      </c>
      <c r="T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$T20)</f>
        <v>100</v>
      </c>
      <c r="U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$U20)</f>
        <v>50</v>
      </c>
      <c r="V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$V20)</f>
        <v>800</v>
      </c>
      <c r="W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$W20)</f>
        <v>0</v>
      </c>
      <c r="X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$W20)</f>
        <v>0</v>
      </c>
      <c r="Y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$W20)</f>
        <v>0</v>
      </c>
      <c r="Z21" s="10"/>
      <c r="AA21" s="129">
        <f>SUMIFS(tbl_transaction[Net_Cash_Change], tbl_transaction[Transaction_Date],tbl_position[[#This Row],[Date]])+IF(tbl_position[[#This Row],[Date]]=$A$5, 100000, $AA20)</f>
        <v>49591.099999999991</v>
      </c>
      <c r="AB21" s="11">
        <f>SUMIFS(tbl_transaction[Net_Debt_Change], tbl_transaction[Transaction_Date],tbl_position[[#This Row],[Date]])+IF(tbl_position[[#This Row],[Date]]=$A$5, 0, $AB20)</f>
        <v>15208.9</v>
      </c>
      <c r="AC21" s="48">
        <f>tbl_position[[#This Row],[Shares_Holding]]+tbl_position[[#This Row],[Cash_Holding]]-tbl_position[[#This Row],[Liabilities_Holding]]</f>
        <v>34382.19999999999</v>
      </c>
    </row>
    <row r="22" spans="1:29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29"/>
      <c r="M22" s="129"/>
      <c r="N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$N21)</f>
        <v>50</v>
      </c>
      <c r="O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$O21)</f>
        <v>0</v>
      </c>
      <c r="P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$P21)</f>
        <v>50</v>
      </c>
      <c r="Q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$Q21)</f>
        <v>0</v>
      </c>
      <c r="R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$R21)</f>
        <v>100</v>
      </c>
      <c r="S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$S21)</f>
        <v>0</v>
      </c>
      <c r="T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$T21)</f>
        <v>100</v>
      </c>
      <c r="U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$U21)</f>
        <v>50</v>
      </c>
      <c r="V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$V21)</f>
        <v>800</v>
      </c>
      <c r="W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$W21)</f>
        <v>0</v>
      </c>
      <c r="X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$W21)</f>
        <v>0</v>
      </c>
      <c r="Y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$W21)</f>
        <v>0</v>
      </c>
      <c r="Z22" s="10"/>
      <c r="AA22" s="129">
        <f>SUMIFS(tbl_transaction[Net_Cash_Change], tbl_transaction[Transaction_Date],tbl_position[[#This Row],[Date]])+IF(tbl_position[[#This Row],[Date]]=$A$5, 100000, $AA21)</f>
        <v>49591.099999999991</v>
      </c>
      <c r="AB22" s="11">
        <f>SUMIFS(tbl_transaction[Net_Debt_Change], tbl_transaction[Transaction_Date],tbl_position[[#This Row],[Date]])+IF(tbl_position[[#This Row],[Date]]=$A$5, 0, $AB21)</f>
        <v>15208.9</v>
      </c>
      <c r="AC22" s="48">
        <f>tbl_position[[#This Row],[Shares_Holding]]+tbl_position[[#This Row],[Cash_Holding]]-tbl_position[[#This Row],[Liabilities_Holding]]</f>
        <v>34382.19999999999</v>
      </c>
    </row>
    <row r="23" spans="1:29" x14ac:dyDescent="0.3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1">
        <f>VLOOKUP(tbl_position[[#This Row],[Date]], tbl_AKRO[], 5, 0)</f>
        <v>28.19</v>
      </c>
      <c r="I23" s="131">
        <f>VLOOKUP(tbl_position[[#This Row],[Date]], tbl_FDX[], 5, 0)</f>
        <v>259.27</v>
      </c>
      <c r="J23" s="131">
        <f>VLOOKUP(tbl_position[[#This Row],[Date]], tbl_NKLA[], 5, 0)</f>
        <v>23.57</v>
      </c>
      <c r="K23" s="131">
        <f>VLOOKUP(tbl_position[[#This Row],[Date]], tbl_SPXS[], 5, 0)</f>
        <v>5.75</v>
      </c>
      <c r="L23" s="127"/>
      <c r="M23" s="127"/>
      <c r="N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$N22)</f>
        <v>50</v>
      </c>
      <c r="O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$O22)</f>
        <v>0</v>
      </c>
      <c r="P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$P22)</f>
        <v>50</v>
      </c>
      <c r="Q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$Q22)</f>
        <v>0</v>
      </c>
      <c r="R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$R22)</f>
        <v>100</v>
      </c>
      <c r="S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$S22)</f>
        <v>0</v>
      </c>
      <c r="T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$T22)</f>
        <v>100</v>
      </c>
      <c r="U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$U22)</f>
        <v>50</v>
      </c>
      <c r="V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$V22)</f>
        <v>800</v>
      </c>
      <c r="W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$W22)</f>
        <v>0</v>
      </c>
      <c r="X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$W22)</f>
        <v>0</v>
      </c>
      <c r="Y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$W22)</f>
        <v>0</v>
      </c>
      <c r="Z23" s="10"/>
      <c r="AA23" s="131">
        <f>SUMIFS(tbl_transaction[Net_Cash_Change], tbl_transaction[Transaction_Date],tbl_position[[#This Row],[Date]])+IF(tbl_position[[#This Row],[Date]]=$A$5, 100000, $AA22)</f>
        <v>49591.099999999991</v>
      </c>
      <c r="AB23" s="11">
        <f>SUMIFS(tbl_transaction[Net_Debt_Change], tbl_transaction[Transaction_Date],tbl_position[[#This Row],[Date]])+IF(tbl_position[[#This Row],[Date]]=$A$5, 0, $AB22)</f>
        <v>15208.9</v>
      </c>
      <c r="AC23" s="48">
        <f>tbl_position[[#This Row],[Shares_Holding]]+tbl_position[[#This Row],[Cash_Holding]]-tbl_position[[#This Row],[Liabilities_Holding]]</f>
        <v>34382.19999999999</v>
      </c>
    </row>
    <row r="24" spans="1:29" x14ac:dyDescent="0.3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1">
        <f>VLOOKUP(tbl_position[[#This Row],[Date]], tbl_AKRO[], 5, 0)</f>
        <v>28.74</v>
      </c>
      <c r="I24" s="131">
        <f>VLOOKUP(tbl_position[[#This Row],[Date]], tbl_FDX[], 5, 0)</f>
        <v>268.26</v>
      </c>
      <c r="J24" s="131">
        <f>VLOOKUP(tbl_position[[#This Row],[Date]], tbl_NKLA[], 5, 0)</f>
        <v>25.72</v>
      </c>
      <c r="K24" s="131">
        <f>VLOOKUP(tbl_position[[#This Row],[Date]], tbl_SPXS[], 5, 0)</f>
        <v>5.44</v>
      </c>
      <c r="L24" s="127">
        <f>VLOOKUP(tbl_position[[#This Row],[Date]], tbl_AMD[], 5, 0)</f>
        <v>86.69</v>
      </c>
      <c r="M24" s="127"/>
      <c r="N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$N23)</f>
        <v>50</v>
      </c>
      <c r="O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$O23)</f>
        <v>0</v>
      </c>
      <c r="P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$P23)</f>
        <v>50</v>
      </c>
      <c r="Q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$Q23)</f>
        <v>0</v>
      </c>
      <c r="R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$R23)</f>
        <v>100</v>
      </c>
      <c r="S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$S23)</f>
        <v>0</v>
      </c>
      <c r="T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$T23)</f>
        <v>100</v>
      </c>
      <c r="U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$U23)</f>
        <v>50</v>
      </c>
      <c r="V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$V23)</f>
        <v>300</v>
      </c>
      <c r="W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$W23)</f>
        <v>0</v>
      </c>
      <c r="X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$W23)</f>
        <v>150</v>
      </c>
      <c r="Y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$W23)</f>
        <v>0</v>
      </c>
      <c r="Z24" s="10">
        <f ca="1" xml:space="preserve"> SUMPRODUCT(INDIRECT(ADDRESS(ROW(Z24), 2)):INDIRECT(ADDRESS(ROW(Z24), MATCH("Shares_AAPL", pos_header,0)-1)), INDIRECT(ADDRESS(ROW(Z24), MATCH("Shares_AAPL", pos_header,0))): INDIRECT(ADDRESS(ROW(Z24), MATCH("Shares_Holding", pos_header,0)-1)))</f>
        <v>69307</v>
      </c>
      <c r="AA24" s="131">
        <f>SUMIFS(tbl_transaction[Net_Cash_Change], tbl_transaction[Transaction_Date],tbl_position[[#This Row],[Date]])+IF(tbl_position[[#This Row],[Date]]=$A$5, 100000, $AA23)</f>
        <v>36635.599999999991</v>
      </c>
      <c r="AB24" s="11">
        <f>SUMIFS(tbl_transaction[Net_Debt_Change], tbl_transaction[Transaction_Date],tbl_position[[#This Row],[Date]])+IF(tbl_position[[#This Row],[Date]]=$A$5, 0, $AB23)</f>
        <v>2852.8999999999996</v>
      </c>
      <c r="AC24" s="48">
        <f ca="1">tbl_position[[#This Row],[Shares_Holding]]+tbl_position[[#This Row],[Cash_Holding]]-tbl_position[[#This Row],[Liabilities_Holding]]</f>
        <v>103089.7</v>
      </c>
    </row>
    <row r="25" spans="1:29" x14ac:dyDescent="0.3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1">
        <f>VLOOKUP(tbl_position[[#This Row],[Date]], tbl_AKRO[], 5, 0)</f>
        <v>29.17</v>
      </c>
      <c r="I25" s="131">
        <f>VLOOKUP(tbl_position[[#This Row],[Date]], tbl_FDX[], 5, 0)</f>
        <v>271.06</v>
      </c>
      <c r="J25" s="131">
        <f>VLOOKUP(tbl_position[[#This Row],[Date]], tbl_NKLA[], 5, 0)</f>
        <v>25</v>
      </c>
      <c r="K25" s="131">
        <f>VLOOKUP(tbl_position[[#This Row],[Date]], tbl_SPXS[], 5, 0)</f>
        <v>5.29</v>
      </c>
      <c r="L25" s="127">
        <f>VLOOKUP(tbl_position[[#This Row],[Date]], tbl_AMD[], 5, 0)</f>
        <v>86.51</v>
      </c>
      <c r="M25" s="127"/>
      <c r="N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$N24)</f>
        <v>50</v>
      </c>
      <c r="O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$O24)</f>
        <v>0</v>
      </c>
      <c r="P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$P24)</f>
        <v>50</v>
      </c>
      <c r="Q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$Q24)</f>
        <v>0</v>
      </c>
      <c r="R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$R24)</f>
        <v>100</v>
      </c>
      <c r="S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$S24)</f>
        <v>0</v>
      </c>
      <c r="T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$T24)</f>
        <v>100</v>
      </c>
      <c r="U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$U24)</f>
        <v>50</v>
      </c>
      <c r="V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$V24)</f>
        <v>300</v>
      </c>
      <c r="W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$W24)</f>
        <v>0</v>
      </c>
      <c r="X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$W24)</f>
        <v>0</v>
      </c>
      <c r="Y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$W24)</f>
        <v>0</v>
      </c>
      <c r="Z25" s="10">
        <f ca="1" xml:space="preserve"> SUMPRODUCT(INDIRECT(ADDRESS(ROW(Z25), 2)):INDIRECT(ADDRESS(ROW(Z25), MATCH("Shares_AAPL", pos_header,0)-1)), INDIRECT(ADDRESS(ROW(Z25), MATCH("Shares_AAPL", pos_header,0))): INDIRECT(ADDRESS(ROW(Z25), MATCH("Shares_Holding", pos_header,0)-1)))</f>
        <v>57093.5</v>
      </c>
      <c r="AA25" s="131">
        <f>SUMIFS(tbl_transaction[Net_Cash_Change], tbl_transaction[Transaction_Date],tbl_position[[#This Row],[Date]])+IF(tbl_position[[#This Row],[Date]]=$A$5, 100000, $AA24)</f>
        <v>36635.599999999991</v>
      </c>
      <c r="AB25" s="11">
        <f>SUMIFS(tbl_transaction[Net_Debt_Change], tbl_transaction[Transaction_Date],tbl_position[[#This Row],[Date]])+IF(tbl_position[[#This Row],[Date]]=$A$5, 0, $AB24)</f>
        <v>2852.8999999999996</v>
      </c>
      <c r="AC25" s="48">
        <f ca="1">tbl_position[[#This Row],[Shares_Holding]]+tbl_position[[#This Row],[Cash_Holding]]-tbl_position[[#This Row],[Liabilities_Holding]]</f>
        <v>90876.2</v>
      </c>
    </row>
    <row r="26" spans="1:29" x14ac:dyDescent="0.3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1">
        <f>VLOOKUP(tbl_position[[#This Row],[Date]], tbl_AKRO[], 5, 0)</f>
        <v>28.81</v>
      </c>
      <c r="I26" s="131">
        <f>VLOOKUP(tbl_position[[#This Row],[Date]], tbl_FDX[], 5, 0)</f>
        <v>271.55</v>
      </c>
      <c r="J26" s="131">
        <f>VLOOKUP(tbl_position[[#This Row],[Date]], tbl_NKLA[], 5, 0)</f>
        <v>24.66</v>
      </c>
      <c r="K26" s="131">
        <f>VLOOKUP(tbl_position[[#This Row],[Date]], tbl_SPXS[], 5, 0)</f>
        <v>5.15</v>
      </c>
      <c r="L26" s="127">
        <f>VLOOKUP(tbl_position[[#This Row],[Date]], tbl_AMD[], 5, 0)</f>
        <v>83.1</v>
      </c>
      <c r="M26" s="127"/>
      <c r="N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$N25)</f>
        <v>50</v>
      </c>
      <c r="O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$O25)</f>
        <v>0</v>
      </c>
      <c r="P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$P25)</f>
        <v>50</v>
      </c>
      <c r="Q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$Q25)</f>
        <v>0</v>
      </c>
      <c r="R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$R25)</f>
        <v>100</v>
      </c>
      <c r="S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$S25)</f>
        <v>0</v>
      </c>
      <c r="T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$T25)</f>
        <v>100</v>
      </c>
      <c r="U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$U25)</f>
        <v>50</v>
      </c>
      <c r="V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$V25)</f>
        <v>0</v>
      </c>
      <c r="W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$W25)</f>
        <v>0</v>
      </c>
      <c r="X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$W25)</f>
        <v>0</v>
      </c>
      <c r="Y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$W25)</f>
        <v>0</v>
      </c>
      <c r="Z26" s="10">
        <f ca="1" xml:space="preserve"> SUMPRODUCT(INDIRECT(ADDRESS(ROW(Z26), 2)):INDIRECT(ADDRESS(ROW(Z26), MATCH("Shares_AAPL", pos_header,0)-1)), INDIRECT(ADDRESS(ROW(Z26), MATCH("Shares_AAPL", pos_header,0))): INDIRECT(ADDRESS(ROW(Z26), MATCH("Shares_Holding", pos_header,0)-1)))</f>
        <v>49382</v>
      </c>
      <c r="AA26" s="131">
        <f>SUMIFS(tbl_transaction[Net_Cash_Change], tbl_transaction[Transaction_Date],tbl_position[[#This Row],[Date]])+IF(tbl_position[[#This Row],[Date]]=$A$5, 100000, $AA25)</f>
        <v>36635.579999999994</v>
      </c>
      <c r="AB26" s="11">
        <f>SUMIFS(tbl_transaction[Net_Debt_Change], tbl_transaction[Transaction_Date],tbl_position[[#This Row],[Date]])+IF(tbl_position[[#This Row],[Date]]=$A$5, 0, $AB25)</f>
        <v>-4542.1000000000004</v>
      </c>
      <c r="AC26" s="48">
        <f ca="1">tbl_position[[#This Row],[Shares_Holding]]+tbl_position[[#This Row],[Cash_Holding]]-tbl_position[[#This Row],[Liabilities_Holding]]</f>
        <v>90559.679999999993</v>
      </c>
    </row>
    <row r="27" spans="1:29" x14ac:dyDescent="0.3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1">
        <f>VLOOKUP(tbl_position[[#This Row],[Date]], tbl_AKRO[], 5, 0)</f>
        <v>28.93</v>
      </c>
      <c r="I27" s="131">
        <f>VLOOKUP(tbl_position[[#This Row],[Date]], tbl_FDX[], 5, 0)</f>
        <v>273.5</v>
      </c>
      <c r="J27" s="131">
        <f>VLOOKUP(tbl_position[[#This Row],[Date]], tbl_NKLA[], 5, 0)</f>
        <v>24.15</v>
      </c>
      <c r="K27" s="131">
        <f>VLOOKUP(tbl_position[[#This Row],[Date]], tbl_SPXS[], 5, 0)</f>
        <v>4.9000000000000004</v>
      </c>
      <c r="L27" s="127">
        <f>VLOOKUP(tbl_position[[#This Row],[Date]], tbl_AMD[], 5, 0)</f>
        <v>84.29</v>
      </c>
      <c r="M27" s="127">
        <f>VLOOKUP(tbl_position[[#This Row],[Date]], tbl_CVX[], 5, 0)</f>
        <v>74.510000000000005</v>
      </c>
      <c r="N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$N26)</f>
        <v>50</v>
      </c>
      <c r="O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$O26)</f>
        <v>0</v>
      </c>
      <c r="P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$P26)</f>
        <v>50</v>
      </c>
      <c r="Q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$Q26)</f>
        <v>0</v>
      </c>
      <c r="R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$R26)</f>
        <v>100</v>
      </c>
      <c r="S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$S26)</f>
        <v>0</v>
      </c>
      <c r="T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$T26)</f>
        <v>100</v>
      </c>
      <c r="U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$U26)</f>
        <v>50</v>
      </c>
      <c r="V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$V26)</f>
        <v>0</v>
      </c>
      <c r="W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$W26)</f>
        <v>0</v>
      </c>
      <c r="X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$W26)</f>
        <v>0</v>
      </c>
      <c r="Y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$W26)</f>
        <v>0</v>
      </c>
      <c r="Z27" s="10">
        <f ca="1" xml:space="preserve"> SUMPRODUCT(INDIRECT(ADDRESS(ROW(Z27), 2)):INDIRECT(ADDRESS(ROW(Z27), MATCH("Shares_AAPL", pos_header,0)-1)), INDIRECT(ADDRESS(ROW(Z27), MATCH("Shares_AAPL", pos_header,0))): INDIRECT(ADDRESS(ROW(Z27), MATCH("Shares_Holding", pos_header,0)-1)))</f>
        <v>49854.5</v>
      </c>
      <c r="AA27" s="131">
        <f>SUMIFS(tbl_transaction[Net_Cash_Change], tbl_transaction[Transaction_Date],tbl_position[[#This Row],[Date]])+IF(tbl_position[[#This Row],[Date]]=$A$5, 100000, $AA26)</f>
        <v>36635.579999999994</v>
      </c>
      <c r="AB27" s="11">
        <f>SUMIFS(tbl_transaction[Net_Debt_Change], tbl_transaction[Transaction_Date],tbl_position[[#This Row],[Date]])+IF(tbl_position[[#This Row],[Date]]=$A$5, 0, $AB26)</f>
        <v>-4542.1000000000004</v>
      </c>
      <c r="AC27" s="48">
        <f ca="1">tbl_position[[#This Row],[Shares_Holding]]+tbl_position[[#This Row],[Cash_Holding]]-tbl_position[[#This Row],[Liabilities_Holding]]</f>
        <v>91032.18</v>
      </c>
    </row>
    <row r="28" spans="1:29" x14ac:dyDescent="0.35">
      <c r="A28" t="s">
        <v>162</v>
      </c>
      <c r="B28">
        <f>SUBTOTAL(103,tbl_position[Price_AAPL])</f>
        <v>23</v>
      </c>
      <c r="D28" s="46"/>
      <c r="AA28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3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3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3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3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35">
      <c r="A50" t="s">
        <v>162</v>
      </c>
      <c r="H50" s="61"/>
      <c r="J50" s="61"/>
      <c r="K50" s="61"/>
      <c r="L50" s="61"/>
      <c r="S50" s="61">
        <f ca="1">SUBTOTAL(103,tbl_HD[BB_Stdev])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topLeftCell="A3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3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113.16</v>
      </c>
      <c r="G45">
        <v>161498200</v>
      </c>
      <c r="H45" s="127">
        <f>IF(tbl_AAPL[[#This Row],[Date]]=$A$5, $F45, EMA_Beta*$H44 + (1-EMA_Beta)*$F45)</f>
        <v>114.26044100191667</v>
      </c>
      <c r="I45" s="50">
        <f ca="1">IF(tbl_AAPL[[#This Row],[RS]]= "", "", 100-(100/(1+tbl_AAPL[[#This Row],[RS]])))</f>
        <v>51.393779544826472</v>
      </c>
      <c r="J45" s="127">
        <f ca="1">IF(ROW($N45)-4&lt;BB_Periods, "", AVERAGE(INDIRECT(ADDRESS(ROW($F45)-RSI_Periods +1, MATCH("Adj Close", Price_Header,0))): INDIRECT(ADDRESS(ROW($F45),MATCH("Adj Close", Price_Header,0)))))</f>
        <v>112.21571400000002</v>
      </c>
      <c r="K45" s="127">
        <f ca="1">IF(tbl_AAPL[[#This Row],[BB_Mean]]="", "", tbl_AAPL[[#This Row],[BB_Mean]]+(BB_Width*tbl_AAPL[[#This Row],[BB_Stdev]]))</f>
        <v>118.86886496807226</v>
      </c>
      <c r="L45" s="127">
        <f ca="1">IF(tbl_AAPL[[#This Row],[BB_Mean]]="", "", tbl_AAPL[[#This Row],[BB_Mean]]-(BB_Width*tbl_AAPL[[#This Row],[BB_Stdev]]))</f>
        <v>105.56256303192778</v>
      </c>
      <c r="M45" s="50">
        <f>IF(ROW(tbl_AAPL[[#This Row],[Adj Close]])=5, 0, $F45-$F44)</f>
        <v>-3.3400000000000034</v>
      </c>
      <c r="N45" s="50">
        <f>MAX(tbl_AAPL[[#This Row],[Move]],0)</f>
        <v>0</v>
      </c>
      <c r="O45" s="50">
        <f>MAX(-tbl_AAPL[[#This Row],[Move]],0)</f>
        <v>3.3400000000000034</v>
      </c>
      <c r="P45" s="50">
        <f ca="1">IF(ROW($N45)-5&lt;RSI_Periods, "", AVERAGE(INDIRECT(ADDRESS(ROW($N45)-RSI_Periods +1, MATCH("Upmove", Price_Header,0))): INDIRECT(ADDRESS(ROW($N45),MATCH("Upmove", Price_Header,0)))))</f>
        <v>1.3564285714285711</v>
      </c>
      <c r="Q45" s="50">
        <f ca="1">IF(ROW($O45)-5&lt;RSI_Periods, "", AVERAGE(INDIRECT(ADDRESS(ROW($O45)-RSI_Periods +1, MATCH("Downmove", Price_Header,0))): INDIRECT(ADDRESS(ROW($O45),MATCH("Downmove", Price_Header,0)))))</f>
        <v>1.2828569285714286</v>
      </c>
      <c r="R45" s="50">
        <f ca="1">IF(tbl_AAPL[[#This Row],[Avg_Upmove]]="", "", tbl_AAPL[[#This Row],[Avg_Upmove]]/tbl_AAPL[[#This Row],[Avg_Downmove]])</f>
        <v>1.0573498425417329</v>
      </c>
      <c r="S45" s="50">
        <f ca="1">IF(ROW($N45)-4&lt;BB_Periods, "", _xlfn.STDEV.S(INDIRECT(ADDRESS(ROW($F45)-RSI_Periods +1, MATCH("Adj Close", Price_Header,0))): INDIRECT(ADDRESS(ROW($F45),MATCH("Adj Close", Price_Header,0)))))</f>
        <v>3.3265754840361206</v>
      </c>
    </row>
    <row r="46" spans="1:19" x14ac:dyDescent="0.3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115.08</v>
      </c>
      <c r="G46">
        <v>96849000</v>
      </c>
      <c r="H46" s="127">
        <f>IF(tbl_AAPL[[#This Row],[Date]]=$A$5, $F46, EMA_Beta*$H45 + (1-EMA_Beta)*$F46)</f>
        <v>114.34239690172501</v>
      </c>
      <c r="I46" s="50">
        <f ca="1">IF(tbl_AAPL[[#This Row],[RS]]= "", "", 100-(100/(1+tbl_AAPL[[#This Row],[RS]])))</f>
        <v>56.391591843753169</v>
      </c>
      <c r="J46" s="127">
        <f ca="1">IF(ROW($N46)-4&lt;BB_Periods, "", AVERAGE(INDIRECT(ADDRESS(ROW($F46)-RSI_Periods +1, MATCH("Adj Close", Price_Header,0))): INDIRECT(ADDRESS(ROW($F46),MATCH("Adj Close", Price_Header,0)))))</f>
        <v>112.55428571428571</v>
      </c>
      <c r="K46" s="127">
        <f ca="1">IF(tbl_AAPL[[#This Row],[BB_Mean]]="", "", tbl_AAPL[[#This Row],[BB_Mean]]+(BB_Width*tbl_AAPL[[#This Row],[BB_Stdev]]))</f>
        <v>119.27830335159253</v>
      </c>
      <c r="L46" s="127">
        <f ca="1">IF(tbl_AAPL[[#This Row],[BB_Mean]]="", "", tbl_AAPL[[#This Row],[BB_Mean]]-(BB_Width*tbl_AAPL[[#This Row],[BB_Stdev]]))</f>
        <v>105.8302680769789</v>
      </c>
      <c r="M46" s="50">
        <f>IF(ROW(tbl_AAPL[[#This Row],[Adj Close]])=5, 0, $F46-$F45)</f>
        <v>1.9200000000000017</v>
      </c>
      <c r="N46" s="50">
        <f>MAX(tbl_AAPL[[#This Row],[Move]],0)</f>
        <v>1.9200000000000017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1.4935714285714283</v>
      </c>
      <c r="Q46" s="50">
        <f ca="1">IF(ROW($O46)-5&lt;RSI_Periods, "", AVERAGE(INDIRECT(ADDRESS(ROW($O46)-RSI_Periods +1, MATCH("Downmove", Price_Header,0))): INDIRECT(ADDRESS(ROW($O46),MATCH("Downmove", Price_Header,0)))))</f>
        <v>1.154999714285714</v>
      </c>
      <c r="R46" s="50">
        <f ca="1">IF(tbl_AAPL[[#This Row],[Avg_Upmove]]="", "", tbl_AAPL[[#This Row],[Avg_Upmove]]/tbl_AAPL[[#This Row],[Avg_Downmove]])</f>
        <v>1.2931357558777381</v>
      </c>
      <c r="S46" s="50">
        <f ca="1">IF(ROW($N46)-4&lt;BB_Periods, "", _xlfn.STDEV.S(INDIRECT(ADDRESS(ROW($F46)-RSI_Periods +1, MATCH("Adj Close", Price_Header,0))): INDIRECT(ADDRESS(ROW($F46),MATCH("Adj Close", Price_Header,0)))))</f>
        <v>3.3620088186534089</v>
      </c>
    </row>
    <row r="47" spans="1:19" x14ac:dyDescent="0.3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114.97</v>
      </c>
      <c r="G47">
        <v>83477200</v>
      </c>
      <c r="H47" s="127">
        <f>IF(tbl_AAPL[[#This Row],[Date]]=$A$5, $F47, EMA_Beta*$H46 + (1-EMA_Beta)*$F47)</f>
        <v>114.40515721155251</v>
      </c>
      <c r="I47" s="50">
        <f ca="1">IF(tbl_AAPL[[#This Row],[RS]]= "", "", 100-(100/(1+tbl_AAPL[[#This Row],[RS]])))</f>
        <v>62.06589492430988</v>
      </c>
      <c r="J47" s="127">
        <f ca="1">IF(ROW($N47)-4&lt;BB_Periods, "", AVERAGE(INDIRECT(ADDRESS(ROW($F47)-RSI_Periods +1, MATCH("Adj Close", Price_Header,0))): INDIRECT(ADDRESS(ROW($F47),MATCH("Adj Close", Price_Header,0)))))</f>
        <v>113.13500000000001</v>
      </c>
      <c r="K47" s="127">
        <f ca="1">IF(tbl_AAPL[[#This Row],[BB_Mean]]="", "", tbl_AAPL[[#This Row],[BB_Mean]]+(BB_Width*tbl_AAPL[[#This Row],[BB_Stdev]]))</f>
        <v>119.09387831468564</v>
      </c>
      <c r="L47" s="127">
        <f ca="1">IF(tbl_AAPL[[#This Row],[BB_Mean]]="", "", tbl_AAPL[[#This Row],[BB_Mean]]-(BB_Width*tbl_AAPL[[#This Row],[BB_Stdev]]))</f>
        <v>107.17612168531437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1.4935714285714283</v>
      </c>
      <c r="Q47" s="50">
        <f ca="1">IF(ROW($O47)-5&lt;RSI_Periods, "", AVERAGE(INDIRECT(ADDRESS(ROW($O47)-RSI_Periods +1, MATCH("Downmove", Price_Header,0))): INDIRECT(ADDRESS(ROW($O47),MATCH("Downmove", Price_Header,0)))))</f>
        <v>0.91285714285714292</v>
      </c>
      <c r="R47" s="50">
        <f ca="1">IF(tbl_AAPL[[#This Row],[Avg_Upmove]]="", "", tbl_AAPL[[#This Row],[Avg_Upmove]]/tbl_AAPL[[#This Row],[Avg_Downmove]])</f>
        <v>1.6361502347417836</v>
      </c>
      <c r="S47" s="50">
        <f ca="1">IF(ROW($N47)-4&lt;BB_Periods, "", _xlfn.STDEV.S(INDIRECT(ADDRESS(ROW($F47)-RSI_Periods +1, MATCH("Adj Close", Price_Header,0))): INDIRECT(ADDRESS(ROW($F47),MATCH("Adj Close", Price_Header,0)))))</f>
        <v>2.9794391573428194</v>
      </c>
    </row>
    <row r="48" spans="1:19" x14ac:dyDescent="0.3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116.97</v>
      </c>
      <c r="G48">
        <v>99893400</v>
      </c>
      <c r="H48" s="127">
        <f>IF(tbl_AAPL[[#This Row],[Date]]=$A$5, $F48, EMA_Beta*$H47 + (1-EMA_Beta)*$F48)</f>
        <v>114.66164149039726</v>
      </c>
      <c r="I48" s="50">
        <f ca="1">IF(tbl_AAPL[[#This Row],[RS]]= "", "", 100-(100/(1+tbl_AAPL[[#This Row],[RS]])))</f>
        <v>60.616332819722651</v>
      </c>
      <c r="J48" s="127">
        <f ca="1">IF(ROW($N48)-4&lt;BB_Periods, "", AVERAGE(INDIRECT(ADDRESS(ROW($F48)-RSI_Periods +1, MATCH("Adj Close", Price_Header,0))): INDIRECT(ADDRESS(ROW($F48),MATCH("Adj Close", Price_Header,0)))))</f>
        <v>113.62714285714286</v>
      </c>
      <c r="K48" s="127">
        <f ca="1">IF(tbl_AAPL[[#This Row],[BB_Mean]]="", "", tbl_AAPL[[#This Row],[BB_Mean]]+(BB_Width*tbl_AAPL[[#This Row],[BB_Stdev]]))</f>
        <v>119.63700873851558</v>
      </c>
      <c r="L48" s="127">
        <f ca="1">IF(tbl_AAPL[[#This Row],[BB_Mean]]="", "", tbl_AAPL[[#This Row],[BB_Mean]]-(BB_Width*tbl_AAPL[[#This Row],[BB_Stdev]]))</f>
        <v>107.61727697577014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1.405</v>
      </c>
      <c r="Q48" s="50">
        <f ca="1">IF(ROW($O48)-5&lt;RSI_Periods, "", AVERAGE(INDIRECT(ADDRESS(ROW($O48)-RSI_Periods +1, MATCH("Downmove", Price_Header,0))): INDIRECT(ADDRESS(ROW($O48),MATCH("Downmove", Price_Header,0)))))</f>
        <v>0.91285714285714292</v>
      </c>
      <c r="R48" s="50">
        <f ca="1">IF(tbl_AAPL[[#This Row],[Avg_Upmove]]="", "", tbl_AAPL[[#This Row],[Avg_Upmove]]/tbl_AAPL[[#This Row],[Avg_Downmove]])</f>
        <v>1.5391236306729263</v>
      </c>
      <c r="S48" s="50">
        <f ca="1">IF(ROW($N48)-4&lt;BB_Periods, "", _xlfn.STDEV.S(INDIRECT(ADDRESS(ROW($F48)-RSI_Periods +1, MATCH("Adj Close", Price_Header,0))): INDIRECT(ADDRESS(ROW($F48),MATCH("Adj Close", Price_Header,0)))))</f>
        <v>3.0049329406863601</v>
      </c>
    </row>
    <row r="49" spans="1:19" x14ac:dyDescent="0.3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124.4</v>
      </c>
      <c r="G49">
        <v>240226800</v>
      </c>
      <c r="H49" s="127">
        <f>IF(tbl_AAPL[[#This Row],[Date]]=$A$5, $F49, EMA_Beta*$H48 + (1-EMA_Beta)*$F49)</f>
        <v>115.63547734135753</v>
      </c>
      <c r="I49" s="50">
        <f ca="1">IF(tbl_AAPL[[#This Row],[RS]]= "", "", 100-(100/(1+tbl_AAPL[[#This Row],[RS]])))</f>
        <v>66.500655307994762</v>
      </c>
      <c r="J49" s="127">
        <f ca="1">IF(ROW($N49)-4&lt;BB_Periods, "", AVERAGE(INDIRECT(ADDRESS(ROW($F49)-RSI_Periods +1, MATCH("Adj Close", Price_Header,0))): INDIRECT(ADDRESS(ROW($F49),MATCH("Adj Close", Price_Header,0)))))</f>
        <v>114.52642857142858</v>
      </c>
      <c r="K49" s="127">
        <f ca="1">IF(tbl_AAPL[[#This Row],[BB_Mean]]="", "", tbl_AAPL[[#This Row],[BB_Mean]]+(BB_Width*tbl_AAPL[[#This Row],[BB_Stdev]]))</f>
        <v>122.73178369764054</v>
      </c>
      <c r="L49" s="127">
        <f ca="1">IF(tbl_AAPL[[#This Row],[BB_Mean]]="", "", tbl_AAPL[[#This Row],[BB_Mean]]-(BB_Width*tbl_AAPL[[#This Row],[BB_Stdev]]))</f>
        <v>106.32107344521663</v>
      </c>
      <c r="M49" s="50">
        <f>IF(ROW(tbl_AAPL[[#This Row],[Adj Close]])=5, 0, $F49-$F48)</f>
        <v>7.4300000000000068</v>
      </c>
      <c r="N49" s="50">
        <f>MAX(tbl_AAPL[[#This Row],[Move]],0)</f>
        <v>7.4300000000000068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1.8121428571428575</v>
      </c>
      <c r="Q49" s="50">
        <f ca="1">IF(ROW($O49)-5&lt;RSI_Periods, "", AVERAGE(INDIRECT(ADDRESS(ROW($O49)-RSI_Periods +1, MATCH("Downmove", Price_Header,0))): INDIRECT(ADDRESS(ROW($O49),MATCH("Downmove", Price_Header,0)))))</f>
        <v>0.91285714285714292</v>
      </c>
      <c r="R49" s="50">
        <f ca="1">IF(tbl_AAPL[[#This Row],[Avg_Upmove]]="", "", tbl_AAPL[[#This Row],[Avg_Upmove]]/tbl_AAPL[[#This Row],[Avg_Downmove]])</f>
        <v>1.9851330203442883</v>
      </c>
      <c r="S49" s="50">
        <f ca="1">IF(ROW($N49)-4&lt;BB_Periods, "", _xlfn.STDEV.S(INDIRECT(ADDRESS(ROW($F49)-RSI_Periods +1, MATCH("Adj Close", Price_Header,0))): INDIRECT(ADDRESS(ROW($F49),MATCH("Adj Close", Price_Header,0)))))</f>
        <v>4.1026775631059769</v>
      </c>
    </row>
    <row r="50" spans="1:19" x14ac:dyDescent="0.35">
      <c r="A50" t="s">
        <v>162</v>
      </c>
      <c r="B50" s="61"/>
      <c r="C50" s="61"/>
      <c r="D50" s="61"/>
      <c r="E50" s="61"/>
      <c r="F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>
        <f ca="1">SUBTOTAL(103,tbl_AAPL[BB_Stdev])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topLeftCell="A40" zoomScale="111" workbookViewId="0">
      <selection activeCell="G50" sqref="G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3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3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3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3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35">
      <c r="A50" t="s">
        <v>162</v>
      </c>
      <c r="I50" s="61"/>
      <c r="S50">
        <f ca="1">SUBTOTAL(103,tbl_WMT[BB_Stdev])</f>
        <v>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0"/>
  <sheetViews>
    <sheetView topLeftCell="A32" zoomScale="110" zoomScaleNormal="110" workbookViewId="0">
      <selection activeCell="B50" sqref="B5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3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3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3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3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35">
      <c r="A50" t="s">
        <v>162</v>
      </c>
      <c r="S50">
        <f ca="1">SUBTOTAL(103,tbl_RIOT[BB_Stdev])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27</vt:i4>
      </vt:variant>
    </vt:vector>
  </HeadingPairs>
  <TitlesOfParts>
    <vt:vector size="48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Dashboard</vt:lpstr>
      <vt:lpstr>Dashboard_backend</vt:lpstr>
      <vt:lpstr>Format Control</vt:lpstr>
      <vt:lpstr>New Stock</vt:lpstr>
      <vt:lpstr>AMD!Adj_Close_HD</vt:lpstr>
      <vt:lpstr>CVX!Adj_Close_HD</vt:lpstr>
      <vt:lpstr>Adj_Close_HD</vt:lpstr>
      <vt:lpstr>BB_Periods</vt:lpstr>
      <vt:lpstr>BB_Width</vt:lpstr>
      <vt:lpstr>AMD!Date_List</vt:lpstr>
      <vt:lpstr>CVX!Date_List</vt:lpstr>
      <vt:lpstr>Date_List</vt:lpstr>
      <vt:lpstr>EMA_Beta</vt:lpstr>
      <vt:lpstr>Metrics</vt:lpstr>
      <vt:lpstr>AMD!pos_header</vt:lpstr>
      <vt:lpstr>CVX!pos_header</vt:lpstr>
      <vt:lpstr>pos_header</vt:lpstr>
      <vt:lpstr>AMD!Price_AAPL</vt:lpstr>
      <vt:lpstr>CVX!Price_AAPL</vt:lpstr>
      <vt:lpstr>Price_AAPL</vt:lpstr>
      <vt:lpstr>AMD!Price_HD</vt:lpstr>
      <vt:lpstr>CVX!Price_HD</vt:lpstr>
      <vt:lpstr>Price_HD</vt:lpstr>
      <vt:lpstr>AMD!Price_Header</vt:lpstr>
      <vt:lpstr>CVX!Price_Header</vt:lpstr>
      <vt:lpstr>Price_Header</vt:lpstr>
      <vt:lpstr>RSI_Periods</vt:lpstr>
      <vt:lpstr>AMD!Symbol</vt:lpstr>
      <vt:lpstr>CVX!Symbol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2020-10-14T11:51:50Z</dcterms:modified>
</cp:coreProperties>
</file>