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4000" windowHeight="9735" firstSheet="2" activeTab="10"/>
  </bookViews>
  <sheets>
    <sheet name="Home" sheetId="1" r:id="rId1"/>
    <sheet name="Transactions" sheetId="2" r:id="rId2"/>
    <sheet name="Lookup" sheetId="3" r:id="rId3"/>
    <sheet name="Positions" sheetId="4" r:id="rId4"/>
    <sheet name="HD" sheetId="7" r:id="rId5"/>
    <sheet name="AAPL" sheetId="5" r:id="rId6"/>
    <sheet name="WMT" sheetId="10" r:id="rId7"/>
    <sheet name="RIOT" sheetId="11" r:id="rId8"/>
    <sheet name="IBM" sheetId="12" r:id="rId9"/>
    <sheet name="ORCL" sheetId="13" r:id="rId10"/>
    <sheet name="Dashboard" sheetId="15" r:id="rId11"/>
    <sheet name="Dashboard_backend" sheetId="16" r:id="rId12"/>
  </sheets>
  <definedNames>
    <definedName name="Adj_Close_HD">tbl_HD[Adj Close]</definedName>
    <definedName name="BB_Periods">Lookup!$I$5</definedName>
    <definedName name="BB_Width">Lookup!$I$6</definedName>
    <definedName name="Date_List">tbl_HD[Date]</definedName>
    <definedName name="EMA_Beta">Lookup!$I$3</definedName>
    <definedName name="Metrics">Lookup!$E$4:$E$6</definedName>
    <definedName name="pos_header">tbl_position[#Headers]</definedName>
    <definedName name="Price_AAPL">tbl_AAPL[Adj Close]</definedName>
    <definedName name="Price_HD">tbl_HD[Adj Close]</definedName>
    <definedName name="Price_Header">tbl_HD[#Headers]</definedName>
    <definedName name="RSI_Periods">Lookup!$I$4</definedName>
    <definedName name="Symbol">tbl_symbol[Symbol]</definedName>
    <definedName name="Test">IF(#REF!="HD", Price_HD, Price_AAPL)</definedName>
    <definedName name="Total_filtered">#REF!</definedName>
    <definedName name="Transactions">Lookup!$C$4:$C$7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6" l="1"/>
  <c r="V13" i="16"/>
  <c r="AK5" i="16" l="1"/>
  <c r="AH7" i="16"/>
  <c r="AK7" i="16" s="1"/>
  <c r="AH6" i="16"/>
  <c r="AK6" i="16" s="1"/>
  <c r="E26" i="15"/>
  <c r="F22" i="15"/>
  <c r="U11" i="16"/>
  <c r="V6" i="16"/>
  <c r="F25" i="15"/>
  <c r="H22" i="15"/>
  <c r="D29" i="15"/>
  <c r="E24" i="15"/>
  <c r="T8" i="16"/>
  <c r="B25" i="15"/>
  <c r="C22" i="15"/>
  <c r="U14" i="16"/>
  <c r="B30" i="15"/>
  <c r="B26" i="15"/>
  <c r="F28" i="15"/>
  <c r="C24" i="15"/>
  <c r="B22" i="15"/>
  <c r="V11" i="16"/>
  <c r="D26" i="15"/>
  <c r="C30" i="15"/>
  <c r="G21" i="15"/>
  <c r="E22" i="15"/>
  <c r="D22" i="15"/>
  <c r="C28" i="15"/>
  <c r="G22" i="15"/>
  <c r="T14" i="16"/>
  <c r="E30" i="15"/>
  <c r="G30" i="15"/>
  <c r="T6" i="16"/>
  <c r="H29" i="15"/>
  <c r="F26" i="15"/>
  <c r="T7" i="16"/>
  <c r="B23" i="15"/>
  <c r="D28" i="15"/>
  <c r="D21" i="15"/>
  <c r="G26" i="15"/>
  <c r="G27" i="15"/>
  <c r="V10" i="16"/>
  <c r="F29" i="15"/>
  <c r="E25" i="15"/>
  <c r="F27" i="15"/>
  <c r="H28" i="15"/>
  <c r="G24" i="15"/>
  <c r="E21" i="15"/>
  <c r="U8" i="16"/>
  <c r="T5" i="16"/>
  <c r="U6" i="16"/>
  <c r="H21" i="15"/>
  <c r="V5" i="16"/>
  <c r="H23" i="15"/>
  <c r="U5" i="16"/>
  <c r="H25" i="15"/>
  <c r="U12" i="16"/>
  <c r="C29" i="15"/>
  <c r="E23" i="15"/>
  <c r="V14" i="16"/>
  <c r="C25" i="15"/>
  <c r="F30" i="15"/>
  <c r="U9" i="16"/>
  <c r="C23" i="15"/>
  <c r="C27" i="15"/>
  <c r="V7" i="16"/>
  <c r="V12" i="16"/>
  <c r="V9" i="16"/>
  <c r="C21" i="15"/>
  <c r="U10" i="16"/>
  <c r="F23" i="15"/>
  <c r="E29" i="15"/>
  <c r="C26" i="15"/>
  <c r="U7" i="16"/>
  <c r="D25" i="15"/>
  <c r="T11" i="16"/>
  <c r="D23" i="15"/>
  <c r="D24" i="15"/>
  <c r="T9" i="16"/>
  <c r="H27" i="15"/>
  <c r="H24" i="15"/>
  <c r="B27" i="15"/>
  <c r="T10" i="16"/>
  <c r="V8" i="16"/>
  <c r="G29" i="15"/>
  <c r="F21" i="15"/>
  <c r="G25" i="15"/>
  <c r="B21" i="15"/>
  <c r="B28" i="15"/>
  <c r="D30" i="15"/>
  <c r="G23" i="15"/>
  <c r="T12" i="16"/>
  <c r="U13" i="16"/>
  <c r="H26" i="15"/>
  <c r="H30" i="15"/>
  <c r="D27" i="15"/>
  <c r="T13" i="16"/>
  <c r="E28" i="15"/>
  <c r="B29" i="15"/>
  <c r="G28" i="15"/>
  <c r="B24" i="15"/>
  <c r="F24" i="15"/>
  <c r="E27" i="15"/>
  <c r="AB5" i="16" l="1"/>
  <c r="AB14" i="16"/>
  <c r="AB10" i="16"/>
  <c r="AB13" i="16"/>
  <c r="AB9" i="16"/>
  <c r="AB12" i="16"/>
  <c r="AB8" i="16"/>
  <c r="AB11" i="16"/>
  <c r="AB7" i="16"/>
  <c r="AB6" i="16"/>
  <c r="G3" i="15"/>
  <c r="G10" i="15" s="1"/>
  <c r="P5" i="16"/>
  <c r="P6" i="16"/>
  <c r="P7" i="16"/>
  <c r="P8" i="16"/>
  <c r="P9" i="16"/>
  <c r="P10" i="16"/>
  <c r="O5" i="16"/>
  <c r="O6" i="16"/>
  <c r="O7" i="16"/>
  <c r="O8" i="16"/>
  <c r="O9" i="16"/>
  <c r="O10" i="16"/>
  <c r="L7" i="16"/>
  <c r="L8" i="16"/>
  <c r="L9" i="16" s="1"/>
  <c r="L10" i="16" s="1"/>
  <c r="K7" i="16"/>
  <c r="K8" i="16"/>
  <c r="K9" i="16" s="1"/>
  <c r="K10" i="16" s="1"/>
  <c r="L6" i="16"/>
  <c r="K6" i="16"/>
  <c r="L5" i="16"/>
  <c r="C6" i="16"/>
  <c r="C7" i="16"/>
  <c r="C8" i="16"/>
  <c r="C9" i="16"/>
  <c r="C10" i="16"/>
  <c r="C5" i="16"/>
  <c r="D8" i="16"/>
  <c r="D7" i="16"/>
  <c r="D9" i="16"/>
  <c r="D10" i="16"/>
  <c r="D5" i="16"/>
  <c r="D6" i="16"/>
  <c r="G12" i="15" l="1"/>
  <c r="G11" i="15"/>
  <c r="G13" i="15"/>
  <c r="J5" i="13"/>
  <c r="K5" i="13" s="1"/>
  <c r="J6" i="13"/>
  <c r="K6" i="13" s="1"/>
  <c r="J7" i="13"/>
  <c r="K7" i="13" s="1"/>
  <c r="J8" i="13"/>
  <c r="K8" i="13" s="1"/>
  <c r="J9" i="13"/>
  <c r="K9" i="13" s="1"/>
  <c r="J10" i="13"/>
  <c r="K10" i="13" s="1"/>
  <c r="J11" i="13"/>
  <c r="K11" i="13" s="1"/>
  <c r="J12" i="13"/>
  <c r="K12" i="13" s="1"/>
  <c r="J13" i="13"/>
  <c r="K13" i="13" s="1"/>
  <c r="J14" i="13"/>
  <c r="K14" i="13" s="1"/>
  <c r="J15" i="13"/>
  <c r="K15" i="13" s="1"/>
  <c r="J16" i="13"/>
  <c r="K16" i="13" s="1"/>
  <c r="J17" i="13"/>
  <c r="K17" i="13" s="1"/>
  <c r="J5" i="12"/>
  <c r="K5" i="12" s="1"/>
  <c r="J6" i="12"/>
  <c r="K6" i="12" s="1"/>
  <c r="J7" i="12"/>
  <c r="K7" i="12" s="1"/>
  <c r="J8" i="12"/>
  <c r="K8" i="12" s="1"/>
  <c r="J9" i="12"/>
  <c r="K9" i="12" s="1"/>
  <c r="J10" i="12"/>
  <c r="K10" i="12" s="1"/>
  <c r="J11" i="12"/>
  <c r="K11" i="12" s="1"/>
  <c r="J12" i="12"/>
  <c r="K12" i="12" s="1"/>
  <c r="J13" i="12"/>
  <c r="K13" i="12" s="1"/>
  <c r="J14" i="12"/>
  <c r="K14" i="12" s="1"/>
  <c r="J15" i="12"/>
  <c r="K15" i="12" s="1"/>
  <c r="J16" i="12"/>
  <c r="K16" i="12" s="1"/>
  <c r="J17" i="12"/>
  <c r="K17" i="12" s="1"/>
  <c r="J5" i="11"/>
  <c r="K5" i="11" s="1"/>
  <c r="J6" i="11"/>
  <c r="K6" i="11" s="1"/>
  <c r="J7" i="11"/>
  <c r="K7" i="11" s="1"/>
  <c r="J8" i="11"/>
  <c r="K8" i="11" s="1"/>
  <c r="J9" i="11"/>
  <c r="K9" i="11" s="1"/>
  <c r="J10" i="11"/>
  <c r="K10" i="11" s="1"/>
  <c r="J11" i="11"/>
  <c r="K11" i="11" s="1"/>
  <c r="J12" i="11"/>
  <c r="K12" i="11" s="1"/>
  <c r="J13" i="11"/>
  <c r="K13" i="11" s="1"/>
  <c r="J14" i="11"/>
  <c r="K14" i="11" s="1"/>
  <c r="J15" i="11"/>
  <c r="K15" i="11" s="1"/>
  <c r="J16" i="11"/>
  <c r="K16" i="11" s="1"/>
  <c r="J17" i="11"/>
  <c r="K17" i="11" s="1"/>
  <c r="J5" i="7"/>
  <c r="L5" i="7" s="1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5" i="5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0"/>
  <c r="P5" i="13"/>
  <c r="R5" i="13" s="1"/>
  <c r="I5" i="13" s="1"/>
  <c r="P6" i="13"/>
  <c r="R6" i="13" s="1"/>
  <c r="I6" i="13" s="1"/>
  <c r="P7" i="13"/>
  <c r="R7" i="13" s="1"/>
  <c r="I7" i="13" s="1"/>
  <c r="P8" i="13"/>
  <c r="R8" i="13" s="1"/>
  <c r="I8" i="13" s="1"/>
  <c r="P9" i="13"/>
  <c r="R9" i="13" s="1"/>
  <c r="I9" i="13" s="1"/>
  <c r="P10" i="13"/>
  <c r="R10" i="13" s="1"/>
  <c r="I10" i="13" s="1"/>
  <c r="P11" i="13"/>
  <c r="R11" i="13" s="1"/>
  <c r="I11" i="13" s="1"/>
  <c r="P12" i="13"/>
  <c r="R12" i="13" s="1"/>
  <c r="I12" i="13" s="1"/>
  <c r="P13" i="13"/>
  <c r="R13" i="13" s="1"/>
  <c r="I13" i="13" s="1"/>
  <c r="P14" i="13"/>
  <c r="R14" i="13" s="1"/>
  <c r="I14" i="13" s="1"/>
  <c r="P15" i="13"/>
  <c r="R15" i="13" s="1"/>
  <c r="I15" i="13" s="1"/>
  <c r="P16" i="13"/>
  <c r="R16" i="13" s="1"/>
  <c r="I16" i="13" s="1"/>
  <c r="P17" i="13"/>
  <c r="R17" i="13" s="1"/>
  <c r="I17" i="13" s="1"/>
  <c r="P18" i="13"/>
  <c r="R18" i="13" s="1"/>
  <c r="I18" i="13" s="1"/>
  <c r="P5" i="12"/>
  <c r="R5" i="12" s="1"/>
  <c r="I5" i="12" s="1"/>
  <c r="P6" i="12"/>
  <c r="R6" i="12" s="1"/>
  <c r="I6" i="12" s="1"/>
  <c r="P7" i="12"/>
  <c r="R7" i="12" s="1"/>
  <c r="I7" i="12" s="1"/>
  <c r="P8" i="12"/>
  <c r="R8" i="12" s="1"/>
  <c r="I8" i="12" s="1"/>
  <c r="P9" i="12"/>
  <c r="R9" i="12" s="1"/>
  <c r="I9" i="12" s="1"/>
  <c r="P10" i="12"/>
  <c r="R10" i="12" s="1"/>
  <c r="I10" i="12" s="1"/>
  <c r="P11" i="12"/>
  <c r="R11" i="12" s="1"/>
  <c r="I11" i="12" s="1"/>
  <c r="P12" i="12"/>
  <c r="R12" i="12" s="1"/>
  <c r="I12" i="12" s="1"/>
  <c r="P13" i="12"/>
  <c r="R13" i="12" s="1"/>
  <c r="I13" i="12" s="1"/>
  <c r="P14" i="12"/>
  <c r="R14" i="12" s="1"/>
  <c r="I14" i="12" s="1"/>
  <c r="P15" i="12"/>
  <c r="R15" i="12" s="1"/>
  <c r="I15" i="12" s="1"/>
  <c r="P16" i="12"/>
  <c r="R16" i="12" s="1"/>
  <c r="I16" i="12" s="1"/>
  <c r="P17" i="12"/>
  <c r="R17" i="12" s="1"/>
  <c r="I17" i="12" s="1"/>
  <c r="P18" i="12"/>
  <c r="R18" i="12" s="1"/>
  <c r="I18" i="12" s="1"/>
  <c r="P5" i="11"/>
  <c r="R5" i="11" s="1"/>
  <c r="I5" i="11" s="1"/>
  <c r="P6" i="11"/>
  <c r="R6" i="11" s="1"/>
  <c r="I6" i="11" s="1"/>
  <c r="P7" i="11"/>
  <c r="R7" i="11" s="1"/>
  <c r="I7" i="11" s="1"/>
  <c r="P8" i="11"/>
  <c r="R8" i="11" s="1"/>
  <c r="I8" i="11" s="1"/>
  <c r="P9" i="11"/>
  <c r="R9" i="11" s="1"/>
  <c r="I9" i="11" s="1"/>
  <c r="P10" i="11"/>
  <c r="R10" i="11" s="1"/>
  <c r="I10" i="11" s="1"/>
  <c r="P11" i="11"/>
  <c r="R11" i="11" s="1"/>
  <c r="I11" i="11" s="1"/>
  <c r="P12" i="11"/>
  <c r="R12" i="11" s="1"/>
  <c r="I12" i="11" s="1"/>
  <c r="P13" i="11"/>
  <c r="R13" i="11" s="1"/>
  <c r="I13" i="11" s="1"/>
  <c r="P14" i="11"/>
  <c r="R14" i="11" s="1"/>
  <c r="I14" i="11" s="1"/>
  <c r="P15" i="11"/>
  <c r="R15" i="11" s="1"/>
  <c r="I15" i="11" s="1"/>
  <c r="P16" i="11"/>
  <c r="R16" i="11" s="1"/>
  <c r="I16" i="11" s="1"/>
  <c r="P17" i="11"/>
  <c r="R17" i="11" s="1"/>
  <c r="I17" i="11" s="1"/>
  <c r="P18" i="11"/>
  <c r="R18" i="11" s="1"/>
  <c r="I18" i="11" s="1"/>
  <c r="P5" i="10"/>
  <c r="M5" i="13"/>
  <c r="O5" i="13" s="1"/>
  <c r="M6" i="13"/>
  <c r="N6" i="13" s="1"/>
  <c r="M7" i="13"/>
  <c r="O7" i="13" s="1"/>
  <c r="M8" i="13"/>
  <c r="O8" i="13" s="1"/>
  <c r="M9" i="13"/>
  <c r="O9" i="13" s="1"/>
  <c r="M10" i="13"/>
  <c r="N10" i="13" s="1"/>
  <c r="M11" i="13"/>
  <c r="O11" i="13" s="1"/>
  <c r="M12" i="13"/>
  <c r="O12" i="13" s="1"/>
  <c r="M13" i="13"/>
  <c r="O13" i="13" s="1"/>
  <c r="M14" i="13"/>
  <c r="N14" i="13" s="1"/>
  <c r="M15" i="13"/>
  <c r="O15" i="13" s="1"/>
  <c r="M16" i="13"/>
  <c r="O16" i="13" s="1"/>
  <c r="M17" i="13"/>
  <c r="O17" i="13" s="1"/>
  <c r="M18" i="13"/>
  <c r="N18" i="13" s="1"/>
  <c r="M19" i="13"/>
  <c r="O19" i="13" s="1"/>
  <c r="M20" i="13"/>
  <c r="O20" i="13" s="1"/>
  <c r="M21" i="13"/>
  <c r="O21" i="13" s="1"/>
  <c r="M22" i="13"/>
  <c r="N22" i="13" s="1"/>
  <c r="M23" i="13"/>
  <c r="O23" i="13" s="1"/>
  <c r="M24" i="13"/>
  <c r="O24" i="13" s="1"/>
  <c r="M25" i="13"/>
  <c r="O25" i="13" s="1"/>
  <c r="M26" i="13"/>
  <c r="N26" i="13" s="1"/>
  <c r="M27" i="13"/>
  <c r="O27" i="13" s="1"/>
  <c r="M28" i="13"/>
  <c r="O28" i="13" s="1"/>
  <c r="M5" i="12"/>
  <c r="O5" i="12" s="1"/>
  <c r="M6" i="12"/>
  <c r="N6" i="12" s="1"/>
  <c r="M7" i="12"/>
  <c r="O7" i="12" s="1"/>
  <c r="M8" i="12"/>
  <c r="O8" i="12" s="1"/>
  <c r="M9" i="12"/>
  <c r="O9" i="12" s="1"/>
  <c r="M10" i="12"/>
  <c r="N10" i="12" s="1"/>
  <c r="M11" i="12"/>
  <c r="O11" i="12" s="1"/>
  <c r="M12" i="12"/>
  <c r="O12" i="12" s="1"/>
  <c r="M13" i="12"/>
  <c r="O13" i="12" s="1"/>
  <c r="M14" i="12"/>
  <c r="N14" i="12" s="1"/>
  <c r="M15" i="12"/>
  <c r="O15" i="12" s="1"/>
  <c r="M16" i="12"/>
  <c r="O16" i="12" s="1"/>
  <c r="M17" i="12"/>
  <c r="O17" i="12" s="1"/>
  <c r="M18" i="12"/>
  <c r="N18" i="12" s="1"/>
  <c r="M19" i="12"/>
  <c r="O19" i="12" s="1"/>
  <c r="M20" i="12"/>
  <c r="O20" i="12" s="1"/>
  <c r="M21" i="12"/>
  <c r="O21" i="12" s="1"/>
  <c r="M22" i="12"/>
  <c r="N22" i="12" s="1"/>
  <c r="M23" i="12"/>
  <c r="O23" i="12" s="1"/>
  <c r="M24" i="12"/>
  <c r="O24" i="12" s="1"/>
  <c r="M25" i="12"/>
  <c r="O25" i="12" s="1"/>
  <c r="M26" i="12"/>
  <c r="N26" i="12" s="1"/>
  <c r="M27" i="12"/>
  <c r="O27" i="12" s="1"/>
  <c r="M28" i="12"/>
  <c r="O28" i="12" s="1"/>
  <c r="M5" i="11"/>
  <c r="O5" i="11" s="1"/>
  <c r="M6" i="11"/>
  <c r="N6" i="11" s="1"/>
  <c r="M7" i="11"/>
  <c r="O7" i="11" s="1"/>
  <c r="M8" i="11"/>
  <c r="O8" i="11" s="1"/>
  <c r="M9" i="11"/>
  <c r="O9" i="11" s="1"/>
  <c r="M10" i="11"/>
  <c r="N10" i="11" s="1"/>
  <c r="M11" i="11"/>
  <c r="O11" i="11" s="1"/>
  <c r="M12" i="11"/>
  <c r="O12" i="11" s="1"/>
  <c r="M13" i="11"/>
  <c r="O13" i="11" s="1"/>
  <c r="M14" i="11"/>
  <c r="N14" i="11" s="1"/>
  <c r="M15" i="11"/>
  <c r="O15" i="11" s="1"/>
  <c r="M16" i="11"/>
  <c r="O16" i="11" s="1"/>
  <c r="M17" i="11"/>
  <c r="O17" i="11" s="1"/>
  <c r="M18" i="11"/>
  <c r="N18" i="11" s="1"/>
  <c r="M19" i="11"/>
  <c r="O19" i="11" s="1"/>
  <c r="M20" i="11"/>
  <c r="O20" i="11" s="1"/>
  <c r="M21" i="11"/>
  <c r="O21" i="11" s="1"/>
  <c r="M22" i="11"/>
  <c r="N22" i="11" s="1"/>
  <c r="M23" i="11"/>
  <c r="O23" i="11" s="1"/>
  <c r="M24" i="11"/>
  <c r="O24" i="11" s="1"/>
  <c r="M25" i="11"/>
  <c r="O25" i="11" s="1"/>
  <c r="M26" i="11"/>
  <c r="N26" i="11" s="1"/>
  <c r="M27" i="11"/>
  <c r="O27" i="11" s="1"/>
  <c r="M28" i="11"/>
  <c r="O28" i="11" s="1"/>
  <c r="M5" i="5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5" i="12"/>
  <c r="H6" i="12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5" i="1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5" i="10"/>
  <c r="J18" i="13"/>
  <c r="S21" i="11"/>
  <c r="S21" i="12"/>
  <c r="S18" i="12"/>
  <c r="S20" i="12"/>
  <c r="S24" i="12"/>
  <c r="J21" i="13"/>
  <c r="S19" i="12"/>
  <c r="J24" i="13"/>
  <c r="J28" i="12"/>
  <c r="S28" i="13"/>
  <c r="J24" i="12"/>
  <c r="S26" i="13"/>
  <c r="J28" i="13"/>
  <c r="J26" i="13"/>
  <c r="S21" i="13"/>
  <c r="S23" i="12"/>
  <c r="J23" i="11"/>
  <c r="S26" i="12"/>
  <c r="J18" i="12"/>
  <c r="S25" i="11"/>
  <c r="S26" i="11"/>
  <c r="J23" i="13"/>
  <c r="S19" i="13"/>
  <c r="S18" i="11"/>
  <c r="S24" i="13"/>
  <c r="J19" i="13"/>
  <c r="S22" i="13"/>
  <c r="S20" i="13"/>
  <c r="S22" i="12"/>
  <c r="J25" i="13"/>
  <c r="S23" i="13"/>
  <c r="J19" i="12"/>
  <c r="J21" i="11"/>
  <c r="J20" i="12"/>
  <c r="J20" i="11"/>
  <c r="J18" i="11"/>
  <c r="J22" i="13"/>
  <c r="J23" i="12"/>
  <c r="J25" i="12"/>
  <c r="J21" i="12"/>
  <c r="J22" i="11"/>
  <c r="J24" i="11"/>
  <c r="S20" i="11"/>
  <c r="J28" i="11"/>
  <c r="J26" i="12"/>
  <c r="S28" i="12"/>
  <c r="J27" i="11"/>
  <c r="S22" i="11"/>
  <c r="J22" i="12"/>
  <c r="S23" i="11"/>
  <c r="S19" i="11"/>
  <c r="J20" i="13"/>
  <c r="S28" i="11"/>
  <c r="S24" i="11"/>
  <c r="J27" i="12"/>
  <c r="J25" i="11"/>
  <c r="S18" i="13"/>
  <c r="S25" i="12"/>
  <c r="J26" i="11"/>
  <c r="S25" i="13"/>
  <c r="S27" i="13"/>
  <c r="S27" i="12"/>
  <c r="J19" i="11"/>
  <c r="J27" i="13"/>
  <c r="S27" i="11"/>
  <c r="N25" i="11" l="1"/>
  <c r="N21" i="11"/>
  <c r="N17" i="11"/>
  <c r="N13" i="11"/>
  <c r="N9" i="11"/>
  <c r="N5" i="11"/>
  <c r="N25" i="12"/>
  <c r="N21" i="12"/>
  <c r="N17" i="12"/>
  <c r="N13" i="12"/>
  <c r="N9" i="12"/>
  <c r="N5" i="12"/>
  <c r="N25" i="13"/>
  <c r="N21" i="13"/>
  <c r="N17" i="13"/>
  <c r="N13" i="13"/>
  <c r="N9" i="13"/>
  <c r="N5" i="13"/>
  <c r="O26" i="11"/>
  <c r="O22" i="11"/>
  <c r="O18" i="11"/>
  <c r="O14" i="11"/>
  <c r="O10" i="11"/>
  <c r="O6" i="11"/>
  <c r="O26" i="12"/>
  <c r="O22" i="12"/>
  <c r="O18" i="12"/>
  <c r="O14" i="12"/>
  <c r="O10" i="12"/>
  <c r="O6" i="12"/>
  <c r="O26" i="13"/>
  <c r="O22" i="13"/>
  <c r="O18" i="13"/>
  <c r="O14" i="13"/>
  <c r="O10" i="13"/>
  <c r="O6" i="13"/>
  <c r="N28" i="11"/>
  <c r="N24" i="11"/>
  <c r="N20" i="11"/>
  <c r="N16" i="11"/>
  <c r="N12" i="11"/>
  <c r="N8" i="11"/>
  <c r="N28" i="12"/>
  <c r="N24" i="12"/>
  <c r="N20" i="12"/>
  <c r="N16" i="12"/>
  <c r="N12" i="12"/>
  <c r="N8" i="12"/>
  <c r="N28" i="13"/>
  <c r="N24" i="13"/>
  <c r="N20" i="13"/>
  <c r="N16" i="13"/>
  <c r="N12" i="13"/>
  <c r="N8" i="13"/>
  <c r="N27" i="11"/>
  <c r="N23" i="11"/>
  <c r="N19" i="11"/>
  <c r="N15" i="11"/>
  <c r="N11" i="11"/>
  <c r="N7" i="11"/>
  <c r="N27" i="12"/>
  <c r="N23" i="12"/>
  <c r="N19" i="12"/>
  <c r="N15" i="12"/>
  <c r="N11" i="12"/>
  <c r="N7" i="12"/>
  <c r="N27" i="13"/>
  <c r="N23" i="13"/>
  <c r="N19" i="13"/>
  <c r="N15" i="13"/>
  <c r="N11" i="13"/>
  <c r="N7" i="13"/>
  <c r="L8" i="13"/>
  <c r="L12" i="13"/>
  <c r="L16" i="13"/>
  <c r="L28" i="13"/>
  <c r="L27" i="13"/>
  <c r="L23" i="13"/>
  <c r="L19" i="13"/>
  <c r="L20" i="13"/>
  <c r="L26" i="13"/>
  <c r="L22" i="13"/>
  <c r="L18" i="13"/>
  <c r="L24" i="13"/>
  <c r="L25" i="13"/>
  <c r="L21" i="13"/>
  <c r="L5" i="13"/>
  <c r="L9" i="13"/>
  <c r="L13" i="13"/>
  <c r="L17" i="13"/>
  <c r="L6" i="13"/>
  <c r="L10" i="13"/>
  <c r="L14" i="13"/>
  <c r="L7" i="13"/>
  <c r="L11" i="13"/>
  <c r="L15" i="13"/>
  <c r="L24" i="12"/>
  <c r="L27" i="12"/>
  <c r="L23" i="12"/>
  <c r="L19" i="12"/>
  <c r="L20" i="12"/>
  <c r="L26" i="12"/>
  <c r="L22" i="12"/>
  <c r="L18" i="12"/>
  <c r="L28" i="12"/>
  <c r="L25" i="12"/>
  <c r="L21" i="12"/>
  <c r="L12" i="12"/>
  <c r="L16" i="11"/>
  <c r="L15" i="12"/>
  <c r="L11" i="12"/>
  <c r="L7" i="12"/>
  <c r="L8" i="12"/>
  <c r="L12" i="11"/>
  <c r="L14" i="12"/>
  <c r="L10" i="12"/>
  <c r="L6" i="12"/>
  <c r="L16" i="12"/>
  <c r="L8" i="11"/>
  <c r="L17" i="12"/>
  <c r="L13" i="12"/>
  <c r="L9" i="12"/>
  <c r="L5" i="12"/>
  <c r="L24" i="11"/>
  <c r="L27" i="11"/>
  <c r="L19" i="11"/>
  <c r="L26" i="11"/>
  <c r="L18" i="11"/>
  <c r="L28" i="11"/>
  <c r="L20" i="11"/>
  <c r="L23" i="11"/>
  <c r="L22" i="11"/>
  <c r="L25" i="11"/>
  <c r="L21" i="11"/>
  <c r="L15" i="11"/>
  <c r="L11" i="11"/>
  <c r="L7" i="11"/>
  <c r="L14" i="11"/>
  <c r="L10" i="11"/>
  <c r="L6" i="11"/>
  <c r="L17" i="11"/>
  <c r="L13" i="11"/>
  <c r="L9" i="11"/>
  <c r="L5" i="11"/>
  <c r="K28" i="13"/>
  <c r="K27" i="13"/>
  <c r="K23" i="13"/>
  <c r="K19" i="13"/>
  <c r="K20" i="13"/>
  <c r="K26" i="13"/>
  <c r="K22" i="13"/>
  <c r="K18" i="13"/>
  <c r="K24" i="13"/>
  <c r="K25" i="13"/>
  <c r="K21" i="13"/>
  <c r="K24" i="12"/>
  <c r="K27" i="12"/>
  <c r="K23" i="12"/>
  <c r="K19" i="12"/>
  <c r="K20" i="12"/>
  <c r="K26" i="12"/>
  <c r="K22" i="12"/>
  <c r="K18" i="12"/>
  <c r="K28" i="12"/>
  <c r="K25" i="12"/>
  <c r="K21" i="12"/>
  <c r="K24" i="11"/>
  <c r="K27" i="11"/>
  <c r="K19" i="11"/>
  <c r="K26" i="11"/>
  <c r="K18" i="11"/>
  <c r="K28" i="11"/>
  <c r="K20" i="11"/>
  <c r="K23" i="11"/>
  <c r="K22" i="11"/>
  <c r="K25" i="11"/>
  <c r="K21" i="11"/>
  <c r="J5" i="10"/>
  <c r="K5" i="10" s="1"/>
  <c r="J6" i="10"/>
  <c r="K6" i="10" s="1"/>
  <c r="J7" i="10"/>
  <c r="K7" i="10" s="1"/>
  <c r="J8" i="10"/>
  <c r="K8" i="10" s="1"/>
  <c r="J9" i="10"/>
  <c r="K9" i="10" s="1"/>
  <c r="J10" i="10"/>
  <c r="K10" i="10" s="1"/>
  <c r="J11" i="10"/>
  <c r="K11" i="10" s="1"/>
  <c r="J12" i="10"/>
  <c r="K12" i="10" s="1"/>
  <c r="J13" i="10"/>
  <c r="K13" i="10" s="1"/>
  <c r="J14" i="10"/>
  <c r="K14" i="10" s="1"/>
  <c r="J15" i="10"/>
  <c r="K15" i="10" s="1"/>
  <c r="J16" i="10"/>
  <c r="K16" i="10" s="1"/>
  <c r="J17" i="10"/>
  <c r="K17" i="10" s="1"/>
  <c r="K5" i="7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5" i="7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5" i="7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5" i="7"/>
  <c r="R5" i="10"/>
  <c r="I5" i="10" s="1"/>
  <c r="P6" i="10"/>
  <c r="R6" i="10" s="1"/>
  <c r="I6" i="10" s="1"/>
  <c r="P7" i="10"/>
  <c r="R7" i="10" s="1"/>
  <c r="I7" i="10" s="1"/>
  <c r="P8" i="10"/>
  <c r="R8" i="10" s="1"/>
  <c r="I8" i="10" s="1"/>
  <c r="P9" i="10"/>
  <c r="R9" i="10" s="1"/>
  <c r="I9" i="10" s="1"/>
  <c r="P10" i="10"/>
  <c r="R10" i="10" s="1"/>
  <c r="I10" i="10" s="1"/>
  <c r="P11" i="10"/>
  <c r="R11" i="10" s="1"/>
  <c r="I11" i="10" s="1"/>
  <c r="P12" i="10"/>
  <c r="R12" i="10" s="1"/>
  <c r="I12" i="10" s="1"/>
  <c r="P13" i="10"/>
  <c r="R13" i="10" s="1"/>
  <c r="I13" i="10" s="1"/>
  <c r="P14" i="10"/>
  <c r="R14" i="10" s="1"/>
  <c r="I14" i="10" s="1"/>
  <c r="P15" i="10"/>
  <c r="R15" i="10" s="1"/>
  <c r="I15" i="10" s="1"/>
  <c r="P16" i="10"/>
  <c r="R16" i="10" s="1"/>
  <c r="I16" i="10" s="1"/>
  <c r="P17" i="10"/>
  <c r="R17" i="10" s="1"/>
  <c r="I17" i="10" s="1"/>
  <c r="P18" i="10"/>
  <c r="R18" i="10" s="1"/>
  <c r="I18" i="10" s="1"/>
  <c r="P5" i="7"/>
  <c r="R5" i="7" s="1"/>
  <c r="I5" i="7" s="1"/>
  <c r="M5" i="10"/>
  <c r="M6" i="10"/>
  <c r="O6" i="10" s="1"/>
  <c r="M7" i="10"/>
  <c r="N7" i="10" s="1"/>
  <c r="M8" i="10"/>
  <c r="M9" i="10"/>
  <c r="O9" i="10" s="1"/>
  <c r="M10" i="10"/>
  <c r="O10" i="10" s="1"/>
  <c r="M11" i="10"/>
  <c r="N11" i="10" s="1"/>
  <c r="M12" i="10"/>
  <c r="M13" i="10"/>
  <c r="O13" i="10" s="1"/>
  <c r="M14" i="10"/>
  <c r="O14" i="10" s="1"/>
  <c r="M15" i="10"/>
  <c r="N15" i="10" s="1"/>
  <c r="M16" i="10"/>
  <c r="M17" i="10"/>
  <c r="O17" i="10" s="1"/>
  <c r="M18" i="10"/>
  <c r="N18" i="10" s="1"/>
  <c r="M19" i="10"/>
  <c r="N19" i="10" s="1"/>
  <c r="M20" i="10"/>
  <c r="M21" i="10"/>
  <c r="O21" i="10" s="1"/>
  <c r="M22" i="10"/>
  <c r="O22" i="10" s="1"/>
  <c r="M23" i="10"/>
  <c r="N23" i="10" s="1"/>
  <c r="M24" i="10"/>
  <c r="M25" i="10"/>
  <c r="O25" i="10" s="1"/>
  <c r="M26" i="10"/>
  <c r="N26" i="10" s="1"/>
  <c r="M27" i="10"/>
  <c r="N27" i="10" s="1"/>
  <c r="M28" i="10"/>
  <c r="M5" i="7"/>
  <c r="O5" i="7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S6" i="5"/>
  <c r="S7" i="5"/>
  <c r="S8" i="5"/>
  <c r="S9" i="5"/>
  <c r="S10" i="5"/>
  <c r="S11" i="5"/>
  <c r="S12" i="5"/>
  <c r="S13" i="5"/>
  <c r="S14" i="5"/>
  <c r="S15" i="5"/>
  <c r="S16" i="5"/>
  <c r="S17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P5" i="5"/>
  <c r="P6" i="5"/>
  <c r="R6" i="5" s="1"/>
  <c r="I6" i="5" s="1"/>
  <c r="P7" i="5"/>
  <c r="R7" i="5" s="1"/>
  <c r="I7" i="5" s="1"/>
  <c r="P8" i="5"/>
  <c r="R8" i="5" s="1"/>
  <c r="I8" i="5" s="1"/>
  <c r="P9" i="5"/>
  <c r="R9" i="5" s="1"/>
  <c r="I9" i="5" s="1"/>
  <c r="P10" i="5"/>
  <c r="R10" i="5" s="1"/>
  <c r="I10" i="5" s="1"/>
  <c r="P11" i="5"/>
  <c r="R11" i="5" s="1"/>
  <c r="I11" i="5" s="1"/>
  <c r="P12" i="5"/>
  <c r="R12" i="5" s="1"/>
  <c r="I12" i="5" s="1"/>
  <c r="P13" i="5"/>
  <c r="R13" i="5" s="1"/>
  <c r="I13" i="5" s="1"/>
  <c r="P14" i="5"/>
  <c r="R14" i="5" s="1"/>
  <c r="I14" i="5" s="1"/>
  <c r="P15" i="5"/>
  <c r="R15" i="5" s="1"/>
  <c r="I15" i="5" s="1"/>
  <c r="P16" i="5"/>
  <c r="R16" i="5" s="1"/>
  <c r="I16" i="5" s="1"/>
  <c r="P17" i="5"/>
  <c r="R17" i="5" s="1"/>
  <c r="I17" i="5" s="1"/>
  <c r="P18" i="5"/>
  <c r="R18" i="5" s="1"/>
  <c r="I18" i="5" s="1"/>
  <c r="O5" i="5"/>
  <c r="M6" i="5"/>
  <c r="O6" i="5" s="1"/>
  <c r="M7" i="5"/>
  <c r="O7" i="5" s="1"/>
  <c r="M8" i="5"/>
  <c r="O8" i="5" s="1"/>
  <c r="M9" i="5"/>
  <c r="O9" i="5" s="1"/>
  <c r="M10" i="5"/>
  <c r="O10" i="5" s="1"/>
  <c r="M11" i="5"/>
  <c r="O11" i="5" s="1"/>
  <c r="M12" i="5"/>
  <c r="O12" i="5" s="1"/>
  <c r="M13" i="5"/>
  <c r="O13" i="5" s="1"/>
  <c r="M14" i="5"/>
  <c r="O14" i="5" s="1"/>
  <c r="M15" i="5"/>
  <c r="O15" i="5" s="1"/>
  <c r="M16" i="5"/>
  <c r="N16" i="5" s="1"/>
  <c r="M17" i="5"/>
  <c r="O17" i="5" s="1"/>
  <c r="M18" i="5"/>
  <c r="O18" i="5" s="1"/>
  <c r="M19" i="5"/>
  <c r="O19" i="5" s="1"/>
  <c r="M20" i="5"/>
  <c r="O20" i="5" s="1"/>
  <c r="M21" i="5"/>
  <c r="O21" i="5" s="1"/>
  <c r="M22" i="5"/>
  <c r="O22" i="5" s="1"/>
  <c r="M23" i="5"/>
  <c r="O23" i="5" s="1"/>
  <c r="M24" i="5"/>
  <c r="N24" i="5" s="1"/>
  <c r="M25" i="5"/>
  <c r="O25" i="5" s="1"/>
  <c r="M26" i="5"/>
  <c r="O26" i="5" s="1"/>
  <c r="M27" i="5"/>
  <c r="O27" i="5" s="1"/>
  <c r="M28" i="5"/>
  <c r="O28" i="5" s="1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S6" i="7"/>
  <c r="S7" i="7"/>
  <c r="S8" i="7"/>
  <c r="S9" i="7"/>
  <c r="S10" i="7"/>
  <c r="S11" i="7"/>
  <c r="S12" i="7"/>
  <c r="S13" i="7"/>
  <c r="S14" i="7"/>
  <c r="S15" i="7"/>
  <c r="S16" i="7"/>
  <c r="S17" i="7"/>
  <c r="J6" i="7"/>
  <c r="K6" i="7" s="1"/>
  <c r="J7" i="7"/>
  <c r="K7" i="7" s="1"/>
  <c r="J8" i="7"/>
  <c r="K8" i="7" s="1"/>
  <c r="J9" i="7"/>
  <c r="K9" i="7" s="1"/>
  <c r="J10" i="7"/>
  <c r="K10" i="7" s="1"/>
  <c r="J11" i="7"/>
  <c r="K11" i="7" s="1"/>
  <c r="J12" i="7"/>
  <c r="K12" i="7" s="1"/>
  <c r="J13" i="7"/>
  <c r="K13" i="7" s="1"/>
  <c r="J14" i="7"/>
  <c r="K14" i="7" s="1"/>
  <c r="J15" i="7"/>
  <c r="K15" i="7" s="1"/>
  <c r="J16" i="7"/>
  <c r="K16" i="7" s="1"/>
  <c r="J17" i="7"/>
  <c r="K17" i="7" s="1"/>
  <c r="Q6" i="7"/>
  <c r="Q7" i="7"/>
  <c r="Q8" i="7"/>
  <c r="Q9" i="7"/>
  <c r="Q10" i="7"/>
  <c r="Q11" i="7"/>
  <c r="Q12" i="7"/>
  <c r="Q13" i="7"/>
  <c r="Q14" i="7"/>
  <c r="Q15" i="7"/>
  <c r="Q16" i="7"/>
  <c r="Q17" i="7"/>
  <c r="P6" i="7"/>
  <c r="R6" i="7" s="1"/>
  <c r="I6" i="7" s="1"/>
  <c r="P7" i="7"/>
  <c r="R7" i="7" s="1"/>
  <c r="I7" i="7" s="1"/>
  <c r="P8" i="7"/>
  <c r="R8" i="7" s="1"/>
  <c r="I8" i="7" s="1"/>
  <c r="P9" i="7"/>
  <c r="R9" i="7" s="1"/>
  <c r="I9" i="7" s="1"/>
  <c r="P10" i="7"/>
  <c r="R10" i="7" s="1"/>
  <c r="I10" i="7" s="1"/>
  <c r="P11" i="7"/>
  <c r="R11" i="7" s="1"/>
  <c r="I11" i="7" s="1"/>
  <c r="P12" i="7"/>
  <c r="R12" i="7" s="1"/>
  <c r="I12" i="7" s="1"/>
  <c r="P13" i="7"/>
  <c r="R13" i="7" s="1"/>
  <c r="I13" i="7" s="1"/>
  <c r="P14" i="7"/>
  <c r="R14" i="7" s="1"/>
  <c r="I14" i="7" s="1"/>
  <c r="P15" i="7"/>
  <c r="R15" i="7" s="1"/>
  <c r="I15" i="7" s="1"/>
  <c r="P16" i="7"/>
  <c r="R16" i="7" s="1"/>
  <c r="I16" i="7" s="1"/>
  <c r="P17" i="7"/>
  <c r="R17" i="7" s="1"/>
  <c r="I17" i="7" s="1"/>
  <c r="M17" i="7"/>
  <c r="N17" i="7" s="1"/>
  <c r="M28" i="7"/>
  <c r="N28" i="7" s="1"/>
  <c r="M10" i="7"/>
  <c r="N10" i="7" s="1"/>
  <c r="M6" i="7"/>
  <c r="N6" i="7" s="1"/>
  <c r="M7" i="7"/>
  <c r="N7" i="7" s="1"/>
  <c r="M8" i="7"/>
  <c r="O8" i="7" s="1"/>
  <c r="M9" i="7"/>
  <c r="N9" i="7" s="1"/>
  <c r="M11" i="7"/>
  <c r="N11" i="7" s="1"/>
  <c r="M12" i="7"/>
  <c r="N12" i="7" s="1"/>
  <c r="M13" i="7"/>
  <c r="N13" i="7" s="1"/>
  <c r="M14" i="7"/>
  <c r="N14" i="7" s="1"/>
  <c r="M15" i="7"/>
  <c r="N15" i="7" s="1"/>
  <c r="M16" i="7"/>
  <c r="N16" i="7" s="1"/>
  <c r="M18" i="7"/>
  <c r="N18" i="7" s="1"/>
  <c r="M19" i="7"/>
  <c r="N19" i="7" s="1"/>
  <c r="M20" i="7"/>
  <c r="N20" i="7" s="1"/>
  <c r="M21" i="7"/>
  <c r="N21" i="7" s="1"/>
  <c r="M22" i="7"/>
  <c r="N22" i="7" s="1"/>
  <c r="M23" i="7"/>
  <c r="N23" i="7" s="1"/>
  <c r="M24" i="7"/>
  <c r="O24" i="7" s="1"/>
  <c r="M25" i="7"/>
  <c r="N25" i="7" s="1"/>
  <c r="M26" i="7"/>
  <c r="N26" i="7" s="1"/>
  <c r="M27" i="7"/>
  <c r="N27" i="7" s="1"/>
  <c r="Q18" i="7"/>
  <c r="P18" i="7"/>
  <c r="Q19" i="11"/>
  <c r="J25" i="7"/>
  <c r="J22" i="10"/>
  <c r="Q21" i="11"/>
  <c r="J25" i="10"/>
  <c r="J18" i="5"/>
  <c r="S19" i="7"/>
  <c r="J25" i="5"/>
  <c r="Q26" i="12"/>
  <c r="Q19" i="12"/>
  <c r="Q28" i="12"/>
  <c r="Q24" i="11"/>
  <c r="P28" i="11"/>
  <c r="J26" i="5"/>
  <c r="S25" i="5"/>
  <c r="Q28" i="11"/>
  <c r="S25" i="10"/>
  <c r="Q27" i="12"/>
  <c r="J19" i="7"/>
  <c r="P25" i="12"/>
  <c r="P27" i="13"/>
  <c r="S28" i="7"/>
  <c r="P24" i="11"/>
  <c r="J27" i="10"/>
  <c r="P21" i="12"/>
  <c r="S19" i="5"/>
  <c r="S18" i="10"/>
  <c r="Q21" i="13"/>
  <c r="P23" i="12"/>
  <c r="J23" i="7"/>
  <c r="S21" i="5"/>
  <c r="J24" i="5"/>
  <c r="Q22" i="11"/>
  <c r="S26" i="5"/>
  <c r="Q25" i="11"/>
  <c r="Q28" i="13"/>
  <c r="S19" i="10"/>
  <c r="J19" i="10"/>
  <c r="P27" i="11"/>
  <c r="S24" i="7"/>
  <c r="P20" i="13"/>
  <c r="P20" i="11"/>
  <c r="P19" i="12"/>
  <c r="S18" i="5"/>
  <c r="S22" i="10"/>
  <c r="P26" i="13"/>
  <c r="Q27" i="13"/>
  <c r="J18" i="10"/>
  <c r="J20" i="5"/>
  <c r="Q25" i="13"/>
  <c r="Q21" i="12"/>
  <c r="J20" i="10"/>
  <c r="Q23" i="12"/>
  <c r="Q23" i="11"/>
  <c r="P25" i="11"/>
  <c r="P19" i="13"/>
  <c r="P20" i="12"/>
  <c r="J23" i="5"/>
  <c r="S20" i="5"/>
  <c r="Q24" i="13"/>
  <c r="Q26" i="11"/>
  <c r="J27" i="5"/>
  <c r="Q20" i="13"/>
  <c r="P26" i="12"/>
  <c r="S23" i="10"/>
  <c r="S28" i="10"/>
  <c r="S26" i="10"/>
  <c r="S22" i="7"/>
  <c r="S27" i="7"/>
  <c r="P28" i="12"/>
  <c r="S27" i="5"/>
  <c r="Y11" i="16"/>
  <c r="S18" i="7"/>
  <c r="P22" i="7"/>
  <c r="S28" i="5"/>
  <c r="J28" i="10"/>
  <c r="J26" i="10"/>
  <c r="P21" i="11"/>
  <c r="J19" i="5"/>
  <c r="Q20" i="11"/>
  <c r="J24" i="7"/>
  <c r="S20" i="10"/>
  <c r="Q20" i="12"/>
  <c r="J28" i="5"/>
  <c r="P22" i="12"/>
  <c r="Q26" i="13"/>
  <c r="P24" i="13"/>
  <c r="Q24" i="12"/>
  <c r="S24" i="5"/>
  <c r="P27" i="12"/>
  <c r="P25" i="13"/>
  <c r="P22" i="11"/>
  <c r="S20" i="7"/>
  <c r="Q27" i="11"/>
  <c r="J22" i="5"/>
  <c r="S24" i="10"/>
  <c r="S25" i="7"/>
  <c r="Q22" i="13"/>
  <c r="P24" i="12"/>
  <c r="J22" i="7"/>
  <c r="Y8" i="16" s="1"/>
  <c r="P23" i="13"/>
  <c r="P26" i="11"/>
  <c r="P22" i="13"/>
  <c r="P19" i="11"/>
  <c r="S23" i="7"/>
  <c r="J24" i="10"/>
  <c r="J20" i="7"/>
  <c r="J27" i="7"/>
  <c r="Q22" i="12"/>
  <c r="J18" i="7"/>
  <c r="Q19" i="13"/>
  <c r="J21" i="10"/>
  <c r="S22" i="5"/>
  <c r="S21" i="7"/>
  <c r="S21" i="10"/>
  <c r="S27" i="10"/>
  <c r="P28" i="13"/>
  <c r="Q23" i="13"/>
  <c r="S26" i="7"/>
  <c r="J26" i="7"/>
  <c r="J21" i="7"/>
  <c r="J23" i="10"/>
  <c r="P23" i="7"/>
  <c r="P21" i="13"/>
  <c r="Q25" i="12"/>
  <c r="S23" i="5"/>
  <c r="J21" i="5"/>
  <c r="P23" i="11"/>
  <c r="J28" i="7"/>
  <c r="R23" i="12" l="1"/>
  <c r="I23" i="12" s="1"/>
  <c r="N8" i="5"/>
  <c r="O24" i="5"/>
  <c r="N25" i="10"/>
  <c r="N14" i="10"/>
  <c r="R20" i="13"/>
  <c r="I20" i="13" s="1"/>
  <c r="R19" i="13"/>
  <c r="I19" i="13" s="1"/>
  <c r="R27" i="12"/>
  <c r="I27" i="12" s="1"/>
  <c r="R28" i="12"/>
  <c r="I28" i="12" s="1"/>
  <c r="R20" i="11"/>
  <c r="I20" i="11" s="1"/>
  <c r="R19" i="11"/>
  <c r="I19" i="11" s="1"/>
  <c r="R21" i="12"/>
  <c r="I21" i="12" s="1"/>
  <c r="R26" i="13"/>
  <c r="I26" i="13" s="1"/>
  <c r="R26" i="11"/>
  <c r="I26" i="11" s="1"/>
  <c r="R23" i="13"/>
  <c r="I23" i="13" s="1"/>
  <c r="R24" i="13"/>
  <c r="I24" i="13" s="1"/>
  <c r="R23" i="11"/>
  <c r="I23" i="11" s="1"/>
  <c r="R24" i="11"/>
  <c r="I24" i="11" s="1"/>
  <c r="R25" i="12"/>
  <c r="I25" i="12" s="1"/>
  <c r="R22" i="12"/>
  <c r="I22" i="12" s="1"/>
  <c r="R28" i="13"/>
  <c r="I28" i="13" s="1"/>
  <c r="R27" i="13"/>
  <c r="I27" i="13" s="1"/>
  <c r="R19" i="12"/>
  <c r="I19" i="12" s="1"/>
  <c r="R20" i="12"/>
  <c r="I20" i="12" s="1"/>
  <c r="R27" i="11"/>
  <c r="I27" i="11" s="1"/>
  <c r="R28" i="11"/>
  <c r="I28" i="11" s="1"/>
  <c r="R21" i="13"/>
  <c r="I21" i="13" s="1"/>
  <c r="R21" i="11"/>
  <c r="I21" i="11" s="1"/>
  <c r="R26" i="12"/>
  <c r="I26" i="12" s="1"/>
  <c r="R24" i="12"/>
  <c r="I24" i="12" s="1"/>
  <c r="R25" i="13"/>
  <c r="I25" i="13" s="1"/>
  <c r="R25" i="11"/>
  <c r="I25" i="11" s="1"/>
  <c r="R22" i="13"/>
  <c r="I22" i="13" s="1"/>
  <c r="R22" i="11"/>
  <c r="I22" i="11" s="1"/>
  <c r="O27" i="10"/>
  <c r="O19" i="10"/>
  <c r="O11" i="10"/>
  <c r="N22" i="10"/>
  <c r="N10" i="10"/>
  <c r="O26" i="10"/>
  <c r="O18" i="10"/>
  <c r="O16" i="5"/>
  <c r="O5" i="10"/>
  <c r="N5" i="10"/>
  <c r="N9" i="10"/>
  <c r="O23" i="10"/>
  <c r="O15" i="10"/>
  <c r="O7" i="10"/>
  <c r="N17" i="10"/>
  <c r="N6" i="10"/>
  <c r="R5" i="5"/>
  <c r="I5" i="5" s="1"/>
  <c r="N21" i="5"/>
  <c r="N13" i="5"/>
  <c r="N5" i="5"/>
  <c r="N28" i="5"/>
  <c r="N20" i="5"/>
  <c r="N12" i="5"/>
  <c r="O28" i="10"/>
  <c r="N28" i="10"/>
  <c r="O24" i="10"/>
  <c r="N24" i="10"/>
  <c r="O20" i="10"/>
  <c r="N20" i="10"/>
  <c r="O16" i="10"/>
  <c r="N16" i="10"/>
  <c r="O12" i="10"/>
  <c r="N12" i="10"/>
  <c r="O8" i="10"/>
  <c r="N8" i="10"/>
  <c r="N5" i="7"/>
  <c r="N21" i="10"/>
  <c r="N13" i="10"/>
  <c r="N25" i="5"/>
  <c r="N17" i="5"/>
  <c r="N9" i="5"/>
  <c r="N27" i="5"/>
  <c r="N23" i="5"/>
  <c r="N19" i="5"/>
  <c r="N15" i="5"/>
  <c r="N11" i="5"/>
  <c r="N7" i="5"/>
  <c r="N26" i="5"/>
  <c r="N22" i="5"/>
  <c r="N18" i="5"/>
  <c r="N14" i="5"/>
  <c r="N10" i="5"/>
  <c r="N6" i="5"/>
  <c r="L28" i="10"/>
  <c r="L20" i="10"/>
  <c r="L23" i="10"/>
  <c r="L26" i="10"/>
  <c r="L22" i="10"/>
  <c r="L18" i="10"/>
  <c r="L24" i="10"/>
  <c r="L27" i="10"/>
  <c r="L19" i="10"/>
  <c r="L25" i="10"/>
  <c r="L21" i="10"/>
  <c r="L12" i="10"/>
  <c r="L7" i="10"/>
  <c r="L14" i="10"/>
  <c r="L10" i="10"/>
  <c r="L6" i="10"/>
  <c r="L16" i="10"/>
  <c r="L8" i="10"/>
  <c r="L15" i="10"/>
  <c r="L11" i="10"/>
  <c r="L17" i="10"/>
  <c r="L13" i="10"/>
  <c r="L9" i="10"/>
  <c r="L5" i="10"/>
  <c r="K28" i="10"/>
  <c r="K20" i="10"/>
  <c r="K23" i="10"/>
  <c r="K26" i="10"/>
  <c r="K22" i="10"/>
  <c r="K18" i="10"/>
  <c r="K24" i="10"/>
  <c r="K27" i="10"/>
  <c r="K19" i="10"/>
  <c r="K25" i="10"/>
  <c r="K21" i="10"/>
  <c r="L20" i="5"/>
  <c r="L27" i="5"/>
  <c r="L23" i="5"/>
  <c r="L19" i="5"/>
  <c r="L24" i="5"/>
  <c r="L26" i="5"/>
  <c r="L22" i="5"/>
  <c r="L18" i="5"/>
  <c r="L28" i="5"/>
  <c r="L25" i="5"/>
  <c r="L21" i="5"/>
  <c r="L12" i="5"/>
  <c r="L8" i="5"/>
  <c r="L15" i="5"/>
  <c r="L11" i="5"/>
  <c r="L7" i="5"/>
  <c r="L16" i="5"/>
  <c r="L14" i="5"/>
  <c r="L10" i="5"/>
  <c r="L6" i="5"/>
  <c r="L17" i="5"/>
  <c r="L13" i="5"/>
  <c r="L9" i="5"/>
  <c r="L5" i="5"/>
  <c r="K20" i="5"/>
  <c r="K27" i="5"/>
  <c r="K23" i="5"/>
  <c r="K19" i="5"/>
  <c r="K24" i="5"/>
  <c r="K26" i="5"/>
  <c r="K22" i="5"/>
  <c r="K18" i="5"/>
  <c r="K28" i="5"/>
  <c r="K25" i="5"/>
  <c r="K21" i="5"/>
  <c r="L16" i="7"/>
  <c r="L12" i="7"/>
  <c r="L8" i="7"/>
  <c r="L20" i="7"/>
  <c r="L27" i="7"/>
  <c r="L23" i="7"/>
  <c r="L19" i="7"/>
  <c r="L28" i="7"/>
  <c r="L26" i="7"/>
  <c r="L22" i="7"/>
  <c r="L24" i="7"/>
  <c r="L25" i="7"/>
  <c r="L21" i="7"/>
  <c r="L18" i="7"/>
  <c r="L15" i="7"/>
  <c r="L11" i="7"/>
  <c r="L7" i="7"/>
  <c r="L14" i="7"/>
  <c r="L10" i="7"/>
  <c r="L6" i="7"/>
  <c r="L17" i="7"/>
  <c r="L13" i="7"/>
  <c r="L9" i="7"/>
  <c r="K20" i="7"/>
  <c r="K27" i="7"/>
  <c r="K23" i="7"/>
  <c r="K19" i="7"/>
  <c r="K28" i="7"/>
  <c r="K26" i="7"/>
  <c r="K22" i="7"/>
  <c r="K24" i="7"/>
  <c r="K25" i="7"/>
  <c r="K21" i="7"/>
  <c r="K18" i="7"/>
  <c r="R18" i="7"/>
  <c r="O9" i="7"/>
  <c r="O27" i="7"/>
  <c r="O21" i="7"/>
  <c r="O25" i="7"/>
  <c r="O20" i="7"/>
  <c r="N24" i="7"/>
  <c r="O19" i="7"/>
  <c r="O23" i="7"/>
  <c r="O17" i="7"/>
  <c r="N8" i="7"/>
  <c r="O13" i="7"/>
  <c r="O28" i="7"/>
  <c r="O16" i="7"/>
  <c r="O12" i="7"/>
  <c r="O15" i="7"/>
  <c r="O11" i="7"/>
  <c r="O7" i="7"/>
  <c r="O26" i="7"/>
  <c r="O22" i="7"/>
  <c r="O18" i="7"/>
  <c r="O14" i="7"/>
  <c r="O10" i="7"/>
  <c r="O6" i="7"/>
  <c r="E6" i="4"/>
  <c r="G5" i="4"/>
  <c r="G6" i="4"/>
  <c r="F5" i="4"/>
  <c r="F6" i="4"/>
  <c r="C5" i="4"/>
  <c r="C6" i="4"/>
  <c r="B5" i="4"/>
  <c r="Q24" i="5"/>
  <c r="Y5" i="16"/>
  <c r="P23" i="10"/>
  <c r="Z8" i="16"/>
  <c r="Q22" i="7"/>
  <c r="P20" i="10"/>
  <c r="Q23" i="5"/>
  <c r="Q19" i="10"/>
  <c r="Q28" i="7"/>
  <c r="P21" i="7"/>
  <c r="P26" i="10"/>
  <c r="Q28" i="10"/>
  <c r="Q21" i="10"/>
  <c r="Q23" i="10"/>
  <c r="AA12" i="16"/>
  <c r="P21" i="5"/>
  <c r="P28" i="10"/>
  <c r="P26" i="5"/>
  <c r="Q21" i="5"/>
  <c r="Q19" i="5"/>
  <c r="Z9" i="16"/>
  <c r="Y6" i="16"/>
  <c r="P24" i="7"/>
  <c r="P28" i="7"/>
  <c r="Q25" i="10"/>
  <c r="P28" i="5"/>
  <c r="P24" i="5"/>
  <c r="AA8" i="16"/>
  <c r="AA7" i="16"/>
  <c r="Z6" i="16"/>
  <c r="Y7" i="16"/>
  <c r="Q23" i="7"/>
  <c r="P22" i="5"/>
  <c r="Y12" i="16"/>
  <c r="P21" i="10"/>
  <c r="Y13" i="16"/>
  <c r="Q20" i="7"/>
  <c r="P25" i="10"/>
  <c r="AA5" i="16"/>
  <c r="Z10" i="16"/>
  <c r="P23" i="5"/>
  <c r="P19" i="7"/>
  <c r="Z11" i="16"/>
  <c r="P19" i="5"/>
  <c r="Q26" i="5"/>
  <c r="Q28" i="5"/>
  <c r="P20" i="7"/>
  <c r="Q25" i="5"/>
  <c r="Y10" i="16"/>
  <c r="P20" i="5"/>
  <c r="P22" i="10"/>
  <c r="AA10" i="16"/>
  <c r="Y9" i="16"/>
  <c r="Q27" i="5"/>
  <c r="Q22" i="5"/>
  <c r="AA6" i="16"/>
  <c r="Q20" i="5"/>
  <c r="Z13" i="16"/>
  <c r="Q22" i="10"/>
  <c r="Q25" i="7"/>
  <c r="P26" i="7"/>
  <c r="Z5" i="16"/>
  <c r="Q20" i="10"/>
  <c r="Q27" i="7"/>
  <c r="Q24" i="7"/>
  <c r="Q26" i="10"/>
  <c r="Q27" i="10"/>
  <c r="P19" i="10"/>
  <c r="P27" i="7"/>
  <c r="Q26" i="7"/>
  <c r="AA11" i="16"/>
  <c r="P24" i="10"/>
  <c r="AA13" i="16"/>
  <c r="Z14" i="16"/>
  <c r="Y14" i="16"/>
  <c r="P27" i="10"/>
  <c r="P25" i="5"/>
  <c r="Z12" i="16"/>
  <c r="Z7" i="16"/>
  <c r="AA14" i="16"/>
  <c r="Q24" i="10"/>
  <c r="AA9" i="16"/>
  <c r="Q19" i="7"/>
  <c r="P27" i="5"/>
  <c r="P25" i="7"/>
  <c r="Q21" i="7"/>
  <c r="R27" i="5" l="1"/>
  <c r="I27" i="5" s="1"/>
  <c r="R20" i="5"/>
  <c r="I20" i="5" s="1"/>
  <c r="R24" i="5"/>
  <c r="I24" i="5" s="1"/>
  <c r="R21" i="10"/>
  <c r="I21" i="10" s="1"/>
  <c r="R20" i="10"/>
  <c r="I20" i="10" s="1"/>
  <c r="R19" i="10"/>
  <c r="I19" i="10" s="1"/>
  <c r="R28" i="10"/>
  <c r="I28" i="10" s="1"/>
  <c r="R27" i="10"/>
  <c r="I27" i="10" s="1"/>
  <c r="R25" i="5"/>
  <c r="I25" i="5" s="1"/>
  <c r="R26" i="5"/>
  <c r="I26" i="5" s="1"/>
  <c r="R23" i="5"/>
  <c r="I23" i="5" s="1"/>
  <c r="R23" i="10"/>
  <c r="I23" i="10" s="1"/>
  <c r="R25" i="10"/>
  <c r="I25" i="10" s="1"/>
  <c r="R24" i="10"/>
  <c r="I24" i="10" s="1"/>
  <c r="R22" i="10"/>
  <c r="I22" i="10" s="1"/>
  <c r="R19" i="5"/>
  <c r="I19" i="5" s="1"/>
  <c r="R28" i="5"/>
  <c r="I28" i="5" s="1"/>
  <c r="R22" i="5"/>
  <c r="I22" i="5" s="1"/>
  <c r="R21" i="5"/>
  <c r="I21" i="5" s="1"/>
  <c r="R26" i="10"/>
  <c r="I26" i="10" s="1"/>
  <c r="I18" i="7"/>
  <c r="R23" i="7"/>
  <c r="R21" i="7"/>
  <c r="R19" i="7"/>
  <c r="R20" i="7"/>
  <c r="R25" i="7"/>
  <c r="R26" i="7"/>
  <c r="R28" i="7"/>
  <c r="R27" i="7"/>
  <c r="R24" i="7"/>
  <c r="R22" i="7"/>
  <c r="E5" i="4"/>
  <c r="D5" i="4"/>
  <c r="I24" i="7" l="1"/>
  <c r="I23" i="7"/>
  <c r="I20" i="7"/>
  <c r="I28" i="7"/>
  <c r="I19" i="7"/>
  <c r="I25" i="7"/>
  <c r="I27" i="7"/>
  <c r="I22" i="7"/>
  <c r="I26" i="7"/>
  <c r="I21" i="7"/>
  <c r="H6" i="7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B6" i="4"/>
  <c r="X14" i="16"/>
  <c r="X12" i="16"/>
  <c r="X13" i="16"/>
  <c r="X11" i="16"/>
  <c r="X8" i="16"/>
  <c r="X9" i="16"/>
  <c r="X6" i="16"/>
  <c r="X5" i="16"/>
  <c r="W5" i="16"/>
  <c r="X7" i="16"/>
  <c r="X10" i="16"/>
  <c r="H20" i="7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A6" i="4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Q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M5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J5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I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W6" i="16"/>
  <c r="H21" i="7" l="1"/>
  <c r="P20" i="2"/>
  <c r="O8" i="2"/>
  <c r="O12" i="2"/>
  <c r="K5" i="4" s="1"/>
  <c r="S20" i="2"/>
  <c r="D6" i="4"/>
  <c r="O16" i="2"/>
  <c r="N5" i="2"/>
  <c r="O9" i="2"/>
  <c r="O13" i="2"/>
  <c r="O17" i="2"/>
  <c r="O6" i="2"/>
  <c r="O10" i="2"/>
  <c r="O14" i="2"/>
  <c r="O18" i="2"/>
  <c r="N17" i="2"/>
  <c r="N13" i="2"/>
  <c r="N9" i="2"/>
  <c r="N19" i="2"/>
  <c r="N15" i="2"/>
  <c r="N11" i="2"/>
  <c r="N7" i="2"/>
  <c r="O7" i="2"/>
  <c r="J5" i="4" s="1"/>
  <c r="O11" i="2"/>
  <c r="O15" i="2"/>
  <c r="O19" i="2"/>
  <c r="N16" i="2"/>
  <c r="N12" i="2"/>
  <c r="N8" i="2"/>
  <c r="N18" i="2"/>
  <c r="N14" i="2"/>
  <c r="N10" i="2"/>
  <c r="N6" i="2"/>
  <c r="O5" i="2"/>
  <c r="W7" i="16"/>
  <c r="H22" i="7" l="1"/>
  <c r="M6" i="16"/>
  <c r="M10" i="16"/>
  <c r="M7" i="16"/>
  <c r="M5" i="16"/>
  <c r="M8" i="16"/>
  <c r="M9" i="16"/>
  <c r="P5" i="4"/>
  <c r="P6" i="4" s="1"/>
  <c r="O5" i="4"/>
  <c r="H5" i="4"/>
  <c r="H6" i="4" s="1"/>
  <c r="E5" i="16" s="1"/>
  <c r="F5" i="16" s="1"/>
  <c r="N8" i="16"/>
  <c r="N6" i="16"/>
  <c r="N10" i="16"/>
  <c r="N5" i="16"/>
  <c r="N9" i="16"/>
  <c r="N7" i="16"/>
  <c r="I5" i="4"/>
  <c r="I6" i="4" s="1"/>
  <c r="E6" i="16" s="1"/>
  <c r="F6" i="16" s="1"/>
  <c r="K6" i="4"/>
  <c r="E8" i="16" s="1"/>
  <c r="F8" i="16" s="1"/>
  <c r="L5" i="4"/>
  <c r="L6" i="4" s="1"/>
  <c r="E9" i="16" s="1"/>
  <c r="F9" i="16" s="1"/>
  <c r="M5" i="4"/>
  <c r="M6" i="4" s="1"/>
  <c r="E10" i="16" s="1"/>
  <c r="F10" i="16" s="1"/>
  <c r="J6" i="4"/>
  <c r="E7" i="16" s="1"/>
  <c r="F7" i="16" s="1"/>
  <c r="W8" i="16"/>
  <c r="O6" i="4" l="1"/>
  <c r="AJ6" i="16"/>
  <c r="H23" i="7"/>
  <c r="C11" i="15"/>
  <c r="C12" i="15"/>
  <c r="C10" i="15"/>
  <c r="E6" i="15"/>
  <c r="N6" i="4"/>
  <c r="W9" i="16"/>
  <c r="N5" i="4"/>
  <c r="F6" i="15" l="1"/>
  <c r="AJ7" i="16"/>
  <c r="Q6" i="4"/>
  <c r="Q5" i="4"/>
  <c r="AI6" i="16" s="1"/>
  <c r="H24" i="7"/>
  <c r="W10" i="16"/>
  <c r="E5" i="15" l="1"/>
  <c r="D12" i="15" s="1"/>
  <c r="AI7" i="16"/>
  <c r="F5" i="15"/>
  <c r="H25" i="7"/>
  <c r="W11" i="16"/>
  <c r="D10" i="15" l="1"/>
  <c r="D11" i="15"/>
  <c r="H26" i="7"/>
  <c r="W12" i="16"/>
  <c r="H27" i="7" l="1"/>
  <c r="W13" i="16"/>
  <c r="H28" i="7" l="1"/>
  <c r="W14" i="16"/>
</calcChain>
</file>

<file path=xl/sharedStrings.xml><?xml version="1.0" encoding="utf-8"?>
<sst xmlns="http://schemas.openxmlformats.org/spreadsheetml/2006/main" count="429" uniqueCount="218">
  <si>
    <t>FN312 Investment Challenge Dashboard</t>
  </si>
  <si>
    <t xml:space="preserve">STEP 1 </t>
  </si>
  <si>
    <t>Data Cleaning and Preprocessing</t>
  </si>
  <si>
    <t>1) Update transactions and stock prices (weekly)</t>
  </si>
  <si>
    <t>2) Perform calculations to extract meaningful information from transactions</t>
  </si>
  <si>
    <t>STEP 2</t>
  </si>
  <si>
    <t>Data Analytics and Dashboarding</t>
  </si>
  <si>
    <t>1) Summarize the current status of portfolios</t>
  </si>
  <si>
    <t>2) Show metrics chart on each stock price (using drop-down list)</t>
  </si>
  <si>
    <t>3) Show chart on portfolio current wealth</t>
  </si>
  <si>
    <t>3) Calculate portfolio metrics in terms of trends, momentums, and risks</t>
  </si>
  <si>
    <t>STEP 3</t>
  </si>
  <si>
    <t>Recommendation</t>
  </si>
  <si>
    <t>1) Read dashboard, and summarize current status</t>
  </si>
  <si>
    <t>2) Recommend changes to the trade team</t>
  </si>
  <si>
    <t>Transactions Table</t>
  </si>
  <si>
    <t>AAPL</t>
  </si>
  <si>
    <t>9/10/20 9:19a</t>
  </si>
  <si>
    <t>9/10/20 9:30a</t>
  </si>
  <si>
    <t>Buy</t>
  </si>
  <si>
    <t>RIOT</t>
  </si>
  <si>
    <t>9/10/20 9:17a</t>
  </si>
  <si>
    <t>HD</t>
  </si>
  <si>
    <t>9/10/20 10:14a</t>
  </si>
  <si>
    <t>9/10/20 10:44a</t>
  </si>
  <si>
    <t>9/10/20 10:51a</t>
  </si>
  <si>
    <t>Sell</t>
  </si>
  <si>
    <t>9/10/20 12:09p</t>
  </si>
  <si>
    <t>9/11/20 9:37a</t>
  </si>
  <si>
    <t>WMT</t>
  </si>
  <si>
    <t>9/11/20 9:42a</t>
  </si>
  <si>
    <t>Short</t>
  </si>
  <si>
    <t>9/11/20 10:06a</t>
  </si>
  <si>
    <t>9/11/20 11:16a</t>
  </si>
  <si>
    <t>Cover</t>
  </si>
  <si>
    <t>ORCL</t>
  </si>
  <si>
    <t>9/11/20 11:33a</t>
  </si>
  <si>
    <t>IBM</t>
  </si>
  <si>
    <t>9/11/20 1:23p</t>
  </si>
  <si>
    <t>9/11/20 2:56p</t>
  </si>
  <si>
    <t>9/11/20 2:57p</t>
  </si>
  <si>
    <t>9/11/20 3:57p</t>
  </si>
  <si>
    <t>Symbol</t>
  </si>
  <si>
    <t>Order Date</t>
  </si>
  <si>
    <t>Transaction Date</t>
  </si>
  <si>
    <t>Transactions</t>
  </si>
  <si>
    <t>Cancel Reason</t>
  </si>
  <si>
    <t>Amount</t>
  </si>
  <si>
    <t>Execution_Price</t>
  </si>
  <si>
    <t>Month_order</t>
  </si>
  <si>
    <t>Date_order</t>
  </si>
  <si>
    <t>Year_order</t>
  </si>
  <si>
    <t>Month_Transact</t>
  </si>
  <si>
    <t>Date_Transact</t>
  </si>
  <si>
    <t>Year_Transact</t>
  </si>
  <si>
    <t>Order_Date</t>
  </si>
  <si>
    <t>Transaction_Date</t>
  </si>
  <si>
    <t>Net_Cash_Change</t>
  </si>
  <si>
    <t>Date</t>
  </si>
  <si>
    <t>Price_AAPL</t>
  </si>
  <si>
    <t>Price_RIOT</t>
  </si>
  <si>
    <t>Price_HD</t>
  </si>
  <si>
    <t>Price_WMT</t>
  </si>
  <si>
    <t>Price_IBM</t>
  </si>
  <si>
    <t>Price_ORCL</t>
  </si>
  <si>
    <t>Shares_AAPL</t>
  </si>
  <si>
    <t>Shares_RIOT</t>
  </si>
  <si>
    <t>Shares_HD</t>
  </si>
  <si>
    <t>Shares_WMT</t>
  </si>
  <si>
    <t>Shares_IBM</t>
  </si>
  <si>
    <t>Shares_ORCL</t>
  </si>
  <si>
    <t>Shares_Holding</t>
  </si>
  <si>
    <t>Cash_Holding</t>
  </si>
  <si>
    <t>Asset_Holding</t>
  </si>
  <si>
    <t>HD Data</t>
  </si>
  <si>
    <t>Open</t>
  </si>
  <si>
    <t>High</t>
  </si>
  <si>
    <t>Low</t>
  </si>
  <si>
    <t>Close</t>
  </si>
  <si>
    <t>Adj Close</t>
  </si>
  <si>
    <t>Volume</t>
  </si>
  <si>
    <t>EMA_Beta</t>
  </si>
  <si>
    <t>RSI_Periods</t>
  </si>
  <si>
    <t>BB_Periods</t>
  </si>
  <si>
    <t>EMA</t>
  </si>
  <si>
    <t>RSI</t>
  </si>
  <si>
    <t>BB</t>
  </si>
  <si>
    <t>Data Description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</si>
  <si>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: Transaction Table</t>
    </r>
  </si>
  <si>
    <t xml:space="preserve"> Description: This table contains raw data regarding each portfolio transaction</t>
  </si>
  <si>
    <t>Variable</t>
  </si>
  <si>
    <t>Description</t>
  </si>
  <si>
    <t>Date where order is placed (original)</t>
  </si>
  <si>
    <t>Symbol of stocks traded (original)</t>
  </si>
  <si>
    <t>Date where transaction is done (original)</t>
  </si>
  <si>
    <t>Type of transactions done (original)</t>
  </si>
  <si>
    <t>-</t>
  </si>
  <si>
    <t>The amount of shares where transaction is done (original)</t>
  </si>
  <si>
    <t>The price where transaction is done (original)</t>
  </si>
  <si>
    <t>Month where order is made (calculated)</t>
  </si>
  <si>
    <t>Date where order is made (calculated)</t>
  </si>
  <si>
    <t>Year where order is made (calculated)</t>
  </si>
  <si>
    <t>Month where transaction is made (calculated)</t>
  </si>
  <si>
    <t>Date where transaction is made (calculated)</t>
  </si>
  <si>
    <t>Original</t>
  </si>
  <si>
    <t>Raw data from marketwatch</t>
  </si>
  <si>
    <t>Calculated</t>
  </si>
  <si>
    <t>Calculated field</t>
  </si>
  <si>
    <t>Year where transaction is made (calculated)</t>
  </si>
  <si>
    <t>Order date calculated from month_order, year_order, date_order (calculated)</t>
  </si>
  <si>
    <t>Transaction date calculated from month_transact, year_transact, date_transact (calculated)</t>
  </si>
  <si>
    <t>The change in cash resulted from each transaction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</si>
  <si>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raw data regarding each portfolio transaction</t>
    </r>
  </si>
  <si>
    <t>Description: This table contains the portfolio position on each day</t>
  </si>
  <si>
    <t>Price_XXX</t>
  </si>
  <si>
    <t>Shares_XXX</t>
  </si>
  <si>
    <t>Primary key to keep track of position on each day</t>
  </si>
  <si>
    <t>*</t>
  </si>
  <si>
    <t>(Warning: try to be automated in this table calculation)</t>
  </si>
  <si>
    <r>
      <rPr>
        <b/>
        <sz val="11"/>
        <color rgb="FFFF0000"/>
        <rFont val="Calibri"/>
        <family val="2"/>
        <scheme val="minor"/>
      </rPr>
      <t>Subject to change</t>
    </r>
    <r>
      <rPr>
        <sz val="11"/>
        <color theme="1"/>
        <rFont val="Calibri"/>
        <family val="2"/>
        <scheme val="minor"/>
      </rPr>
      <t>: new stocks could be added</t>
    </r>
  </si>
  <si>
    <t>The total current value of stocks in the team portfolio</t>
  </si>
  <si>
    <t>The total cash that the team is holding</t>
  </si>
  <si>
    <t>Total asset the team is holding (sum of shares_holding and cash_holding)</t>
  </si>
  <si>
    <r>
      <t xml:space="preserve">The cumulative number of XXX shares that the team is holding </t>
    </r>
    <r>
      <rPr>
        <sz val="11"/>
        <color rgb="FFFF0000"/>
        <rFont val="Calibri"/>
        <family val="2"/>
        <scheme val="minor"/>
      </rPr>
      <t>*</t>
    </r>
  </si>
  <si>
    <r>
      <t xml:space="preserve">Adjusted closing price of each stock (calculated from XXX sheet) </t>
    </r>
    <r>
      <rPr>
        <sz val="11"/>
        <color rgb="FFFF0000"/>
        <rFont val="Calibri"/>
        <family val="2"/>
        <scheme val="minor"/>
      </rPr>
      <t>*</t>
    </r>
  </si>
  <si>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: Position Table</t>
    </r>
  </si>
  <si>
    <t>Position Table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</si>
  <si>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the portfolio position on each day</t>
    </r>
  </si>
  <si>
    <t>Description: This table contains historical data on XXX stock, including investment metrics</t>
  </si>
  <si>
    <t>BB_Mean</t>
  </si>
  <si>
    <t>BB_Upper</t>
  </si>
  <si>
    <t>BB_Lower</t>
  </si>
  <si>
    <t>Primary key to keep track of historical data</t>
  </si>
  <si>
    <t>Opening price on that day</t>
  </si>
  <si>
    <t>Highest traded price on that day</t>
  </si>
  <si>
    <t>Lowest traded price on that day</t>
  </si>
  <si>
    <t>Close price on that day</t>
  </si>
  <si>
    <t>Volume traded on that day</t>
  </si>
  <si>
    <t>Close price adjusted for irregularities such as stock split</t>
  </si>
  <si>
    <t>Exponential moving average on the stock (calculated: trend metrics)</t>
  </si>
  <si>
    <t>Relative Strength Index on the stock (calculated: momentum metrics)</t>
  </si>
  <si>
    <t>Bollinger Band average on the stock (calculated: trend metrics)</t>
  </si>
  <si>
    <t>Bollinger Band upper bound on the stock (calculated: risk metrics)</t>
  </si>
  <si>
    <t>Bollinger Band lower bound on the stock (calculated: risk metrics)</t>
  </si>
  <si>
    <t>BB_Width</t>
  </si>
  <si>
    <r>
      <rPr>
        <b/>
        <sz val="11"/>
        <color theme="1"/>
        <rFont val="Calibri"/>
        <family val="2"/>
        <scheme val="minor"/>
      </rPr>
      <t>Table 3</t>
    </r>
    <r>
      <rPr>
        <sz val="11"/>
        <color theme="1"/>
        <rFont val="Calibri"/>
        <family val="2"/>
        <scheme val="minor"/>
      </rPr>
      <t>: XXX Stock</t>
    </r>
  </si>
  <si>
    <t>Note1: For calculated field, use parameters shown in lookup sheet.</t>
  </si>
  <si>
    <t>Note2: Use the stocks and transaction type from lookup table to validate data.</t>
  </si>
  <si>
    <t>Metrics Calculation</t>
  </si>
  <si>
    <t>Dashboard</t>
  </si>
  <si>
    <t>Metrics</t>
  </si>
  <si>
    <r>
      <rPr>
        <b/>
        <sz val="12"/>
        <color theme="9" tint="-0.249977111117893"/>
        <rFont val="Calibri"/>
        <family val="2"/>
        <scheme val="minor"/>
      </rPr>
      <t>Part 1</t>
    </r>
    <r>
      <rPr>
        <sz val="11"/>
        <color theme="1"/>
        <rFont val="Calibri"/>
        <family val="2"/>
        <scheme val="minor"/>
      </rPr>
      <t>: Descriptive Statistic</t>
    </r>
  </si>
  <si>
    <r>
      <rPr>
        <b/>
        <sz val="12"/>
        <color rgb="FF0070C0"/>
        <rFont val="Calibri"/>
        <family val="2"/>
        <scheme val="minor"/>
      </rPr>
      <t>Part 2</t>
    </r>
    <r>
      <rPr>
        <sz val="11"/>
        <color theme="1"/>
        <rFont val="Calibri"/>
        <family val="2"/>
        <scheme val="minor"/>
      </rPr>
      <t>: Team Performance</t>
    </r>
  </si>
  <si>
    <r>
      <rPr>
        <b/>
        <sz val="12"/>
        <color rgb="FFFF0000"/>
        <rFont val="Calibri"/>
        <family val="2"/>
        <scheme val="minor"/>
      </rPr>
      <t>Part 3</t>
    </r>
    <r>
      <rPr>
        <sz val="11"/>
        <color theme="1"/>
        <rFont val="Calibri"/>
        <family val="2"/>
        <scheme val="minor"/>
      </rPr>
      <t>: Stock Analytics</t>
    </r>
  </si>
  <si>
    <t xml:space="preserve">    Various measures of team performance  are shown: current stock holding, current cash holding, total wealth,</t>
  </si>
  <si>
    <t xml:space="preserve">    a small table showing the summary of total transactions done during each week, classified based on transaction type, and</t>
  </si>
  <si>
    <t xml:space="preserve">    a small table that shows current team portfolio status, classified by amount the team invested in each stock.</t>
  </si>
  <si>
    <t xml:space="preserve">    A stacked bar graph (stock, cash) shows total team asset over time.</t>
  </si>
  <si>
    <t xml:space="preserve">    By choosing stock and metrics from the drop-down list, display the relevant data, and show the line graph.</t>
  </si>
  <si>
    <t>Sample Dashboard Design</t>
  </si>
  <si>
    <t>Net_Stock_Change</t>
  </si>
  <si>
    <t>Net_Debt_Change</t>
  </si>
  <si>
    <t>Total</t>
  </si>
  <si>
    <t>Stock Holding Change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</si>
  <si>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https://finance.yahoo.com/quote/hd/history?ltr=1</t>
    </r>
  </si>
  <si>
    <t>Liabilities_Holding</t>
  </si>
  <si>
    <t>AAPL Data</t>
  </si>
  <si>
    <t>Total_Net_Asset</t>
  </si>
  <si>
    <t>WMT Data</t>
  </si>
  <si>
    <t>RIOT Data</t>
  </si>
  <si>
    <t>IBM Data</t>
  </si>
  <si>
    <t>ORCL Data</t>
  </si>
  <si>
    <t>Move</t>
  </si>
  <si>
    <t>Upmove</t>
  </si>
  <si>
    <t>Downmove</t>
  </si>
  <si>
    <t>Avg_Upmove</t>
  </si>
  <si>
    <t>Avg_Downmove</t>
  </si>
  <si>
    <t>RS</t>
  </si>
  <si>
    <t>BB_Stdev</t>
  </si>
  <si>
    <t>Current Wealth</t>
  </si>
  <si>
    <t>Current Cash</t>
  </si>
  <si>
    <t># Holdings</t>
  </si>
  <si>
    <t>Current Price</t>
  </si>
  <si>
    <t>Stock</t>
  </si>
  <si>
    <t>Index</t>
  </si>
  <si>
    <t>TOP 3 Stock Holdings</t>
  </si>
  <si>
    <t>% of Total Stocks</t>
  </si>
  <si>
    <t>Rank</t>
  </si>
  <si>
    <t>Start</t>
  </si>
  <si>
    <t>End</t>
  </si>
  <si>
    <t>BUY</t>
  </si>
  <si>
    <t>SELL</t>
  </si>
  <si>
    <t>SHORT</t>
  </si>
  <si>
    <t>COVER</t>
  </si>
  <si>
    <t>This Week Transactions</t>
  </si>
  <si>
    <t>TODAY</t>
  </si>
  <si>
    <t>Type</t>
  </si>
  <si>
    <r>
      <t>T</t>
    </r>
    <r>
      <rPr>
        <b/>
        <sz val="18"/>
        <color rgb="FFFF99FF"/>
        <rFont val="Calibri"/>
        <family val="2"/>
        <scheme val="minor"/>
      </rPr>
      <t>eam Current Status</t>
    </r>
  </si>
  <si>
    <t>Stock Historical Info (Last 15 days)</t>
  </si>
  <si>
    <t>Volume (K)</t>
  </si>
  <si>
    <t>BB_M</t>
  </si>
  <si>
    <t>BB_U</t>
  </si>
  <si>
    <t>BB_L</t>
  </si>
  <si>
    <t>Col Header</t>
  </si>
  <si>
    <t>Series 1: Adj Close Price and Volume</t>
  </si>
  <si>
    <t>Series 2: Exponential Moving Average</t>
  </si>
  <si>
    <t>Series 3: Relative Strength Index</t>
  </si>
  <si>
    <t>Series 4: Bollinger Band</t>
  </si>
  <si>
    <t>RSI_UP</t>
  </si>
  <si>
    <t>RSI_DOWN</t>
  </si>
  <si>
    <t>Total Net Asset</t>
  </si>
  <si>
    <t>Cash Holding</t>
  </si>
  <si>
    <t>Team Performance Over Time</t>
  </si>
  <si>
    <t>Header</t>
  </si>
  <si>
    <t>Table 1: Stock Holdings (tbl_holdings)</t>
  </si>
  <si>
    <t>Table 2: Transactions Summary (tbl_transsummary)</t>
  </si>
  <si>
    <t>(NOT) table 3: 10-day historical data on XXX stock</t>
  </si>
  <si>
    <t>(NOT) table 4: Team Positions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</si>
</sst>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409]d\-mmm\-yy;@"/>
    <numFmt numFmtId="165" formatCode="&quot;$&quot;#,##0.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66FFFF"/>
      <name val="Calibri"/>
      <family val="2"/>
      <scheme val="minor"/>
    </font>
    <font>
      <sz val="18"/>
      <color rgb="FFFF99FF"/>
      <name val="Calibri"/>
      <family val="2"/>
      <scheme val="minor"/>
    </font>
    <font>
      <b/>
      <sz val="18"/>
      <color rgb="FFFF99FF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92D050"/>
      <name val="Calibri"/>
      <family val="2"/>
      <scheme val="minor"/>
    </font>
    <font>
      <sz val="12"/>
      <color rgb="FF92D050"/>
      <name val="Calibri"/>
      <family val="2"/>
      <scheme val="minor"/>
    </font>
    <font>
      <b/>
      <i/>
      <sz val="14"/>
      <color rgb="FF92D050"/>
      <name val="Calibri"/>
      <family val="2"/>
      <scheme val="minor"/>
    </font>
    <font>
      <b/>
      <sz val="18"/>
      <color rgb="FF92D050"/>
      <name val="Calibri"/>
      <family val="2"/>
      <scheme val="minor"/>
    </font>
    <font>
      <b/>
      <i/>
      <sz val="16"/>
      <color rgb="FFFFFF00"/>
      <name val="Calibri"/>
      <family val="2"/>
      <scheme val="minor"/>
    </font>
    <font>
      <sz val="12"/>
      <color rgb="FFFF99FF"/>
      <name val="Calibri"/>
      <family val="2"/>
      <scheme val="minor"/>
    </font>
    <font>
      <b/>
      <i/>
      <sz val="14"/>
      <color rgb="FFFFFF00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12"/>
      <color rgb="FF66FFFF"/>
      <name val="Calibri"/>
      <family val="2"/>
      <scheme val="minor"/>
    </font>
    <font>
      <sz val="15"/>
      <color rgb="FFFF99FF"/>
      <name val="Calibri"/>
      <family val="2"/>
      <scheme val="minor"/>
    </font>
    <font>
      <sz val="13"/>
      <color rgb="FF92D05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4"/>
      <color rgb="FF66FFFF"/>
      <name val="Calibri"/>
      <family val="2"/>
      <scheme val="minor"/>
    </font>
    <font>
      <b/>
      <sz val="14"/>
      <color rgb="FF99FFCC"/>
      <name val="Calibri"/>
      <family val="2"/>
      <scheme val="minor"/>
    </font>
    <font>
      <sz val="14"/>
      <color rgb="FF66FFFF"/>
      <name val="Calibri"/>
      <family val="2"/>
      <scheme val="minor"/>
    </font>
    <font>
      <sz val="14"/>
      <color rgb="FF99FFCC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 style="medium">
        <color rgb="FFFFFF00"/>
      </right>
      <top/>
      <bottom/>
      <diagonal/>
    </border>
    <border>
      <left style="medium">
        <color rgb="FFFFFF00"/>
      </left>
      <right style="medium">
        <color rgb="FFFFFF00"/>
      </right>
      <top/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/>
      <right style="thin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rgb="FFFFFF00"/>
      </right>
      <top/>
      <bottom/>
      <diagonal/>
    </border>
    <border>
      <left style="medium">
        <color rgb="FF00B0F0"/>
      </left>
      <right style="medium">
        <color rgb="FF00B0F0"/>
      </right>
      <top style="thin">
        <color rgb="FF00B0F0"/>
      </top>
      <bottom/>
      <diagonal/>
    </border>
    <border>
      <left/>
      <right style="medium">
        <color rgb="FF00B0F0"/>
      </right>
      <top style="thin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 style="thin">
        <color rgb="FF00B0F0"/>
      </bottom>
      <diagonal/>
    </border>
    <border>
      <left/>
      <right style="medium">
        <color rgb="FF00B0F0"/>
      </right>
      <top/>
      <bottom style="thin">
        <color rgb="FF00B0F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/>
      <right style="medium">
        <color rgb="FF00B0F0"/>
      </right>
      <top/>
      <bottom style="medium">
        <color rgb="FF00B0F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7">
    <xf numFmtId="0" fontId="0" fillId="0" borderId="0" xfId="0"/>
    <xf numFmtId="0" fontId="3" fillId="0" borderId="0" xfId="0" applyFon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1" xfId="0" applyFont="1" applyBorder="1" applyAlignment="1">
      <alignment horizontal="centerContinuous"/>
    </xf>
    <xf numFmtId="0" fontId="9" fillId="0" borderId="12" xfId="0" applyFont="1" applyBorder="1" applyAlignment="1">
      <alignment horizontal="centerContinuous"/>
    </xf>
    <xf numFmtId="0" fontId="0" fillId="2" borderId="8" xfId="0" applyFill="1" applyBorder="1"/>
    <xf numFmtId="0" fontId="0" fillId="2" borderId="3" xfId="0" applyFill="1" applyBorder="1"/>
    <xf numFmtId="0" fontId="0" fillId="2" borderId="9" xfId="0" applyFill="1" applyBorder="1"/>
    <xf numFmtId="0" fontId="0" fillId="2" borderId="7" xfId="0" applyFill="1" applyBorder="1"/>
    <xf numFmtId="0" fontId="0" fillId="4" borderId="9" xfId="0" applyFill="1" applyBorder="1"/>
    <xf numFmtId="0" fontId="0" fillId="4" borderId="7" xfId="0" applyFill="1" applyBorder="1"/>
    <xf numFmtId="0" fontId="3" fillId="4" borderId="1" xfId="0" applyFont="1" applyFill="1" applyBorder="1"/>
    <xf numFmtId="0" fontId="0" fillId="4" borderId="12" xfId="0" applyFill="1" applyBorder="1"/>
    <xf numFmtId="0" fontId="0" fillId="4" borderId="11" xfId="0" applyFill="1" applyBorder="1"/>
    <xf numFmtId="0" fontId="9" fillId="0" borderId="2" xfId="0" applyFont="1" applyBorder="1" applyAlignment="1">
      <alignment horizontal="centerContinuous"/>
    </xf>
    <xf numFmtId="0" fontId="3" fillId="4" borderId="14" xfId="0" applyFont="1" applyFill="1" applyBorder="1"/>
    <xf numFmtId="0" fontId="0" fillId="4" borderId="0" xfId="0" applyFill="1" applyBorder="1"/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2" borderId="14" xfId="0" applyFill="1" applyBorder="1"/>
    <xf numFmtId="0" fontId="2" fillId="2" borderId="13" xfId="0" applyFont="1" applyFill="1" applyBorder="1"/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 applyFont="1"/>
    <xf numFmtId="0" fontId="0" fillId="5" borderId="0" xfId="0" applyFill="1"/>
    <xf numFmtId="0" fontId="19" fillId="5" borderId="0" xfId="0" applyFont="1" applyFill="1" applyBorder="1"/>
    <xf numFmtId="165" fontId="19" fillId="5" borderId="0" xfId="0" applyNumberFormat="1" applyFont="1" applyFill="1" applyBorder="1"/>
    <xf numFmtId="0" fontId="19" fillId="5" borderId="6" xfId="0" applyFont="1" applyFill="1" applyBorder="1"/>
    <xf numFmtId="165" fontId="19" fillId="5" borderId="9" xfId="0" applyNumberFormat="1" applyFont="1" applyFill="1" applyBorder="1"/>
    <xf numFmtId="0" fontId="19" fillId="5" borderId="7" xfId="0" applyFont="1" applyFill="1" applyBorder="1"/>
    <xf numFmtId="0" fontId="0" fillId="5" borderId="0" xfId="0" applyFill="1" applyBorder="1"/>
    <xf numFmtId="0" fontId="26" fillId="5" borderId="0" xfId="0" applyFont="1" applyFill="1" applyBorder="1"/>
    <xf numFmtId="0" fontId="24" fillId="5" borderId="0" xfId="0" applyFont="1" applyFill="1" applyBorder="1"/>
    <xf numFmtId="0" fontId="28" fillId="5" borderId="0" xfId="0" applyFont="1" applyFill="1" applyBorder="1"/>
    <xf numFmtId="14" fontId="30" fillId="5" borderId="0" xfId="0" applyNumberFormat="1" applyFont="1" applyFill="1" applyBorder="1"/>
    <xf numFmtId="0" fontId="22" fillId="5" borderId="0" xfId="0" applyFont="1" applyFill="1" applyBorder="1"/>
    <xf numFmtId="0" fontId="20" fillId="5" borderId="0" xfId="0" applyFont="1" applyFill="1" applyBorder="1" applyAlignment="1">
      <alignment horizontal="center"/>
    </xf>
    <xf numFmtId="0" fontId="23" fillId="5" borderId="0" xfId="0" applyFont="1" applyFill="1" applyBorder="1"/>
    <xf numFmtId="0" fontId="21" fillId="5" borderId="0" xfId="0" applyFont="1" applyFill="1" applyBorder="1"/>
    <xf numFmtId="0" fontId="19" fillId="5" borderId="23" xfId="0" applyFont="1" applyFill="1" applyBorder="1"/>
    <xf numFmtId="44" fontId="19" fillId="5" borderId="0" xfId="1" applyFont="1" applyFill="1" applyBorder="1"/>
    <xf numFmtId="0" fontId="19" fillId="5" borderId="25" xfId="0" applyFont="1" applyFill="1" applyBorder="1"/>
    <xf numFmtId="44" fontId="19" fillId="5" borderId="26" xfId="1" applyFont="1" applyFill="1" applyBorder="1"/>
    <xf numFmtId="0" fontId="19" fillId="5" borderId="27" xfId="0" applyFont="1" applyFill="1" applyBorder="1"/>
    <xf numFmtId="14" fontId="19" fillId="5" borderId="28" xfId="0" applyNumberFormat="1" applyFont="1" applyFill="1" applyBorder="1"/>
    <xf numFmtId="14" fontId="19" fillId="5" borderId="29" xfId="0" applyNumberFormat="1" applyFont="1" applyFill="1" applyBorder="1"/>
    <xf numFmtId="0" fontId="27" fillId="5" borderId="24" xfId="0" applyFont="1" applyFill="1" applyBorder="1" applyAlignment="1">
      <alignment horizontal="left"/>
    </xf>
    <xf numFmtId="0" fontId="27" fillId="5" borderId="30" xfId="0" applyFont="1" applyFill="1" applyBorder="1" applyAlignment="1">
      <alignment horizontal="left"/>
    </xf>
    <xf numFmtId="0" fontId="27" fillId="5" borderId="31" xfId="0" applyFont="1" applyFill="1" applyBorder="1" applyAlignment="1">
      <alignment horizontal="left"/>
    </xf>
    <xf numFmtId="0" fontId="26" fillId="5" borderId="32" xfId="0" applyFont="1" applyFill="1" applyBorder="1"/>
    <xf numFmtId="0" fontId="29" fillId="5" borderId="22" xfId="0" applyFont="1" applyFill="1" applyBorder="1"/>
    <xf numFmtId="0" fontId="18" fillId="0" borderId="0" xfId="0" applyFont="1"/>
    <xf numFmtId="0" fontId="0" fillId="5" borderId="34" xfId="0" applyFill="1" applyBorder="1"/>
    <xf numFmtId="0" fontId="34" fillId="5" borderId="0" xfId="0" applyFont="1" applyFill="1" applyBorder="1"/>
    <xf numFmtId="0" fontId="31" fillId="5" borderId="0" xfId="0" applyFont="1" applyFill="1" applyBorder="1"/>
    <xf numFmtId="14" fontId="19" fillId="5" borderId="0" xfId="0" applyNumberFormat="1" applyFont="1" applyFill="1" applyBorder="1"/>
    <xf numFmtId="0" fontId="0" fillId="5" borderId="35" xfId="0" applyFill="1" applyBorder="1"/>
    <xf numFmtId="0" fontId="0" fillId="5" borderId="36" xfId="0" applyFill="1" applyBorder="1"/>
    <xf numFmtId="0" fontId="0" fillId="5" borderId="37" xfId="0" applyFill="1" applyBorder="1"/>
    <xf numFmtId="0" fontId="0" fillId="5" borderId="38" xfId="0" applyFill="1" applyBorder="1"/>
    <xf numFmtId="0" fontId="0" fillId="5" borderId="23" xfId="0" applyFill="1" applyBorder="1"/>
    <xf numFmtId="0" fontId="26" fillId="5" borderId="38" xfId="0" applyFont="1" applyFill="1" applyBorder="1"/>
    <xf numFmtId="0" fontId="0" fillId="5" borderId="39" xfId="0" applyFill="1" applyBorder="1"/>
    <xf numFmtId="0" fontId="0" fillId="5" borderId="40" xfId="0" applyFill="1" applyBorder="1"/>
    <xf numFmtId="0" fontId="0" fillId="5" borderId="41" xfId="0" applyFill="1" applyBorder="1"/>
    <xf numFmtId="0" fontId="34" fillId="5" borderId="38" xfId="0" applyFont="1" applyFill="1" applyBorder="1"/>
    <xf numFmtId="0" fontId="26" fillId="5" borderId="36" xfId="0" applyFont="1" applyFill="1" applyBorder="1"/>
    <xf numFmtId="0" fontId="19" fillId="5" borderId="38" xfId="0" applyFont="1" applyFill="1" applyBorder="1"/>
    <xf numFmtId="0" fontId="0" fillId="5" borderId="38" xfId="0" applyFont="1" applyFill="1" applyBorder="1"/>
    <xf numFmtId="0" fontId="35" fillId="5" borderId="0" xfId="0" applyFont="1" applyFill="1" applyBorder="1"/>
    <xf numFmtId="0" fontId="36" fillId="5" borderId="33" xfId="0" applyFont="1" applyFill="1" applyBorder="1" applyAlignment="1">
      <alignment horizontal="center" vertical="center"/>
    </xf>
    <xf numFmtId="0" fontId="36" fillId="5" borderId="20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vertical="center"/>
    </xf>
    <xf numFmtId="165" fontId="5" fillId="5" borderId="15" xfId="0" applyNumberFormat="1" applyFont="1" applyFill="1" applyBorder="1" applyAlignment="1">
      <alignment vertical="center"/>
    </xf>
    <xf numFmtId="0" fontId="5" fillId="5" borderId="19" xfId="0" applyFont="1" applyFill="1" applyBorder="1" applyAlignment="1">
      <alignment horizontal="center" vertical="center" wrapText="1"/>
    </xf>
    <xf numFmtId="0" fontId="37" fillId="5" borderId="16" xfId="0" applyFont="1" applyFill="1" applyBorder="1"/>
    <xf numFmtId="165" fontId="37" fillId="5" borderId="16" xfId="0" applyNumberFormat="1" applyFont="1" applyFill="1" applyBorder="1"/>
    <xf numFmtId="0" fontId="38" fillId="5" borderId="17" xfId="0" applyFont="1" applyFill="1" applyBorder="1"/>
    <xf numFmtId="165" fontId="38" fillId="5" borderId="17" xfId="0" applyNumberFormat="1" applyFont="1" applyFill="1" applyBorder="1"/>
    <xf numFmtId="0" fontId="4" fillId="5" borderId="18" xfId="0" applyFont="1" applyFill="1" applyBorder="1"/>
    <xf numFmtId="165" fontId="4" fillId="5" borderId="18" xfId="0" applyNumberFormat="1" applyFont="1" applyFill="1" applyBorder="1"/>
    <xf numFmtId="0" fontId="39" fillId="5" borderId="0" xfId="0" applyFont="1" applyFill="1" applyBorder="1"/>
    <xf numFmtId="0" fontId="40" fillId="5" borderId="0" xfId="0" applyFont="1" applyFill="1" applyBorder="1"/>
    <xf numFmtId="0" fontId="41" fillId="5" borderId="0" xfId="0" applyFont="1" applyFill="1" applyBorder="1"/>
    <xf numFmtId="0" fontId="42" fillId="5" borderId="0" xfId="0" applyFont="1" applyFill="1" applyBorder="1"/>
    <xf numFmtId="0" fontId="43" fillId="5" borderId="0" xfId="0" applyFont="1" applyFill="1" applyBorder="1"/>
    <xf numFmtId="10" fontId="37" fillId="5" borderId="16" xfId="0" applyNumberFormat="1" applyFont="1" applyFill="1" applyBorder="1"/>
    <xf numFmtId="10" fontId="38" fillId="5" borderId="42" xfId="0" applyNumberFormat="1" applyFont="1" applyFill="1" applyBorder="1"/>
    <xf numFmtId="10" fontId="4" fillId="5" borderId="47" xfId="0" applyNumberFormat="1" applyFont="1" applyFill="1" applyBorder="1"/>
    <xf numFmtId="0" fontId="29" fillId="5" borderId="43" xfId="0" applyFont="1" applyFill="1" applyBorder="1"/>
    <xf numFmtId="0" fontId="33" fillId="5" borderId="45" xfId="0" applyFont="1" applyFill="1" applyBorder="1"/>
    <xf numFmtId="0" fontId="33" fillId="5" borderId="48" xfId="0" applyFont="1" applyFill="1" applyBorder="1"/>
    <xf numFmtId="44" fontId="29" fillId="5" borderId="44" xfId="1" applyFont="1" applyFill="1" applyBorder="1"/>
    <xf numFmtId="44" fontId="33" fillId="5" borderId="46" xfId="1" applyFont="1" applyFill="1" applyBorder="1"/>
    <xf numFmtId="44" fontId="33" fillId="5" borderId="21" xfId="1" applyFont="1" applyFill="1" applyBorder="1"/>
    <xf numFmtId="44" fontId="29" fillId="5" borderId="49" xfId="1" applyFont="1" applyFill="1" applyBorder="1"/>
    <xf numFmtId="165" fontId="0" fillId="0" borderId="0" xfId="0" applyNumberFormat="1" applyProtection="1"/>
    <xf numFmtId="0" fontId="0" fillId="0" borderId="0" xfId="0" applyProtection="1"/>
    <xf numFmtId="164" fontId="0" fillId="0" borderId="0" xfId="0" applyNumberFormat="1" applyProtection="1"/>
    <xf numFmtId="44" fontId="0" fillId="0" borderId="0" xfId="0" applyNumberFormat="1" applyProtection="1"/>
    <xf numFmtId="1" fontId="0" fillId="0" borderId="0" xfId="0" applyNumberFormat="1" applyProtection="1"/>
    <xf numFmtId="0" fontId="32" fillId="5" borderId="0" xfId="0" applyFont="1" applyFill="1" applyBorder="1" applyAlignment="1" applyProtection="1">
      <alignment horizontal="center"/>
      <protection locked="0"/>
    </xf>
    <xf numFmtId="0" fontId="0" fillId="5" borderId="23" xfId="0" applyFont="1" applyFill="1" applyBorder="1" applyProtection="1">
      <protection locked="0"/>
    </xf>
    <xf numFmtId="0" fontId="0" fillId="0" borderId="0" xfId="0" applyProtection="1">
      <protection locked="0" hidden="1"/>
    </xf>
    <xf numFmtId="14" fontId="0" fillId="0" borderId="0" xfId="0" applyNumberFormat="1" applyProtection="1">
      <protection locked="0" hidden="1"/>
    </xf>
    <xf numFmtId="0" fontId="18" fillId="0" borderId="0" xfId="0" applyFont="1" applyProtection="1">
      <protection locked="0" hidden="1"/>
    </xf>
    <xf numFmtId="0" fontId="0" fillId="0" borderId="10" xfId="0" applyBorder="1" applyProtection="1">
      <protection locked="0" hidden="1"/>
    </xf>
    <xf numFmtId="0" fontId="0" fillId="0" borderId="12" xfId="0" applyBorder="1" applyProtection="1">
      <protection locked="0" hidden="1"/>
    </xf>
    <xf numFmtId="0" fontId="0" fillId="0" borderId="11" xfId="0" applyBorder="1" applyProtection="1">
      <protection locked="0" hidden="1"/>
    </xf>
    <xf numFmtId="0" fontId="0" fillId="0" borderId="4" xfId="0" applyBorder="1" applyProtection="1">
      <protection locked="0" hidden="1"/>
    </xf>
    <xf numFmtId="14" fontId="0" fillId="0" borderId="0" xfId="0" applyNumberFormat="1" applyBorder="1" applyProtection="1">
      <protection locked="0" hidden="1"/>
    </xf>
    <xf numFmtId="44" fontId="0" fillId="0" borderId="0" xfId="1" applyFont="1" applyBorder="1" applyProtection="1">
      <protection locked="0" hidden="1"/>
    </xf>
    <xf numFmtId="0" fontId="0" fillId="0" borderId="0" xfId="0" applyBorder="1" applyProtection="1">
      <protection locked="0" hidden="1"/>
    </xf>
    <xf numFmtId="2" fontId="0" fillId="0" borderId="0" xfId="0" applyNumberFormat="1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6" xfId="0" applyBorder="1" applyProtection="1">
      <protection locked="0" hidden="1"/>
    </xf>
    <xf numFmtId="14" fontId="0" fillId="0" borderId="9" xfId="0" applyNumberFormat="1" applyBorder="1" applyProtection="1">
      <protection locked="0" hidden="1"/>
    </xf>
    <xf numFmtId="44" fontId="0" fillId="0" borderId="9" xfId="1" applyFont="1" applyBorder="1" applyProtection="1">
      <protection locked="0" hidden="1"/>
    </xf>
    <xf numFmtId="0" fontId="0" fillId="0" borderId="9" xfId="0" applyBorder="1" applyProtection="1">
      <protection locked="0" hidden="1"/>
    </xf>
    <xf numFmtId="2" fontId="0" fillId="0" borderId="9" xfId="0" applyNumberFormat="1" applyBorder="1" applyProtection="1">
      <protection locked="0" hidden="1"/>
    </xf>
    <xf numFmtId="0" fontId="0" fillId="0" borderId="7" xfId="0" applyBorder="1" applyProtection="1">
      <protection locked="0" hidden="1"/>
    </xf>
    <xf numFmtId="44" fontId="0" fillId="0" borderId="0" xfId="1" applyFont="1" applyProtection="1">
      <protection locked="0" hidden="1"/>
    </xf>
    <xf numFmtId="1" fontId="0" fillId="0" borderId="0" xfId="0" applyNumberFormat="1" applyProtection="1">
      <protection locked="0" hidden="1"/>
    </xf>
    <xf numFmtId="165" fontId="0" fillId="0" borderId="0" xfId="0" applyNumberFormat="1" applyProtection="1">
      <protection locked="0" hidden="1"/>
    </xf>
    <xf numFmtId="2" fontId="0" fillId="0" borderId="0" xfId="0" applyNumberFormat="1" applyProtection="1">
      <protection locked="0" hidden="1"/>
    </xf>
    <xf numFmtId="2" fontId="0" fillId="0" borderId="0" xfId="1" applyNumberFormat="1" applyFont="1" applyProtection="1">
      <protection locked="0" hidden="1"/>
    </xf>
    <xf numFmtId="1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>
      <protection locked="0"/>
    </xf>
    <xf numFmtId="44" fontId="0" fillId="0" borderId="0" xfId="1" applyFont="1" applyProtection="1">
      <protection locked="0"/>
    </xf>
    <xf numFmtId="2" fontId="0" fillId="0" borderId="0" xfId="0" applyNumberFormat="1" applyProtection="1">
      <protection locked="0"/>
    </xf>
  </cellXfs>
  <cellStyles count="2">
    <cellStyle name="Currency" xfId="1" builtinId="4"/>
    <cellStyle name="Normal" xfId="0" builtinId="0"/>
  </cellStyles>
  <dxfs count="166">
    <dxf>
      <protection locked="0" hidden="1"/>
    </dxf>
    <dxf>
      <protection locked="0" hidden="1"/>
    </dxf>
    <dxf>
      <numFmt numFmtId="34" formatCode="_(&quot;$&quot;* #,##0.00_);_(&quot;$&quot;* \(#,##0.00\);_(&quot;$&quot;* &quot;-&quot;??_);_(@_)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34" formatCode="_(&quot;$&quot;* #,##0.00_);_(&quot;$&quot;* \(#,##0.00\);_(&quot;$&quot;* &quot;-&quot;??_);_(@_)"/>
      <protection locked="0" hidden="1"/>
    </dxf>
    <dxf>
      <numFmt numFmtId="34" formatCode="_(&quot;$&quot;* #,##0.00_);_(&quot;$&quot;* \(#,##0.00\);_(&quot;$&quot;* &quot;-&quot;??_);_(@_)"/>
      <protection locked="0" hidden="1"/>
    </dxf>
    <dxf>
      <numFmt numFmtId="34" formatCode="_(&quot;$&quot;* #,##0.00_);_(&quot;$&quot;* \(#,##0.00\);_(&quot;$&quot;* &quot;-&quot;??_);_(@_)"/>
      <protection locked="0" hidden="1"/>
    </dxf>
    <dxf>
      <numFmt numFmtId="2" formatCode="0.00"/>
      <protection locked="0" hidden="1"/>
    </dxf>
    <dxf>
      <numFmt numFmtId="34" formatCode="_(&quot;$&quot;* #,##0.00_);_(&quot;$&quot;* \(#,##0.00\);_(&quot;$&quot;* &quot;-&quot;??_);_(@_)"/>
      <protection locked="0" hidden="1"/>
    </dxf>
    <dxf>
      <protection locked="0" hidden="1"/>
    </dxf>
    <dxf>
      <protection locked="0" hidden="1"/>
    </dxf>
    <dxf>
      <protection locked="0" hidden="1"/>
    </dxf>
    <dxf>
      <protection locked="0" hidden="1"/>
    </dxf>
    <dxf>
      <protection locked="0" hidden="1"/>
    </dxf>
    <dxf>
      <protection locked="0" hidden="1"/>
    </dxf>
    <dxf>
      <numFmt numFmtId="19" formatCode="m/d/yyyy"/>
      <protection locked="0" hidden="1"/>
    </dxf>
    <dxf>
      <protection locked="0" hidden="1"/>
    </dxf>
    <dxf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34" formatCode="_(&quot;$&quot;* #,##0.00_);_(&quot;$&quot;* \(#,##0.00\);_(&quot;$&quot;* &quot;-&quot;??_);_(@_)"/>
      <protection locked="0" hidden="1"/>
    </dxf>
    <dxf>
      <numFmt numFmtId="34" formatCode="_(&quot;$&quot;* #,##0.00_);_(&quot;$&quot;* \(#,##0.00\);_(&quot;$&quot;* &quot;-&quot;??_);_(@_)"/>
      <protection locked="0" hidden="1"/>
    </dxf>
    <dxf>
      <numFmt numFmtId="34" formatCode="_(&quot;$&quot;* #,##0.00_);_(&quot;$&quot;* \(#,##0.00\);_(&quot;$&quot;* &quot;-&quot;??_);_(@_)"/>
      <protection locked="0" hidden="1"/>
    </dxf>
    <dxf>
      <numFmt numFmtId="2" formatCode="0.00"/>
      <protection locked="0" hidden="1"/>
    </dxf>
    <dxf>
      <numFmt numFmtId="34" formatCode="_(&quot;$&quot;* #,##0.00_);_(&quot;$&quot;* \(#,##0.00\);_(&quot;$&quot;* &quot;-&quot;??_);_(@_)"/>
      <protection locked="0" hidden="1"/>
    </dxf>
    <dxf>
      <protection locked="0" hidden="1"/>
    </dxf>
    <dxf>
      <protection locked="0" hidden="1"/>
    </dxf>
    <dxf>
      <protection locked="0" hidden="1"/>
    </dxf>
    <dxf>
      <protection locked="0" hidden="1"/>
    </dxf>
    <dxf>
      <protection locked="0" hidden="1"/>
    </dxf>
    <dxf>
      <protection locked="0" hidden="1"/>
    </dxf>
    <dxf>
      <numFmt numFmtId="19" formatCode="m/d/yyyy"/>
      <protection locked="0" hidden="1"/>
    </dxf>
    <dxf>
      <protection locked="0" hidden="1"/>
    </dxf>
    <dxf>
      <numFmt numFmtId="34" formatCode="_(&quot;$&quot;* #,##0.00_);_(&quot;$&quot;* \(#,##0.00\);_(&quot;$&quot;* &quot;-&quot;??_);_(@_)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34" formatCode="_(&quot;$&quot;* #,##0.00_);_(&quot;$&quot;* \(#,##0.00\);_(&quot;$&quot;* &quot;-&quot;??_);_(@_)"/>
      <protection locked="0" hidden="1"/>
    </dxf>
    <dxf>
      <numFmt numFmtId="34" formatCode="_(&quot;$&quot;* #,##0.00_);_(&quot;$&quot;* \(#,##0.00\);_(&quot;$&quot;* &quot;-&quot;??_);_(@_)"/>
      <protection locked="0" hidden="1"/>
    </dxf>
    <dxf>
      <numFmt numFmtId="34" formatCode="_(&quot;$&quot;* #,##0.00_);_(&quot;$&quot;* \(#,##0.00\);_(&quot;$&quot;* &quot;-&quot;??_);_(@_)"/>
      <protection locked="0" hidden="1"/>
    </dxf>
    <dxf>
      <numFmt numFmtId="2" formatCode="0.00"/>
      <protection locked="0" hidden="1"/>
    </dxf>
    <dxf>
      <numFmt numFmtId="165" formatCode="&quot;$&quot;#,##0.00"/>
      <protection locked="0" hidden="1"/>
    </dxf>
    <dxf>
      <protection locked="0" hidden="1"/>
    </dxf>
    <dxf>
      <numFmt numFmtId="165" formatCode="&quot;$&quot;#,##0.00"/>
      <protection locked="0" hidden="1"/>
    </dxf>
    <dxf>
      <numFmt numFmtId="165" formatCode="&quot;$&quot;#,##0.00"/>
      <protection locked="0" hidden="1"/>
    </dxf>
    <dxf>
      <numFmt numFmtId="165" formatCode="&quot;$&quot;#,##0.00"/>
      <protection locked="0" hidden="1"/>
    </dxf>
    <dxf>
      <numFmt numFmtId="165" formatCode="&quot;$&quot;#,##0.00"/>
      <protection locked="0" hidden="1"/>
    </dxf>
    <dxf>
      <numFmt numFmtId="165" formatCode="&quot;$&quot;#,##0.00"/>
      <protection locked="0" hidden="1"/>
    </dxf>
    <dxf>
      <numFmt numFmtId="19" formatCode="m/d/yyyy"/>
      <protection locked="0" hidden="1"/>
    </dxf>
    <dxf>
      <protection locked="0" hidden="1"/>
    </dxf>
    <dxf>
      <protection locked="0" hidden="1"/>
    </dxf>
    <dxf>
      <numFmt numFmtId="165" formatCode="&quot;$&quot;#,##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165" formatCode="&quot;$&quot;#,##0.00"/>
      <protection locked="0" hidden="1"/>
    </dxf>
    <dxf>
      <numFmt numFmtId="165" formatCode="&quot;$&quot;#,##0.00"/>
      <protection locked="0" hidden="1"/>
    </dxf>
    <dxf>
      <numFmt numFmtId="165" formatCode="&quot;$&quot;#,##0.00"/>
      <protection locked="0" hidden="1"/>
    </dxf>
    <dxf>
      <numFmt numFmtId="2" formatCode="0.00"/>
      <protection locked="0" hidden="1"/>
    </dxf>
    <dxf>
      <numFmt numFmtId="165" formatCode="&quot;$&quot;#,##0.00"/>
      <protection locked="0" hidden="1"/>
    </dxf>
    <dxf>
      <protection locked="0" hidden="1"/>
    </dxf>
    <dxf>
      <numFmt numFmtId="165" formatCode="&quot;$&quot;#,##0.00"/>
      <protection locked="0" hidden="1"/>
    </dxf>
    <dxf>
      <numFmt numFmtId="165" formatCode="&quot;$&quot;#,##0.00"/>
      <protection locked="0" hidden="1"/>
    </dxf>
    <dxf>
      <numFmt numFmtId="165" formatCode="&quot;$&quot;#,##0.00"/>
      <protection locked="0" hidden="1"/>
    </dxf>
    <dxf>
      <numFmt numFmtId="165" formatCode="&quot;$&quot;#,##0.00"/>
      <protection locked="0" hidden="1"/>
    </dxf>
    <dxf>
      <numFmt numFmtId="165" formatCode="&quot;$&quot;#,##0.00"/>
      <protection locked="0" hidden="1"/>
    </dxf>
    <dxf>
      <numFmt numFmtId="19" formatCode="m/d/yyyy"/>
      <protection locked="0" hidden="1"/>
    </dxf>
    <dxf>
      <protection locked="0" hidden="1"/>
    </dxf>
    <dxf>
      <protection locked="0" hidden="1"/>
    </dxf>
    <dxf>
      <numFmt numFmtId="165" formatCode="&quot;$&quot;#,##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2" formatCode="0.00"/>
      <protection locked="0" hidden="1"/>
    </dxf>
    <dxf>
      <numFmt numFmtId="165" formatCode="&quot;$&quot;#,##0.00"/>
      <protection locked="0" hidden="1"/>
    </dxf>
    <dxf>
      <numFmt numFmtId="165" formatCode="&quot;$&quot;#,##0.00"/>
      <protection locked="0" hidden="1"/>
    </dxf>
    <dxf>
      <numFmt numFmtId="165" formatCode="&quot;$&quot;#,##0.00"/>
      <protection locked="0" hidden="1"/>
    </dxf>
    <dxf>
      <numFmt numFmtId="2" formatCode="0.00"/>
      <protection locked="0" hidden="1"/>
    </dxf>
    <dxf>
      <numFmt numFmtId="165" formatCode="&quot;$&quot;#,##0.00"/>
      <protection locked="0" hidden="1"/>
    </dxf>
    <dxf>
      <protection locked="0" hidden="1"/>
    </dxf>
    <dxf>
      <numFmt numFmtId="165" formatCode="&quot;$&quot;#,##0.00"/>
      <protection locked="0" hidden="1"/>
    </dxf>
    <dxf>
      <numFmt numFmtId="165" formatCode="&quot;$&quot;#,##0.00"/>
      <protection locked="0" hidden="1"/>
    </dxf>
    <dxf>
      <numFmt numFmtId="165" formatCode="&quot;$&quot;#,##0.00"/>
      <protection locked="0" hidden="1"/>
    </dxf>
    <dxf>
      <numFmt numFmtId="165" formatCode="&quot;$&quot;#,##0.00"/>
      <protection locked="0" hidden="1"/>
    </dxf>
    <dxf>
      <numFmt numFmtId="165" formatCode="&quot;$&quot;#,##0.00"/>
      <protection locked="0" hidden="1"/>
    </dxf>
    <dxf>
      <numFmt numFmtId="19" formatCode="m/d/yyyy"/>
      <protection locked="0" hidden="1"/>
    </dxf>
    <dxf>
      <protection locked="0" hidden="1"/>
    </dxf>
    <dxf>
      <protection locked="0" hidden="1"/>
    </dxf>
    <dxf>
      <numFmt numFmtId="0" formatCode="General"/>
      <protection locked="0" hidden="1"/>
    </dxf>
    <dxf>
      <numFmt numFmtId="0" formatCode="General"/>
      <protection locked="0" hidden="1"/>
    </dxf>
    <dxf>
      <numFmt numFmtId="0" formatCode="General"/>
      <protection locked="0" hidden="1"/>
    </dxf>
    <dxf>
      <numFmt numFmtId="0" formatCode="General"/>
      <protection locked="0" hidden="1"/>
    </dxf>
    <dxf>
      <numFmt numFmtId="19" formatCode="m/d/yyyy"/>
      <protection locked="0" hidden="1"/>
    </dxf>
    <dxf>
      <numFmt numFmtId="19" formatCode="m/d/yyyy"/>
      <protection locked="0" hidden="1"/>
    </dxf>
    <dxf>
      <protection locked="0" hidden="1"/>
    </dxf>
    <dxf>
      <protection locked="0" hidden="1"/>
    </dxf>
    <dxf>
      <protection locked="0" hidden="1"/>
    </dxf>
    <dxf>
      <numFmt numFmtId="0" formatCode="General"/>
      <protection locked="0" hidden="1"/>
    </dxf>
    <dxf>
      <protection locked="0" hidden="1"/>
    </dxf>
    <dxf>
      <protection locked="0" hidden="1"/>
    </dxf>
    <dxf>
      <protection locked="0" hidden="1"/>
    </dxf>
    <dxf>
      <protection locked="0" hidden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numFmt numFmtId="164" formatCode="[$-409]d\-mmm\-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1" formatCode="0"/>
    </dxf>
  </dxfs>
  <tableStyles count="0" defaultTableStyle="TableStyleMedium2" defaultPivotStyle="PivotStyleLight16"/>
  <colors>
    <mruColors>
      <color rgb="FF66FFFF"/>
      <color rgb="FF99FFCC"/>
      <color rgb="FFFF99FF"/>
      <color rgb="FFCCFFCC"/>
      <color rgb="FFCC00CC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RSI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Adj Close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HD!$A$19:$A$28</c:f>
              <c:numCache>
                <c:formatCode>m/d/yyyy</c:formatCode>
                <c:ptCount val="10"/>
                <c:pt idx="0">
                  <c:v>44071</c:v>
                </c:pt>
                <c:pt idx="1">
                  <c:v>44074</c:v>
                </c:pt>
                <c:pt idx="2">
                  <c:v>44075</c:v>
                </c:pt>
                <c:pt idx="3">
                  <c:v>44076</c:v>
                </c:pt>
                <c:pt idx="4">
                  <c:v>44077</c:v>
                </c:pt>
                <c:pt idx="5">
                  <c:v>44078</c:v>
                </c:pt>
                <c:pt idx="6">
                  <c:v>44082</c:v>
                </c:pt>
                <c:pt idx="7">
                  <c:v>44083</c:v>
                </c:pt>
                <c:pt idx="8">
                  <c:v>44084</c:v>
                </c:pt>
                <c:pt idx="9">
                  <c:v>44085</c:v>
                </c:pt>
              </c:numCache>
            </c:numRef>
          </c:cat>
          <c:val>
            <c:numRef>
              <c:f>HD!$F$19:$F$28</c:f>
              <c:numCache>
                <c:formatCode>"$"#,##0.00</c:formatCode>
                <c:ptCount val="10"/>
                <c:pt idx="0">
                  <c:v>284.78817700000002</c:v>
                </c:pt>
                <c:pt idx="1">
                  <c:v>283.54473899999999</c:v>
                </c:pt>
                <c:pt idx="2">
                  <c:v>284.44000199999999</c:v>
                </c:pt>
                <c:pt idx="3">
                  <c:v>287.20001200000002</c:v>
                </c:pt>
                <c:pt idx="4">
                  <c:v>274.63000499999998</c:v>
                </c:pt>
                <c:pt idx="5">
                  <c:v>269.66000400000001</c:v>
                </c:pt>
                <c:pt idx="6">
                  <c:v>269.26001000000002</c:v>
                </c:pt>
                <c:pt idx="7">
                  <c:v>277.040009</c:v>
                </c:pt>
                <c:pt idx="8">
                  <c:v>272.70001200000002</c:v>
                </c:pt>
                <c:pt idx="9">
                  <c:v>276.32998700000002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741336"/>
        <c:axId val="275733888"/>
      </c:lineChart>
      <c:lineChart>
        <c:grouping val="standard"/>
        <c:varyColors val="0"/>
        <c:ser>
          <c:idx val="1"/>
          <c:order val="1"/>
          <c:tx>
            <c:v>RSI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HD!$A$19:$A$28</c:f>
              <c:numCache>
                <c:formatCode>m/d/yyyy</c:formatCode>
                <c:ptCount val="10"/>
                <c:pt idx="0">
                  <c:v>44071</c:v>
                </c:pt>
                <c:pt idx="1">
                  <c:v>44074</c:v>
                </c:pt>
                <c:pt idx="2">
                  <c:v>44075</c:v>
                </c:pt>
                <c:pt idx="3">
                  <c:v>44076</c:v>
                </c:pt>
                <c:pt idx="4">
                  <c:v>44077</c:v>
                </c:pt>
                <c:pt idx="5">
                  <c:v>44078</c:v>
                </c:pt>
                <c:pt idx="6">
                  <c:v>44082</c:v>
                </c:pt>
                <c:pt idx="7">
                  <c:v>44083</c:v>
                </c:pt>
                <c:pt idx="8">
                  <c:v>44084</c:v>
                </c:pt>
                <c:pt idx="9">
                  <c:v>44085</c:v>
                </c:pt>
              </c:numCache>
            </c:numRef>
          </c:cat>
          <c:val>
            <c:numRef>
              <c:f>HD!$I$19:$I$28</c:f>
              <c:numCache>
                <c:formatCode>0.00</c:formatCode>
                <c:ptCount val="10"/>
                <c:pt idx="0">
                  <c:v>63.954587445302003</c:v>
                </c:pt>
                <c:pt idx="1">
                  <c:v>61.911481520808508</c:v>
                </c:pt>
                <c:pt idx="2">
                  <c:v>55.936844893647965</c:v>
                </c:pt>
                <c:pt idx="3">
                  <c:v>58.949159549789243</c:v>
                </c:pt>
                <c:pt idx="4">
                  <c:v>45.610891926382877</c:v>
                </c:pt>
                <c:pt idx="5">
                  <c:v>32.218665200259792</c:v>
                </c:pt>
                <c:pt idx="6">
                  <c:v>34.232198484698941</c:v>
                </c:pt>
                <c:pt idx="7">
                  <c:v>45.734024748504304</c:v>
                </c:pt>
                <c:pt idx="8">
                  <c:v>43.860041490677617</c:v>
                </c:pt>
                <c:pt idx="9">
                  <c:v>44.99486613351862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734280"/>
        <c:axId val="275737024"/>
      </c:lineChart>
      <c:dateAx>
        <c:axId val="275741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33888"/>
        <c:crosses val="autoZero"/>
        <c:auto val="1"/>
        <c:lblOffset val="100"/>
        <c:baseTimeUnit val="days"/>
      </c:dateAx>
      <c:valAx>
        <c:axId val="2757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41336"/>
        <c:crosses val="autoZero"/>
        <c:crossBetween val="between"/>
      </c:valAx>
      <c:valAx>
        <c:axId val="2757370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34280"/>
        <c:crosses val="max"/>
        <c:crossBetween val="between"/>
      </c:valAx>
      <c:dateAx>
        <c:axId val="2757342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757370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Bollinger</a:t>
            </a:r>
            <a:r>
              <a:rPr lang="en-GB" baseline="0"/>
              <a:t> Band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HD!$J$4</c:f>
              <c:strCache>
                <c:ptCount val="1"/>
                <c:pt idx="0">
                  <c:v>BB_Mean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HD!$A$18:$A$28</c:f>
              <c:numCache>
                <c:formatCode>m/d/yyyy</c:formatCode>
                <c:ptCount val="11"/>
                <c:pt idx="0">
                  <c:v>44070</c:v>
                </c:pt>
                <c:pt idx="1">
                  <c:v>44071</c:v>
                </c:pt>
                <c:pt idx="2">
                  <c:v>44074</c:v>
                </c:pt>
                <c:pt idx="3">
                  <c:v>44075</c:v>
                </c:pt>
                <c:pt idx="4">
                  <c:v>44076</c:v>
                </c:pt>
                <c:pt idx="5">
                  <c:v>44077</c:v>
                </c:pt>
                <c:pt idx="6">
                  <c:v>44078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</c:numCache>
            </c:numRef>
          </c:cat>
          <c:val>
            <c:numRef>
              <c:f>HD!$J$18:$J$28</c:f>
              <c:numCache>
                <c:formatCode>_("$"* #,##0.00_);_("$"* \(#,##0.00\);_("$"* "-"??_);_(@_)</c:formatCode>
                <c:ptCount val="11"/>
                <c:pt idx="0">
                  <c:v>281.86287371428574</c:v>
                </c:pt>
                <c:pt idx="1">
                  <c:v>282.6842565</c:v>
                </c:pt>
                <c:pt idx="2">
                  <c:v>283.40332257142859</c:v>
                </c:pt>
                <c:pt idx="3">
                  <c:v>283.71311957142859</c:v>
                </c:pt>
                <c:pt idx="4">
                  <c:v>284.21437292857138</c:v>
                </c:pt>
                <c:pt idx="5">
                  <c:v>283.89664135714287</c:v>
                </c:pt>
                <c:pt idx="6">
                  <c:v>282.67750335714283</c:v>
                </c:pt>
                <c:pt idx="7">
                  <c:v>281.66000807142854</c:v>
                </c:pt>
                <c:pt idx="8">
                  <c:v>281.35028521428563</c:v>
                </c:pt>
                <c:pt idx="9">
                  <c:v>280.88545885714285</c:v>
                </c:pt>
                <c:pt idx="10">
                  <c:v>280.49872707142856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HD!$K$4</c:f>
              <c:strCache>
                <c:ptCount val="1"/>
                <c:pt idx="0">
                  <c:v>BB_Upper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HD!$A$18:$A$28</c:f>
              <c:numCache>
                <c:formatCode>m/d/yyyy</c:formatCode>
                <c:ptCount val="11"/>
                <c:pt idx="0">
                  <c:v>44070</c:v>
                </c:pt>
                <c:pt idx="1">
                  <c:v>44071</c:v>
                </c:pt>
                <c:pt idx="2">
                  <c:v>44074</c:v>
                </c:pt>
                <c:pt idx="3">
                  <c:v>44075</c:v>
                </c:pt>
                <c:pt idx="4">
                  <c:v>44076</c:v>
                </c:pt>
                <c:pt idx="5">
                  <c:v>44077</c:v>
                </c:pt>
                <c:pt idx="6">
                  <c:v>44078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</c:numCache>
            </c:numRef>
          </c:cat>
          <c:val>
            <c:numRef>
              <c:f>HD!$K$18:$K$28</c:f>
              <c:numCache>
                <c:formatCode>_("$"* #,##0.00_);_("$"* \(#,##0.00\);_("$"* "-"??_);_(@_)</c:formatCode>
                <c:ptCount val="11"/>
                <c:pt idx="0">
                  <c:v>291.64061486510343</c:v>
                </c:pt>
                <c:pt idx="1">
                  <c:v>291.21134120215601</c:v>
                </c:pt>
                <c:pt idx="2">
                  <c:v>290.08404976235278</c:v>
                </c:pt>
                <c:pt idx="3">
                  <c:v>290.13165722536593</c:v>
                </c:pt>
                <c:pt idx="4">
                  <c:v>290.54057269588361</c:v>
                </c:pt>
                <c:pt idx="5">
                  <c:v>291.62540050677137</c:v>
                </c:pt>
                <c:pt idx="6">
                  <c:v>293.31838291706708</c:v>
                </c:pt>
                <c:pt idx="7">
                  <c:v>294.46436249494525</c:v>
                </c:pt>
                <c:pt idx="8">
                  <c:v>294.39179478095946</c:v>
                </c:pt>
                <c:pt idx="9">
                  <c:v>294.69709624703529</c:v>
                </c:pt>
                <c:pt idx="10">
                  <c:v>294.50856192369491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HD!$L$4</c:f>
              <c:strCache>
                <c:ptCount val="1"/>
                <c:pt idx="0">
                  <c:v>BB_Lower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HD!$A$18:$A$28</c:f>
              <c:numCache>
                <c:formatCode>m/d/yyyy</c:formatCode>
                <c:ptCount val="11"/>
                <c:pt idx="0">
                  <c:v>44070</c:v>
                </c:pt>
                <c:pt idx="1">
                  <c:v>44071</c:v>
                </c:pt>
                <c:pt idx="2">
                  <c:v>44074</c:v>
                </c:pt>
                <c:pt idx="3">
                  <c:v>44075</c:v>
                </c:pt>
                <c:pt idx="4">
                  <c:v>44076</c:v>
                </c:pt>
                <c:pt idx="5">
                  <c:v>44077</c:v>
                </c:pt>
                <c:pt idx="6">
                  <c:v>44078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</c:numCache>
            </c:numRef>
          </c:cat>
          <c:val>
            <c:numRef>
              <c:f>HD!$L$18:$L$28</c:f>
              <c:numCache>
                <c:formatCode>_("$"* #,##0.00_);_("$"* \(#,##0.00\);_("$"* "-"??_);_(@_)</c:formatCode>
                <c:ptCount val="11"/>
                <c:pt idx="0">
                  <c:v>272.08513256346805</c:v>
                </c:pt>
                <c:pt idx="1">
                  <c:v>274.157171797844</c:v>
                </c:pt>
                <c:pt idx="2">
                  <c:v>276.7225953805044</c:v>
                </c:pt>
                <c:pt idx="3">
                  <c:v>277.29458191749126</c:v>
                </c:pt>
                <c:pt idx="4">
                  <c:v>277.88817316125915</c:v>
                </c:pt>
                <c:pt idx="5">
                  <c:v>276.16788220751437</c:v>
                </c:pt>
                <c:pt idx="6">
                  <c:v>272.03662379721857</c:v>
                </c:pt>
                <c:pt idx="7">
                  <c:v>268.85565364791182</c:v>
                </c:pt>
                <c:pt idx="8">
                  <c:v>268.30877564761181</c:v>
                </c:pt>
                <c:pt idx="9">
                  <c:v>267.07382146725041</c:v>
                </c:pt>
                <c:pt idx="10">
                  <c:v>266.48889221916221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738984"/>
        <c:axId val="275735848"/>
      </c:lineChart>
      <c:dateAx>
        <c:axId val="275738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35848"/>
        <c:crosses val="autoZero"/>
        <c:auto val="1"/>
        <c:lblOffset val="100"/>
        <c:baseTimeUnit val="days"/>
      </c:dateAx>
      <c:valAx>
        <c:axId val="2757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3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HD!$F$4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HD!$A$5:$A$28</c:f>
              <c:numCache>
                <c:formatCode>m/d/yyyy</c:formatCode>
                <c:ptCount val="24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44060</c:v>
                </c:pt>
                <c:pt idx="6">
                  <c:v>44061</c:v>
                </c:pt>
                <c:pt idx="7">
                  <c:v>44062</c:v>
                </c:pt>
                <c:pt idx="8">
                  <c:v>44063</c:v>
                </c:pt>
                <c:pt idx="9">
                  <c:v>44064</c:v>
                </c:pt>
                <c:pt idx="10">
                  <c:v>44067</c:v>
                </c:pt>
                <c:pt idx="11">
                  <c:v>44068</c:v>
                </c:pt>
                <c:pt idx="12">
                  <c:v>44069</c:v>
                </c:pt>
                <c:pt idx="13">
                  <c:v>44070</c:v>
                </c:pt>
                <c:pt idx="14">
                  <c:v>44071</c:v>
                </c:pt>
                <c:pt idx="15">
                  <c:v>44074</c:v>
                </c:pt>
                <c:pt idx="16">
                  <c:v>44075</c:v>
                </c:pt>
                <c:pt idx="17">
                  <c:v>44076</c:v>
                </c:pt>
                <c:pt idx="18">
                  <c:v>44077</c:v>
                </c:pt>
                <c:pt idx="19">
                  <c:v>44078</c:v>
                </c:pt>
                <c:pt idx="20">
                  <c:v>44082</c:v>
                </c:pt>
                <c:pt idx="21">
                  <c:v>44083</c:v>
                </c:pt>
                <c:pt idx="22">
                  <c:v>44084</c:v>
                </c:pt>
                <c:pt idx="23">
                  <c:v>44085</c:v>
                </c:pt>
              </c:numCache>
            </c:numRef>
          </c:cat>
          <c:val>
            <c:numRef>
              <c:f>HD!$F$5:$F$28</c:f>
              <c:numCache>
                <c:formatCode>"$"#,##0.00</c:formatCode>
                <c:ptCount val="24"/>
                <c:pt idx="0">
                  <c:v>273.28881799999999</c:v>
                </c:pt>
                <c:pt idx="1">
                  <c:v>273.47781400000002</c:v>
                </c:pt>
                <c:pt idx="2">
                  <c:v>280.102844</c:v>
                </c:pt>
                <c:pt idx="3">
                  <c:v>280.18246499999998</c:v>
                </c:pt>
                <c:pt idx="4">
                  <c:v>279.07824699999998</c:v>
                </c:pt>
                <c:pt idx="5">
                  <c:v>286.727936</c:v>
                </c:pt>
                <c:pt idx="6">
                  <c:v>283.50494400000002</c:v>
                </c:pt>
                <c:pt idx="7">
                  <c:v>281.37612899999999</c:v>
                </c:pt>
                <c:pt idx="8">
                  <c:v>279.207581</c:v>
                </c:pt>
                <c:pt idx="9">
                  <c:v>281.74423200000001</c:v>
                </c:pt>
                <c:pt idx="10">
                  <c:v>285.24575800000002</c:v>
                </c:pt>
                <c:pt idx="11">
                  <c:v>284.62899800000002</c:v>
                </c:pt>
                <c:pt idx="12">
                  <c:v>290.39855999999997</c:v>
                </c:pt>
                <c:pt idx="13">
                  <c:v>287.115906</c:v>
                </c:pt>
                <c:pt idx="14">
                  <c:v>284.78817700000002</c:v>
                </c:pt>
                <c:pt idx="15">
                  <c:v>283.54473899999999</c:v>
                </c:pt>
                <c:pt idx="16">
                  <c:v>284.44000199999999</c:v>
                </c:pt>
                <c:pt idx="17">
                  <c:v>287.20001200000002</c:v>
                </c:pt>
                <c:pt idx="18">
                  <c:v>274.63000499999998</c:v>
                </c:pt>
                <c:pt idx="19">
                  <c:v>269.66000400000001</c:v>
                </c:pt>
                <c:pt idx="20">
                  <c:v>269.26001000000002</c:v>
                </c:pt>
                <c:pt idx="21">
                  <c:v>277.040009</c:v>
                </c:pt>
                <c:pt idx="22">
                  <c:v>272.70001200000002</c:v>
                </c:pt>
                <c:pt idx="23">
                  <c:v>276.32998700000002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HD!$H$4</c:f>
              <c:strCache>
                <c:ptCount val="1"/>
                <c:pt idx="0">
                  <c:v>EMA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HD!$A$5:$A$28</c:f>
              <c:numCache>
                <c:formatCode>m/d/yyyy</c:formatCode>
                <c:ptCount val="24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44060</c:v>
                </c:pt>
                <c:pt idx="6">
                  <c:v>44061</c:v>
                </c:pt>
                <c:pt idx="7">
                  <c:v>44062</c:v>
                </c:pt>
                <c:pt idx="8">
                  <c:v>44063</c:v>
                </c:pt>
                <c:pt idx="9">
                  <c:v>44064</c:v>
                </c:pt>
                <c:pt idx="10">
                  <c:v>44067</c:v>
                </c:pt>
                <c:pt idx="11">
                  <c:v>44068</c:v>
                </c:pt>
                <c:pt idx="12">
                  <c:v>44069</c:v>
                </c:pt>
                <c:pt idx="13">
                  <c:v>44070</c:v>
                </c:pt>
                <c:pt idx="14">
                  <c:v>44071</c:v>
                </c:pt>
                <c:pt idx="15">
                  <c:v>44074</c:v>
                </c:pt>
                <c:pt idx="16">
                  <c:v>44075</c:v>
                </c:pt>
                <c:pt idx="17">
                  <c:v>44076</c:v>
                </c:pt>
                <c:pt idx="18">
                  <c:v>44077</c:v>
                </c:pt>
                <c:pt idx="19">
                  <c:v>44078</c:v>
                </c:pt>
                <c:pt idx="20">
                  <c:v>44082</c:v>
                </c:pt>
                <c:pt idx="21">
                  <c:v>44083</c:v>
                </c:pt>
                <c:pt idx="22">
                  <c:v>44084</c:v>
                </c:pt>
                <c:pt idx="23">
                  <c:v>44085</c:v>
                </c:pt>
              </c:numCache>
            </c:numRef>
          </c:cat>
          <c:val>
            <c:numRef>
              <c:f>HD!$H$5:$H$28</c:f>
              <c:numCache>
                <c:formatCode>_("$"* #,##0.00_);_("$"* \(#,##0.00\);_("$"* "-"??_);_(@_)</c:formatCode>
                <c:ptCount val="24"/>
                <c:pt idx="0">
                  <c:v>273.28881799999999</c:v>
                </c:pt>
                <c:pt idx="1">
                  <c:v>273.30771759999999</c:v>
                </c:pt>
                <c:pt idx="2">
                  <c:v>273.98723023999997</c:v>
                </c:pt>
                <c:pt idx="3">
                  <c:v>274.60675371599996</c:v>
                </c:pt>
                <c:pt idx="4">
                  <c:v>275.05390304439993</c:v>
                </c:pt>
                <c:pt idx="5">
                  <c:v>276.22130633995994</c:v>
                </c:pt>
                <c:pt idx="6">
                  <c:v>276.94967010596395</c:v>
                </c:pt>
                <c:pt idx="7">
                  <c:v>277.39231599536754</c:v>
                </c:pt>
                <c:pt idx="8">
                  <c:v>277.57384249583077</c:v>
                </c:pt>
                <c:pt idx="9">
                  <c:v>277.99088144624767</c:v>
                </c:pt>
                <c:pt idx="10">
                  <c:v>278.71636910162289</c:v>
                </c:pt>
                <c:pt idx="11">
                  <c:v>279.3076319914606</c:v>
                </c:pt>
                <c:pt idx="12">
                  <c:v>280.41672479231454</c:v>
                </c:pt>
                <c:pt idx="13">
                  <c:v>281.0866429130831</c:v>
                </c:pt>
                <c:pt idx="14">
                  <c:v>281.45679632177479</c:v>
                </c:pt>
                <c:pt idx="15">
                  <c:v>281.66559058959734</c:v>
                </c:pt>
                <c:pt idx="16">
                  <c:v>281.94303173063759</c:v>
                </c:pt>
                <c:pt idx="17">
                  <c:v>282.46872975757384</c:v>
                </c:pt>
                <c:pt idx="18">
                  <c:v>281.68485728181645</c:v>
                </c:pt>
                <c:pt idx="19">
                  <c:v>280.48237195363481</c:v>
                </c:pt>
                <c:pt idx="20">
                  <c:v>279.36013575827133</c:v>
                </c:pt>
                <c:pt idx="21">
                  <c:v>279.12812308244418</c:v>
                </c:pt>
                <c:pt idx="22">
                  <c:v>278.48531197419976</c:v>
                </c:pt>
                <c:pt idx="23">
                  <c:v>278.26977947677977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097248"/>
        <c:axId val="280098424"/>
      </c:lineChart>
      <c:dateAx>
        <c:axId val="280097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98424"/>
        <c:crosses val="autoZero"/>
        <c:auto val="1"/>
        <c:lblOffset val="100"/>
        <c:baseTimeUnit val="days"/>
      </c:dateAx>
      <c:valAx>
        <c:axId val="2800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Volume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val>
            <c:numRef>
              <c:f>Dashboard_backend!$V$5:$V$14</c:f>
              <c:numCache>
                <c:formatCode>General</c:formatCode>
                <c:ptCount val="10"/>
                <c:pt idx="0">
                  <c:v>3100.1</c:v>
                </c:pt>
                <c:pt idx="1">
                  <c:v>4105.3999999999996</c:v>
                </c:pt>
                <c:pt idx="2">
                  <c:v>3238.1</c:v>
                </c:pt>
                <c:pt idx="3">
                  <c:v>3464.6</c:v>
                </c:pt>
                <c:pt idx="4">
                  <c:v>5380.1</c:v>
                </c:pt>
                <c:pt idx="5">
                  <c:v>5253.5</c:v>
                </c:pt>
                <c:pt idx="6">
                  <c:v>5241.2</c:v>
                </c:pt>
                <c:pt idx="7">
                  <c:v>4754.7</c:v>
                </c:pt>
                <c:pt idx="8">
                  <c:v>3155.8</c:v>
                </c:pt>
                <c:pt idx="9">
                  <c:v>3328.7469999999998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101168"/>
        <c:axId val="280096856"/>
      </c:barChart>
      <c:lineChart>
        <c:grouping val="standard"/>
        <c:varyColors val="0"/>
        <c:ser>
          <c:idx val="0"/>
          <c:order val="0"/>
          <c:tx>
            <c:v>Adj Close</c:v>
          </c:tx>
          <c:spPr>
            <a:ln w="28575" cap="rnd">
              <a:solidFill>
                <a:srgbClr val="66FFFF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Dashboard_backend!$AB$5:$AB$14</c:f>
              <c:strCache>
                <c:ptCount val="10"/>
                <c:pt idx="0">
                  <c:v>08/28</c:v>
                </c:pt>
                <c:pt idx="1">
                  <c:v>08/31</c:v>
                </c:pt>
                <c:pt idx="2">
                  <c:v>09/01</c:v>
                </c:pt>
                <c:pt idx="3">
                  <c:v>09/02</c:v>
                </c:pt>
                <c:pt idx="4">
                  <c:v>09/03</c:v>
                </c:pt>
                <c:pt idx="5">
                  <c:v>09/04</c:v>
                </c:pt>
                <c:pt idx="6">
                  <c:v>09/08</c:v>
                </c:pt>
                <c:pt idx="7">
                  <c:v>09/09</c:v>
                </c:pt>
                <c:pt idx="8">
                  <c:v>09/10</c:v>
                </c:pt>
                <c:pt idx="9">
                  <c:v>09/11</c:v>
                </c:pt>
              </c:strCache>
            </c:strRef>
          </c:cat>
          <c:val>
            <c:numRef>
              <c:f>Dashboard_backend!$U$5:$U$14</c:f>
              <c:numCache>
                <c:formatCode>_("$"* #,##0.00_);_("$"* \(#,##0.00\);_("$"* "-"??_);_(@_)</c:formatCode>
                <c:ptCount val="10"/>
                <c:pt idx="0">
                  <c:v>284.78817700000002</c:v>
                </c:pt>
                <c:pt idx="1">
                  <c:v>283.54473899999999</c:v>
                </c:pt>
                <c:pt idx="2">
                  <c:v>284.44000199999999</c:v>
                </c:pt>
                <c:pt idx="3">
                  <c:v>287.20001200000002</c:v>
                </c:pt>
                <c:pt idx="4">
                  <c:v>274.63000499999998</c:v>
                </c:pt>
                <c:pt idx="5">
                  <c:v>269.66000400000001</c:v>
                </c:pt>
                <c:pt idx="6">
                  <c:v>269.26001000000002</c:v>
                </c:pt>
                <c:pt idx="7">
                  <c:v>277.040009</c:v>
                </c:pt>
                <c:pt idx="8">
                  <c:v>272.70001200000002</c:v>
                </c:pt>
                <c:pt idx="9">
                  <c:v>276.32998700000002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094112"/>
        <c:axId val="280096464"/>
      </c:lineChart>
      <c:catAx>
        <c:axId val="2800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96464"/>
        <c:crosses val="autoZero"/>
        <c:auto val="1"/>
        <c:lblAlgn val="ctr"/>
        <c:lblOffset val="100"/>
        <c:noMultiLvlLbl val="0"/>
      </c:catAx>
      <c:valAx>
        <c:axId val="28009646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94112"/>
        <c:crosses val="autoZero"/>
        <c:crossBetween val="between"/>
      </c:valAx>
      <c:valAx>
        <c:axId val="28009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01168"/>
        <c:crosses val="max"/>
        <c:crossBetween val="between"/>
      </c:valAx>
      <c:catAx>
        <c:axId val="28010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28009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rgbClr val="66FFFF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Dashboard_backend!$AB$5:$AB$14</c:f>
              <c:strCache>
                <c:ptCount val="10"/>
                <c:pt idx="0">
                  <c:v>08/28</c:v>
                </c:pt>
                <c:pt idx="1">
                  <c:v>08/31</c:v>
                </c:pt>
                <c:pt idx="2">
                  <c:v>09/01</c:v>
                </c:pt>
                <c:pt idx="3">
                  <c:v>09/02</c:v>
                </c:pt>
                <c:pt idx="4">
                  <c:v>09/03</c:v>
                </c:pt>
                <c:pt idx="5">
                  <c:v>09/04</c:v>
                </c:pt>
                <c:pt idx="6">
                  <c:v>09/08</c:v>
                </c:pt>
                <c:pt idx="7">
                  <c:v>09/09</c:v>
                </c:pt>
                <c:pt idx="8">
                  <c:v>09/10</c:v>
                </c:pt>
                <c:pt idx="9">
                  <c:v>09/11</c:v>
                </c:pt>
              </c:strCache>
            </c:strRef>
          </c:cat>
          <c:val>
            <c:numRef>
              <c:f>Dashboard_backend!$U$5:$U$14</c:f>
              <c:numCache>
                <c:formatCode>_("$"* #,##0.00_);_("$"* \(#,##0.00\);_("$"* "-"??_);_(@_)</c:formatCode>
                <c:ptCount val="10"/>
                <c:pt idx="0">
                  <c:v>284.78817700000002</c:v>
                </c:pt>
                <c:pt idx="1">
                  <c:v>283.54473899999999</c:v>
                </c:pt>
                <c:pt idx="2">
                  <c:v>284.44000199999999</c:v>
                </c:pt>
                <c:pt idx="3">
                  <c:v>287.20001200000002</c:v>
                </c:pt>
                <c:pt idx="4">
                  <c:v>274.63000499999998</c:v>
                </c:pt>
                <c:pt idx="5">
                  <c:v>269.66000400000001</c:v>
                </c:pt>
                <c:pt idx="6">
                  <c:v>269.26001000000002</c:v>
                </c:pt>
                <c:pt idx="7">
                  <c:v>277.040009</c:v>
                </c:pt>
                <c:pt idx="8">
                  <c:v>272.70001200000002</c:v>
                </c:pt>
                <c:pt idx="9">
                  <c:v>276.32998700000002</c:v>
                </c:pt>
              </c:numCache>
            </c:numRef>
          </c:val>
          <c:smooth val="0"/>
        </c:ser>
        <c:ser>
          <c:idx val="1"/>
          <c:order val="1"/>
          <c:tx>
            <c:v>EMA</c:v>
          </c:tx>
          <c:spPr>
            <a:ln w="28575" cap="rnd">
              <a:solidFill>
                <a:srgbClr val="FF99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Dashboard_backend!$AB$5:$AB$14</c:f>
              <c:strCache>
                <c:ptCount val="10"/>
                <c:pt idx="0">
                  <c:v>08/28</c:v>
                </c:pt>
                <c:pt idx="1">
                  <c:v>08/31</c:v>
                </c:pt>
                <c:pt idx="2">
                  <c:v>09/01</c:v>
                </c:pt>
                <c:pt idx="3">
                  <c:v>09/02</c:v>
                </c:pt>
                <c:pt idx="4">
                  <c:v>09/03</c:v>
                </c:pt>
                <c:pt idx="5">
                  <c:v>09/04</c:v>
                </c:pt>
                <c:pt idx="6">
                  <c:v>09/08</c:v>
                </c:pt>
                <c:pt idx="7">
                  <c:v>09/09</c:v>
                </c:pt>
                <c:pt idx="8">
                  <c:v>09/10</c:v>
                </c:pt>
                <c:pt idx="9">
                  <c:v>09/11</c:v>
                </c:pt>
              </c:strCache>
            </c:strRef>
          </c:cat>
          <c:val>
            <c:numRef>
              <c:f>Dashboard_backend!$W$5:$W$14</c:f>
              <c:numCache>
                <c:formatCode>_("$"* #,##0.00_);_("$"* \(#,##0.00\);_("$"* "-"??_);_(@_)</c:formatCode>
                <c:ptCount val="10"/>
                <c:pt idx="0">
                  <c:v>281.45679632177479</c:v>
                </c:pt>
                <c:pt idx="1">
                  <c:v>281.66559058959734</c:v>
                </c:pt>
                <c:pt idx="2">
                  <c:v>281.94303173063759</c:v>
                </c:pt>
                <c:pt idx="3">
                  <c:v>282.46872975757384</c:v>
                </c:pt>
                <c:pt idx="4">
                  <c:v>281.68485728181645</c:v>
                </c:pt>
                <c:pt idx="5">
                  <c:v>280.48237195363481</c:v>
                </c:pt>
                <c:pt idx="6">
                  <c:v>279.36013575827133</c:v>
                </c:pt>
                <c:pt idx="7">
                  <c:v>279.12812308244418</c:v>
                </c:pt>
                <c:pt idx="8">
                  <c:v>278.48531197419976</c:v>
                </c:pt>
                <c:pt idx="9">
                  <c:v>278.26977947677977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734672"/>
        <c:axId val="275738200"/>
      </c:lineChart>
      <c:catAx>
        <c:axId val="2757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38200"/>
        <c:crosses val="autoZero"/>
        <c:auto val="1"/>
        <c:lblAlgn val="ctr"/>
        <c:lblOffset val="100"/>
        <c:noMultiLvlLbl val="0"/>
      </c:catAx>
      <c:valAx>
        <c:axId val="27573820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3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RSI</c:v>
          </c:tx>
          <c:spPr>
            <a:ln w="28575" cap="rnd">
              <a:solidFill>
                <a:srgbClr val="66FFFF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Dashboard_backend!$AB$5:$AB$14</c:f>
              <c:strCache>
                <c:ptCount val="10"/>
                <c:pt idx="0">
                  <c:v>08/28</c:v>
                </c:pt>
                <c:pt idx="1">
                  <c:v>08/31</c:v>
                </c:pt>
                <c:pt idx="2">
                  <c:v>09/01</c:v>
                </c:pt>
                <c:pt idx="3">
                  <c:v>09/02</c:v>
                </c:pt>
                <c:pt idx="4">
                  <c:v>09/03</c:v>
                </c:pt>
                <c:pt idx="5">
                  <c:v>09/04</c:v>
                </c:pt>
                <c:pt idx="6">
                  <c:v>09/08</c:v>
                </c:pt>
                <c:pt idx="7">
                  <c:v>09/09</c:v>
                </c:pt>
                <c:pt idx="8">
                  <c:v>09/10</c:v>
                </c:pt>
                <c:pt idx="9">
                  <c:v>09/11</c:v>
                </c:pt>
              </c:strCache>
            </c:strRef>
          </c:cat>
          <c:val>
            <c:numRef>
              <c:f>Dashboard_backend!$X$5:$X$14</c:f>
              <c:numCache>
                <c:formatCode>0.00</c:formatCode>
                <c:ptCount val="10"/>
                <c:pt idx="0">
                  <c:v>63.954587445302003</c:v>
                </c:pt>
                <c:pt idx="1">
                  <c:v>61.911481520808508</c:v>
                </c:pt>
                <c:pt idx="2">
                  <c:v>55.936844893647965</c:v>
                </c:pt>
                <c:pt idx="3">
                  <c:v>58.949159549789243</c:v>
                </c:pt>
                <c:pt idx="4">
                  <c:v>45.610891926382877</c:v>
                </c:pt>
                <c:pt idx="5">
                  <c:v>32.218665200259792</c:v>
                </c:pt>
                <c:pt idx="6">
                  <c:v>34.232198484698941</c:v>
                </c:pt>
                <c:pt idx="7">
                  <c:v>45.734024748504304</c:v>
                </c:pt>
                <c:pt idx="8">
                  <c:v>43.860041490677617</c:v>
                </c:pt>
                <c:pt idx="9">
                  <c:v>44.99486613351862</c:v>
                </c:pt>
              </c:numCache>
            </c:numRef>
          </c:val>
          <c:smooth val="0"/>
        </c:ser>
        <c:ser>
          <c:idx val="0"/>
          <c:order val="1"/>
          <c:tx>
            <c:v>RSI_UP</c:v>
          </c:tx>
          <c:spPr>
            <a:ln w="28575" cap="rnd">
              <a:solidFill>
                <a:srgbClr val="FF99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Dashboard_backend!$AC$5:$AC$14</c:f>
              <c:numCache>
                <c:formatCode>General</c:formatCode>
                <c:ptCount val="1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</c:numCache>
            </c:numRef>
          </c:val>
          <c:smooth val="0"/>
        </c:ser>
        <c:ser>
          <c:idx val="2"/>
          <c:order val="2"/>
          <c:tx>
            <c:v>RSI_DOWN</c:v>
          </c:tx>
          <c:spPr>
            <a:ln w="28575" cap="rnd">
              <a:solidFill>
                <a:srgbClr val="CCFFC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Dashboard_backend!$AD$5:$AD$14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094504"/>
        <c:axId val="280100384"/>
      </c:lineChart>
      <c:catAx>
        <c:axId val="28009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00384"/>
        <c:crosses val="autoZero"/>
        <c:auto val="1"/>
        <c:lblAlgn val="ctr"/>
        <c:lblOffset val="100"/>
        <c:noMultiLvlLbl val="0"/>
      </c:catAx>
      <c:valAx>
        <c:axId val="2801003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9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BB_Mean</c:v>
          </c:tx>
          <c:spPr>
            <a:ln w="28575" cap="rnd">
              <a:solidFill>
                <a:srgbClr val="66FFFF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Dashboard_backend!$AB$5:$AB$14</c:f>
              <c:strCache>
                <c:ptCount val="10"/>
                <c:pt idx="0">
                  <c:v>08/28</c:v>
                </c:pt>
                <c:pt idx="1">
                  <c:v>08/31</c:v>
                </c:pt>
                <c:pt idx="2">
                  <c:v>09/01</c:v>
                </c:pt>
                <c:pt idx="3">
                  <c:v>09/02</c:v>
                </c:pt>
                <c:pt idx="4">
                  <c:v>09/03</c:v>
                </c:pt>
                <c:pt idx="5">
                  <c:v>09/04</c:v>
                </c:pt>
                <c:pt idx="6">
                  <c:v>09/08</c:v>
                </c:pt>
                <c:pt idx="7">
                  <c:v>09/09</c:v>
                </c:pt>
                <c:pt idx="8">
                  <c:v>09/10</c:v>
                </c:pt>
                <c:pt idx="9">
                  <c:v>09/11</c:v>
                </c:pt>
              </c:strCache>
            </c:strRef>
          </c:cat>
          <c:val>
            <c:numRef>
              <c:f>Dashboard_backend!$Y$5:$Y$14</c:f>
              <c:numCache>
                <c:formatCode>_("$"* #,##0.00_);_("$"* \(#,##0.00\);_("$"* "-"??_);_(@_)</c:formatCode>
                <c:ptCount val="10"/>
                <c:pt idx="0">
                  <c:v>282.6842565</c:v>
                </c:pt>
                <c:pt idx="1">
                  <c:v>283.40332257142859</c:v>
                </c:pt>
                <c:pt idx="2">
                  <c:v>283.71311957142859</c:v>
                </c:pt>
                <c:pt idx="3">
                  <c:v>284.21437292857138</c:v>
                </c:pt>
                <c:pt idx="4">
                  <c:v>283.89664135714287</c:v>
                </c:pt>
                <c:pt idx="5">
                  <c:v>282.67750335714283</c:v>
                </c:pt>
                <c:pt idx="6">
                  <c:v>281.66000807142854</c:v>
                </c:pt>
                <c:pt idx="7">
                  <c:v>281.35028521428563</c:v>
                </c:pt>
                <c:pt idx="8">
                  <c:v>280.88545885714285</c:v>
                </c:pt>
                <c:pt idx="9">
                  <c:v>280.49872707142856</c:v>
                </c:pt>
              </c:numCache>
            </c:numRef>
          </c:val>
          <c:smooth val="0"/>
        </c:ser>
        <c:ser>
          <c:idx val="1"/>
          <c:order val="1"/>
          <c:tx>
            <c:v>BB_Up</c:v>
          </c:tx>
          <c:spPr>
            <a:ln w="28575" cap="rnd">
              <a:solidFill>
                <a:srgbClr val="FF99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Dashboard_backend!$AB$5:$AB$14</c:f>
              <c:strCache>
                <c:ptCount val="10"/>
                <c:pt idx="0">
                  <c:v>08/28</c:v>
                </c:pt>
                <c:pt idx="1">
                  <c:v>08/31</c:v>
                </c:pt>
                <c:pt idx="2">
                  <c:v>09/01</c:v>
                </c:pt>
                <c:pt idx="3">
                  <c:v>09/02</c:v>
                </c:pt>
                <c:pt idx="4">
                  <c:v>09/03</c:v>
                </c:pt>
                <c:pt idx="5">
                  <c:v>09/04</c:v>
                </c:pt>
                <c:pt idx="6">
                  <c:v>09/08</c:v>
                </c:pt>
                <c:pt idx="7">
                  <c:v>09/09</c:v>
                </c:pt>
                <c:pt idx="8">
                  <c:v>09/10</c:v>
                </c:pt>
                <c:pt idx="9">
                  <c:v>09/11</c:v>
                </c:pt>
              </c:strCache>
            </c:strRef>
          </c:cat>
          <c:val>
            <c:numRef>
              <c:f>Dashboard_backend!$Z$5:$Z$14</c:f>
              <c:numCache>
                <c:formatCode>_("$"* #,##0.00_);_("$"* \(#,##0.00\);_("$"* "-"??_);_(@_)</c:formatCode>
                <c:ptCount val="10"/>
                <c:pt idx="0">
                  <c:v>291.21134120215601</c:v>
                </c:pt>
                <c:pt idx="1">
                  <c:v>290.08404976235278</c:v>
                </c:pt>
                <c:pt idx="2">
                  <c:v>290.13165722536593</c:v>
                </c:pt>
                <c:pt idx="3">
                  <c:v>290.54057269588361</c:v>
                </c:pt>
                <c:pt idx="4">
                  <c:v>291.62540050677137</c:v>
                </c:pt>
                <c:pt idx="5">
                  <c:v>293.31838291706708</c:v>
                </c:pt>
                <c:pt idx="6">
                  <c:v>294.46436249494525</c:v>
                </c:pt>
                <c:pt idx="7">
                  <c:v>294.39179478095946</c:v>
                </c:pt>
                <c:pt idx="8">
                  <c:v>294.69709624703529</c:v>
                </c:pt>
                <c:pt idx="9">
                  <c:v>294.50856192369491</c:v>
                </c:pt>
              </c:numCache>
            </c:numRef>
          </c:val>
          <c:smooth val="0"/>
        </c:ser>
        <c:ser>
          <c:idx val="2"/>
          <c:order val="2"/>
          <c:tx>
            <c:v>BB_Down</c:v>
          </c:tx>
          <c:spPr>
            <a:ln w="28575" cap="rnd">
              <a:solidFill>
                <a:srgbClr val="CCFFCC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Dashboard_backend!$AB$5:$AB$14</c:f>
              <c:strCache>
                <c:ptCount val="10"/>
                <c:pt idx="0">
                  <c:v>08/28</c:v>
                </c:pt>
                <c:pt idx="1">
                  <c:v>08/31</c:v>
                </c:pt>
                <c:pt idx="2">
                  <c:v>09/01</c:v>
                </c:pt>
                <c:pt idx="3">
                  <c:v>09/02</c:v>
                </c:pt>
                <c:pt idx="4">
                  <c:v>09/03</c:v>
                </c:pt>
                <c:pt idx="5">
                  <c:v>09/04</c:v>
                </c:pt>
                <c:pt idx="6">
                  <c:v>09/08</c:v>
                </c:pt>
                <c:pt idx="7">
                  <c:v>09/09</c:v>
                </c:pt>
                <c:pt idx="8">
                  <c:v>09/10</c:v>
                </c:pt>
                <c:pt idx="9">
                  <c:v>09/11</c:v>
                </c:pt>
              </c:strCache>
            </c:strRef>
          </c:cat>
          <c:val>
            <c:numRef>
              <c:f>Dashboard_backend!$AA$5:$AA$14</c:f>
              <c:numCache>
                <c:formatCode>_("$"* #,##0.00_);_("$"* \(#,##0.00\);_("$"* "-"??_);_(@_)</c:formatCode>
                <c:ptCount val="10"/>
                <c:pt idx="0">
                  <c:v>274.157171797844</c:v>
                </c:pt>
                <c:pt idx="1">
                  <c:v>276.7225953805044</c:v>
                </c:pt>
                <c:pt idx="2">
                  <c:v>277.29458191749126</c:v>
                </c:pt>
                <c:pt idx="3">
                  <c:v>277.88817316125915</c:v>
                </c:pt>
                <c:pt idx="4">
                  <c:v>276.16788220751437</c:v>
                </c:pt>
                <c:pt idx="5">
                  <c:v>272.03662379721857</c:v>
                </c:pt>
                <c:pt idx="6">
                  <c:v>268.85565364791182</c:v>
                </c:pt>
                <c:pt idx="7">
                  <c:v>268.30877564761181</c:v>
                </c:pt>
                <c:pt idx="8">
                  <c:v>267.07382146725041</c:v>
                </c:pt>
                <c:pt idx="9">
                  <c:v>266.48889221916221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099992"/>
        <c:axId val="337543760"/>
      </c:lineChart>
      <c:catAx>
        <c:axId val="28009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43760"/>
        <c:crosses val="autoZero"/>
        <c:auto val="1"/>
        <c:lblAlgn val="ctr"/>
        <c:lblOffset val="100"/>
        <c:noMultiLvlLbl val="0"/>
      </c:catAx>
      <c:valAx>
        <c:axId val="33754376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9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Cash Holding</c:v>
          </c:tx>
          <c:spPr>
            <a:solidFill>
              <a:srgbClr val="66FFFF"/>
            </a:solidFill>
            <a:ln w="19050">
              <a:solidFill>
                <a:srgbClr val="002060"/>
              </a:solidFill>
            </a:ln>
            <a:effectLst/>
          </c:spPr>
          <c:invertIfNegative val="0"/>
          <c:cat>
            <c:strRef>
              <c:f>Dashboard_backend!$AK$5:$AK$7</c:f>
              <c:strCache>
                <c:ptCount val="3"/>
                <c:pt idx="0">
                  <c:v>09/09</c:v>
                </c:pt>
                <c:pt idx="1">
                  <c:v>09/10</c:v>
                </c:pt>
                <c:pt idx="2">
                  <c:v>09/11</c:v>
                </c:pt>
              </c:strCache>
            </c:strRef>
          </c:cat>
          <c:val>
            <c:numRef>
              <c:f>Dashboard_backend!$AJ$5:$AJ$7</c:f>
              <c:numCache>
                <c:formatCode>_("$"* #,##0.00_);_("$"* \(#,##0.00\);_("$"* "-"??_);_(@_)</c:formatCode>
                <c:ptCount val="3"/>
                <c:pt idx="0">
                  <c:v>100000</c:v>
                </c:pt>
                <c:pt idx="1">
                  <c:v>63721.5</c:v>
                </c:pt>
                <c:pt idx="2">
                  <c:v>65134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544152"/>
        <c:axId val="337542192"/>
      </c:barChart>
      <c:lineChart>
        <c:grouping val="standard"/>
        <c:varyColors val="0"/>
        <c:ser>
          <c:idx val="1"/>
          <c:order val="1"/>
          <c:tx>
            <c:v>Total Asset</c:v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Dashboard_backend!$AK$5:$AK$7</c:f>
              <c:strCache>
                <c:ptCount val="3"/>
                <c:pt idx="0">
                  <c:v>09/09</c:v>
                </c:pt>
                <c:pt idx="1">
                  <c:v>09/10</c:v>
                </c:pt>
                <c:pt idx="2">
                  <c:v>09/11</c:v>
                </c:pt>
              </c:strCache>
            </c:strRef>
          </c:cat>
          <c:val>
            <c:numRef>
              <c:f>Dashboard_backend!$AI$5:$AI$7</c:f>
              <c:numCache>
                <c:formatCode>"$"#,##0.00</c:formatCode>
                <c:ptCount val="3"/>
                <c:pt idx="0" formatCode="_(&quot;$&quot;* #,##0.00_);_(&quot;$&quot;* \(#,##0.00\);_(&quot;$&quot;* &quot;-&quot;??_);_(@_)">
                  <c:v>100000</c:v>
                </c:pt>
                <c:pt idx="1">
                  <c:v>98595.0003</c:v>
                </c:pt>
                <c:pt idx="2">
                  <c:v>98794.499349999998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544152"/>
        <c:axId val="337542192"/>
      </c:lineChart>
      <c:catAx>
        <c:axId val="33754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42192"/>
        <c:crosses val="autoZero"/>
        <c:auto val="1"/>
        <c:lblAlgn val="ctr"/>
        <c:lblOffset val="100"/>
        <c:noMultiLvlLbl val="0"/>
      </c:catAx>
      <c:valAx>
        <c:axId val="33754219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44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I$18" max="6" min="1" page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68</xdr:row>
      <xdr:rowOff>28575</xdr:rowOff>
    </xdr:from>
    <xdr:to>
      <xdr:col>8</xdr:col>
      <xdr:colOff>599080</xdr:colOff>
      <xdr:row>92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3354050"/>
          <a:ext cx="5466354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9525</xdr:rowOff>
    </xdr:from>
    <xdr:to>
      <xdr:col>9</xdr:col>
      <xdr:colOff>323850</xdr:colOff>
      <xdr:row>96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58102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106</xdr:row>
      <xdr:rowOff>161925</xdr:rowOff>
    </xdr:from>
    <xdr:to>
      <xdr:col>10</xdr:col>
      <xdr:colOff>342900</xdr:colOff>
      <xdr:row>123</xdr:row>
      <xdr:rowOff>136783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802600"/>
          <a:ext cx="6391275" cy="3213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29</xdr:row>
      <xdr:rowOff>138112</xdr:rowOff>
    </xdr:from>
    <xdr:to>
      <xdr:col>14</xdr:col>
      <xdr:colOff>104775</xdr:colOff>
      <xdr:row>44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29</xdr:row>
      <xdr:rowOff>90487</xdr:rowOff>
    </xdr:from>
    <xdr:to>
      <xdr:col>21</xdr:col>
      <xdr:colOff>200025</xdr:colOff>
      <xdr:row>43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29</xdr:row>
      <xdr:rowOff>90487</xdr:rowOff>
    </xdr:from>
    <xdr:to>
      <xdr:col>7</xdr:col>
      <xdr:colOff>238125</xdr:colOff>
      <xdr:row>43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18</xdr:row>
          <xdr:rowOff>190500</xdr:rowOff>
        </xdr:from>
        <xdr:to>
          <xdr:col>8</xdr:col>
          <xdr:colOff>123825</xdr:colOff>
          <xdr:row>30</xdr:row>
          <xdr:rowOff>0</xdr:rowOff>
        </xdr:to>
        <xdr:sp macro="" textlink="">
          <xdr:nvSpPr>
            <xdr:cNvPr id="4099" name="Scroll Bar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10584</xdr:colOff>
      <xdr:row>17</xdr:row>
      <xdr:rowOff>147108</xdr:rowOff>
    </xdr:from>
    <xdr:to>
      <xdr:col>15</xdr:col>
      <xdr:colOff>127000</xdr:colOff>
      <xdr:row>28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592666</xdr:colOff>
      <xdr:row>17</xdr:row>
      <xdr:rowOff>125942</xdr:rowOff>
    </xdr:from>
    <xdr:to>
      <xdr:col>22</xdr:col>
      <xdr:colOff>105834</xdr:colOff>
      <xdr:row>28</xdr:row>
      <xdr:rowOff>116415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147106</xdr:rowOff>
    </xdr:from>
    <xdr:to>
      <xdr:col>15</xdr:col>
      <xdr:colOff>105834</xdr:colOff>
      <xdr:row>43</xdr:row>
      <xdr:rowOff>63499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104773</xdr:rowOff>
    </xdr:from>
    <xdr:to>
      <xdr:col>22</xdr:col>
      <xdr:colOff>137583</xdr:colOff>
      <xdr:row>43</xdr:row>
      <xdr:rowOff>52916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560915</xdr:colOff>
      <xdr:row>4</xdr:row>
      <xdr:rowOff>21167</xdr:rowOff>
    </xdr:from>
    <xdr:to>
      <xdr:col>15</xdr:col>
      <xdr:colOff>275167</xdr:colOff>
      <xdr:row>13</xdr:row>
      <xdr:rowOff>128058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bl_transaction" displayName="tbl_transaction" ref="A4:S20" totalsRowCount="1">
  <autoFilter ref="A4:S19"/>
  <tableColumns count="19">
    <tableColumn id="1" name="Symbol" totalsRowLabel="Total"/>
    <tableColumn id="2" name="Order Date"/>
    <tableColumn id="3" name="Transaction Date"/>
    <tableColumn id="4" name="Transactions"/>
    <tableColumn id="5" name="Cancel Reason"/>
    <tableColumn id="6" name="Amount" dataDxfId="165"/>
    <tableColumn id="7" name="Execution_Price" dataDxfId="164"/>
    <tableColumn id="8" name="Month_order" dataDxfId="163">
      <calculatedColumnFormula>VALUE(LEFT(tbl_transaction[[#This Row],[Order Date]],FIND("/",tbl_transaction[[#This Row],[Order Date]])-1))</calculatedColumnFormula>
    </tableColumn>
    <tableColumn id="9" name="Date_order" dataDxfId="162">
      <calculatedColumnFormula>MID(tbl_transaction[[#This Row],[Order Date]], FIND("/",tbl_transaction[[#This Row],[Order Date]])+1, FIND("/",tbl_transaction[[#This Row],[Order Date]], FIND("/",tbl_transaction[[#This Row],[Order Date]])+1)-FIND("/",tbl_transaction[[#This Row],[Order Date]])-1)</calculatedColumnFormula>
    </tableColumn>
    <tableColumn id="10" name="Year_order" dataDxfId="161">
      <calculatedColumnFormula>MID(tbl_transaction[[#This Row],[Order Date]], FIND("/",tbl_transaction[[#This Row],[Order Date]], FIND("/", tbl_transaction[[#This Row],[Order Date]])+1)+1, 2)</calculatedColumnFormula>
    </tableColumn>
    <tableColumn id="11" name="Month_Transact" dataDxfId="160">
      <calculatedColumnFormula>VALUE(LEFT(tbl_transaction[[#This Row],[Transaction Date]],FIND("/",tbl_transaction[[#This Row],[Transaction Date]])-1))</calculatedColumnFormula>
    </tableColumn>
    <tableColumn id="12" name="Date_Transact" dataDxfId="159">
      <calculatedColumnFormula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calculatedColumnFormula>
    </tableColumn>
    <tableColumn id="13" name="Year_Transact" dataDxfId="158">
      <calculatedColumnFormula>MID(tbl_transaction[[#This Row],[Transaction Date]], FIND("/",tbl_transaction[[#This Row],[Transaction Date]], FIND("/", tbl_transaction[[#This Row],[Transaction Date]])+1)+1, 2)</calculatedColumnFormula>
    </tableColumn>
    <tableColumn id="14" name="Order_Date" dataDxfId="157">
      <calculatedColumnFormula>DATE(tbl_transaction[[#This Row],[Year_order]]+2000, tbl_transaction[[#This Row],[Month_order]], tbl_transaction[[#This Row],[Date_order]])</calculatedColumnFormula>
    </tableColumn>
    <tableColumn id="15" name="Transaction_Date" dataDxfId="156">
      <calculatedColumnFormula>DATE(tbl_transaction[[#This Row],[Year_Transact]]+2000,tbl_transaction[[#This Row],[Month_Transact]],tbl_transaction[[#This Row],[Date_Transact]])</calculatedColumnFormula>
    </tableColumn>
    <tableColumn id="16" name="Net_Cash_Change" totalsRowFunction="sum" dataDxfId="155">
      <calculatedColumnFormula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calculatedColumnFormula>
    </tableColumn>
    <tableColumn id="17" name="Net_Stock_Change" dataDxfId="154">
      <calculatedColumnFormula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calculatedColumnFormula>
    </tableColumn>
    <tableColumn id="18" name="Net_Debt_Change" dataDxfId="153">
      <calculatedColumnFormula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calculatedColumnFormula>
    </tableColumn>
    <tableColumn id="19" name="Stock Holding Change" totalsRowFunction="sum" dataDxfId="152">
      <calculatedColumnFormula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calculatedColumnFormula>
    </tableColumn>
  </tableColumns>
  <tableStyleInfo name="TableStyleMedium2" showFirstColumn="0" showLastColumn="0" showRowStripes="0" showColumnStripes="1"/>
</table>
</file>

<file path=xl/tables/table10.xml><?xml version="1.0" encoding="utf-8"?>
<table xmlns="http://schemas.openxmlformats.org/spreadsheetml/2006/main" id="12" name="tbl_IBM" displayName="tbl_IBM" ref="A4:S28" totalsRowShown="0" headerRowDxfId="84" dataDxfId="83">
  <autoFilter ref="A4:S28"/>
  <tableColumns count="19">
    <tableColumn id="1" name="Date" dataDxfId="103"/>
    <tableColumn id="2" name="Open" dataDxfId="102"/>
    <tableColumn id="3" name="High" dataDxfId="101"/>
    <tableColumn id="4" name="Low" dataDxfId="100"/>
    <tableColumn id="5" name="Close" dataDxfId="99"/>
    <tableColumn id="6" name="Adj Close" dataDxfId="98"/>
    <tableColumn id="7" name="Volume" dataDxfId="97"/>
    <tableColumn id="8" name="EMA" dataDxfId="96">
      <calculatedColumnFormula>IF(tbl_IBM[[#This Row],[Date]]=$A$5, $F5, EMA_Beta*$H4 + (1-EMA_Beta)*$F5)</calculatedColumnFormula>
    </tableColumn>
    <tableColumn id="9" name="RSI" dataDxfId="95">
      <calculatedColumnFormula>IF(tbl_IBM[[#This Row],[RS]]= "", "", 100-(100/(1+tbl_IBM[[#This Row],[RS]])))</calculatedColumnFormula>
    </tableColumn>
    <tableColumn id="10" name="BB_Mean" dataDxfId="94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93">
      <calculatedColumnFormula>IF(tbl_IBM[[#This Row],[BB_Mean]]="", "", tbl_IBM[[#This Row],[BB_Mean]]+(2*tbl_IBM[[#This Row],[BB_Stdev]]))</calculatedColumnFormula>
    </tableColumn>
    <tableColumn id="12" name="BB_Lower" dataDxfId="92">
      <calculatedColumnFormula>IF(tbl_IBM[[#This Row],[BB_Mean]]="", "", tbl_IBM[[#This Row],[BB_Mean]]-(2*tbl_IBM[[#This Row],[BB_Stdev]]))</calculatedColumnFormula>
    </tableColumn>
    <tableColumn id="13" name="Move" dataDxfId="91">
      <calculatedColumnFormula>IF(ROW(tbl_IBM[[#This Row],[Adj Close]])=5, 0, $F5-$F4)</calculatedColumnFormula>
    </tableColumn>
    <tableColumn id="14" name="Upmove" dataDxfId="90">
      <calculatedColumnFormula>MAX(tbl_IBM[[#This Row],[Move]],0)</calculatedColumnFormula>
    </tableColumn>
    <tableColumn id="15" name="Downmove" dataDxfId="89">
      <calculatedColumnFormula>MAX(-tbl_IBM[[#This Row],[Move]],0)</calculatedColumnFormula>
    </tableColumn>
    <tableColumn id="16" name="Avg_Upmove" dataDxfId="88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87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86">
      <calculatedColumnFormula>IF(tbl_IBM[[#This Row],[Avg_Upmove]]="", "", tbl_IBM[[#This Row],[Avg_Upmove]]/tbl_IBM[[#This Row],[Avg_Downmove]])</calculatedColumnFormula>
    </tableColumn>
    <tableColumn id="19" name="BB_Stdev" dataDxfId="85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1.xml><?xml version="1.0" encoding="utf-8"?>
<table xmlns="http://schemas.openxmlformats.org/spreadsheetml/2006/main" id="13" name="tbl_ORCL" displayName="tbl_ORCL" ref="A4:S28" totalsRowShown="0" headerRowDxfId="1" dataDxfId="0">
  <autoFilter ref="A4:S28"/>
  <tableColumns count="19">
    <tableColumn id="1" name="Date" dataDxfId="20"/>
    <tableColumn id="2" name="Open" dataDxfId="19" dataCellStyle="Currency"/>
    <tableColumn id="3" name="High" dataDxfId="18" dataCellStyle="Currency"/>
    <tableColumn id="4" name="Low" dataDxfId="17" dataCellStyle="Currency"/>
    <tableColumn id="5" name="Close" dataDxfId="16" dataCellStyle="Currency"/>
    <tableColumn id="6" name="Adj Close" dataDxfId="15" dataCellStyle="Currency"/>
    <tableColumn id="7" name="Volume" dataDxfId="14"/>
    <tableColumn id="8" name="EMA" dataDxfId="13" dataCellStyle="Currency">
      <calculatedColumnFormula>IF(tbl_ORCL[[#This Row],[Date]]=$A$5, $F5, EMA_Beta*$H4 + (1-EMA_Beta)*$F5)</calculatedColumnFormula>
    </tableColumn>
    <tableColumn id="9" name="RSI" dataDxfId="12" dataCellStyle="Currency">
      <calculatedColumnFormula>IF(tbl_ORCL[[#This Row],[RS]]= "", "", 100-(100/(1+tbl_ORCL[[#This Row],[RS]])))</calculatedColumnFormula>
    </tableColumn>
    <tableColumn id="10" name="BB_Mean" dataDxfId="11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10" dataCellStyle="Currency">
      <calculatedColumnFormula>IF(tbl_ORCL[[#This Row],[BB_Mean]]="", "", tbl_ORCL[[#This Row],[BB_Mean]]+(2*tbl_ORCL[[#This Row],[BB_Stdev]]))</calculatedColumnFormula>
    </tableColumn>
    <tableColumn id="12" name="BB_Lower" dataDxfId="9" dataCellStyle="Currency">
      <calculatedColumnFormula>IF(tbl_ORCL[[#This Row],[BB_Mean]]="", "", tbl_ORCL[[#This Row],[BB_Mean]]-(2*tbl_ORCL[[#This Row],[BB_Stdev]]))</calculatedColumnFormula>
    </tableColumn>
    <tableColumn id="13" name="Move" dataDxfId="8" dataCellStyle="Currency">
      <calculatedColumnFormula>IF(ROW(tbl_ORCL[[#This Row],[Adj Close]])=5, 0, $F5-$F4)</calculatedColumnFormula>
    </tableColumn>
    <tableColumn id="14" name="Upmove" dataDxfId="7" dataCellStyle="Currency">
      <calculatedColumnFormula>MAX(tbl_ORCL[[#This Row],[Move]],0)</calculatedColumnFormula>
    </tableColumn>
    <tableColumn id="15" name="Downmove" dataDxfId="6" dataCellStyle="Currency">
      <calculatedColumnFormula>MAX(-tbl_ORCL[[#This Row],[Move]],0)</calculatedColumnFormula>
    </tableColumn>
    <tableColumn id="16" name="Avg_Upmove" dataDxfId="5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4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3" dataCellStyle="Currency">
      <calculatedColumnFormula>IF(tbl_ORCL[[#This Row],[Avg_Upmove]]="", "", tbl_ORCL[[#This Row],[Avg_Upmove]]/tbl_ORCL[[#This Row],[Avg_Downmove]])</calculatedColumnFormula>
    </tableColumn>
    <tableColumn id="19" name="BB_Stdev" dataDxfId="2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2.xml><?xml version="1.0" encoding="utf-8"?>
<table xmlns="http://schemas.openxmlformats.org/spreadsheetml/2006/main" id="11" name="tbl_holdings" displayName="tbl_holdings" ref="B4:F10" totalsRowShown="0" headerRowDxfId="114" dataDxfId="113">
  <autoFilter ref="B4:F10"/>
  <tableColumns count="5">
    <tableColumn id="1" name="Index" dataDxfId="119"/>
    <tableColumn id="2" name="Stock" dataDxfId="118">
      <calculatedColumnFormula>INDEX(Symbol,B5)</calculatedColumnFormula>
    </tableColumn>
    <tableColumn id="3" name="Current Price" dataDxfId="117">
      <calculatedColumnFormula>INDEX(INDIRECT("tbl_"&amp;C5),COUNT(INDIRECT("tbl_"&amp;C5&amp;"[Date]")), MATCH("Adj close", Price_Header,0))</calculatedColumnFormula>
    </tableColumn>
    <tableColumn id="4" name="# Holdings" dataDxfId="116">
      <calculatedColumnFormula>INDEX(tbl_position[], COUNT(tbl_position[Date]), MATCH("Shares_"&amp;C5, pos_header,0))</calculatedColumnFormula>
    </tableColumn>
    <tableColumn id="5" name="Total" dataDxfId="115">
      <calculatedColumnFormula>tbl_holdings[[#This Row],[Current Price]]*tbl_holdings[[#This Row],['# Holdings]]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bl_transsummary" displayName="tbl_transsummary" ref="J4:P10" totalsRowShown="0" headerRowDxfId="105" dataDxfId="104">
  <autoFilter ref="J4:P10"/>
  <tableColumns count="7">
    <tableColumn id="1" name="Index" dataDxfId="112"/>
    <tableColumn id="2" name="Start" dataDxfId="111">
      <calculatedColumnFormula>K4+7</calculatedColumnFormula>
    </tableColumn>
    <tableColumn id="3" name="End" dataDxfId="110">
      <calculatedColumnFormula>L4+7</calculatedColumnFormula>
    </tableColumn>
    <tableColumn id="4" name="BUY" dataDxfId="109">
      <calculatedColumnFormula>ABS(SUMIFS(tbl_transaction[Net_Cash_Change], tbl_transaction[Transactions], M$4, tbl_transaction[Transaction_Date], "&gt;="&amp;tbl_transsummary[[#This Row],[Start]], tbl_transaction[Transaction_Date], "&lt;=" &amp;tbl_transsummary[[#This Row],[End]]))</calculatedColumnFormula>
    </tableColumn>
    <tableColumn id="5" name="SELL" dataDxfId="108">
      <calculatedColumnFormula>ABS(SUMIFS(tbl_transaction[Net_Cash_Change], tbl_transaction[Transactions], N$4, tbl_transaction[Transaction_Date], "&gt;="&amp;tbl_transsummary[[#This Row],[Start]], tbl_transaction[Transaction_Date], "&lt;=" &amp;tbl_transsummary[[#This Row],[End]]))</calculatedColumnFormula>
    </tableColumn>
    <tableColumn id="6" name="SHORT" dataDxfId="107">
      <calculatedColumnFormula>ABS(SUMIFS(tbl_transaction[Net_Stock_Change], tbl_transaction[Transactions], O$4, tbl_transaction[Transaction_Date], "&gt;="&amp;tbl_transsummary[[#This Row],[Start]], tbl_transaction[Transaction_Date], "&lt;=" &amp;tbl_transsummary[[#This Row],[End]]))</calculatedColumnFormula>
    </tableColumn>
    <tableColumn id="7" name="COVER" dataDxfId="106">
      <calculatedColumnFormula>ABS(SUMIFS(tbl_transaction[Net_Stock_Change], tbl_transaction[Transactions], P$4, tbl_transaction[Transaction_Date], "&gt;="&amp;tbl_transsummary[[#This Row],[Start]], tbl_transaction[Transaction_Date], "&lt;=" &amp;tbl_transsummary[[#This Row],[End]]))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_symbol" displayName="tbl_symbol" ref="A3:A9" totalsRowShown="0" headerRowDxfId="151">
  <autoFilter ref="A3:A9"/>
  <tableColumns count="1">
    <tableColumn id="1" name="Symbo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bl_transtype" displayName="tbl_transtype" ref="C3:C7" totalsRowShown="0" headerRowDxfId="150">
  <autoFilter ref="C3:C7"/>
  <tableColumns count="1">
    <tableColumn id="1" name="Transac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bl_Metrics" displayName="tbl_Metrics" ref="E3:E6" totalsRowShown="0" headerRowDxfId="149">
  <autoFilter ref="E3:E6"/>
  <tableColumns count="1">
    <tableColumn id="1" name="Metric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bl_position" displayName="tbl_position" ref="A4:Q7" totalsRowCount="1">
  <autoFilter ref="A4:Q6"/>
  <tableColumns count="17">
    <tableColumn id="1" name="Date" totalsRowLabel="Total" dataDxfId="148"/>
    <tableColumn id="2" name="Price_AAPL" dataCellStyle="Currency">
      <calculatedColumnFormula>VLOOKUP(tbl_position[[#This Row],[Date]], tbl_AAPL[], 5, 0)</calculatedColumnFormula>
    </tableColumn>
    <tableColumn id="3" name="Price_RIOT" dataDxfId="147" dataCellStyle="Currency">
      <calculatedColumnFormula>VLOOKUP(tbl_position[[#This Row],[Date]], tbl_RIOT[], 5, 0)</calculatedColumnFormula>
    </tableColumn>
    <tableColumn id="4" name="Price_HD" totalsRowDxfId="146" dataCellStyle="Currency">
      <calculatedColumnFormula>VLOOKUP(tbl_position[[#This Row],[Date]], tbl_HD[], 5, 0)</calculatedColumnFormula>
    </tableColumn>
    <tableColumn id="5" name="Price_WMT" dataDxfId="145" dataCellStyle="Currency">
      <calculatedColumnFormula>VLOOKUP(tbl_position[[#This Row],[Date]], tbl_WMT[], 5, 0)</calculatedColumnFormula>
    </tableColumn>
    <tableColumn id="6" name="Price_IBM" dataDxfId="144" dataCellStyle="Currency">
      <calculatedColumnFormula>VLOOKUP(tbl_position[[#This Row],[Date]], tbl_IBM[], 5, 0)</calculatedColumnFormula>
    </tableColumn>
    <tableColumn id="7" name="Price_ORCL" dataDxfId="143" dataCellStyle="Currency">
      <calculatedColumnFormula>VLOOKUP(tbl_position[[#This Row],[Date]], tbl_ORCL[], 5, 0)</calculatedColumnFormula>
    </tableColumn>
    <tableColumn id="8" name="Shares_AAPL" dataDxfId="142">
      <calculatedColumnFormula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$H4)</calculatedColumnFormula>
    </tableColumn>
    <tableColumn id="9" name="Shares_RIOT" dataDxfId="141">
      <calculatedColumnFormula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$I4)</calculatedColumnFormula>
    </tableColumn>
    <tableColumn id="10" name="Shares_HD" dataDxfId="140">
      <calculatedColumnFormula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$J4)</calculatedColumnFormula>
    </tableColumn>
    <tableColumn id="11" name="Shares_WMT" dataDxfId="139">
      <calculatedColumnFormula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$K4)</calculatedColumnFormula>
    </tableColumn>
    <tableColumn id="12" name="Shares_IBM" dataDxfId="138">
      <calculatedColumnFormula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$L4)</calculatedColumnFormula>
    </tableColumn>
    <tableColumn id="13" name="Shares_ORCL" dataDxfId="137">
      <calculatedColumnFormula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$M4)</calculatedColumnFormula>
    </tableColumn>
    <tableColumn id="14" name="Shares_Holding" dataCellStyle="Currency">
      <calculatedColumnFormula xml:space="preserve"> SUMPRODUCT(INDIRECT(ADDRESS(ROW(N5), 2)):INDIRECT(ADDRESS(ROW(N5), MATCH("Shares_AAPL", pos_header,0)-1)), INDIRECT(ADDRESS(ROW(N5), MATCH("Shares_AAPL", pos_header,0))): INDIRECT(ADDRESS(ROW(N5), MATCH("Shares_Holding", pos_header,0)-1)))</calculatedColumnFormula>
    </tableColumn>
    <tableColumn id="15" name="Cash_Holding" dataDxfId="136" totalsRowDxfId="135" dataCellStyle="Currency">
      <calculatedColumnFormula>SUMIFS(tbl_transaction[Net_Cash_Change], tbl_transaction[Transaction_Date],tbl_position[[#This Row],[Date]])+IF(tbl_position[[#This Row],[Date]]=$A$5, 100000, $O4)</calculatedColumnFormula>
    </tableColumn>
    <tableColumn id="16" name="Liabilities_Holding" dataDxfId="134">
      <calculatedColumnFormula>SUMIFS(tbl_transaction[Net_Debt_Change], tbl_transaction[Transaction_Date],tbl_position[[#This Row],[Date]])+IF(tbl_position[[#This Row],[Date]]=$A$5, 0, $P4)</calculatedColumnFormula>
    </tableColumn>
    <tableColumn id="18" name="Total_Net_Asset" dataDxfId="133">
      <calculatedColumnFormula>tbl_position[[#This Row],[Shares_Holding]]+tbl_position[[#This Row],[Cash_Holding]]-tbl_position[[#This Row],[Liabilities_Holding]]</calculatedColumnFormula>
    </tableColumn>
  </tableColumns>
  <tableStyleInfo name="TableStyleMedium2" showFirstColumn="0" showLastColumn="0" showRowStripes="0" showColumnStripes="1"/>
</table>
</file>

<file path=xl/tables/table6.xml><?xml version="1.0" encoding="utf-8"?>
<table xmlns="http://schemas.openxmlformats.org/spreadsheetml/2006/main" id="5" name="tbl_HD" displayName="tbl_HD" ref="A4:S28" totalsRowShown="0">
  <autoFilter ref="A4:S28"/>
  <tableColumns count="19">
    <tableColumn id="1" name="Date" dataDxfId="132"/>
    <tableColumn id="2" name="Open" dataDxfId="131"/>
    <tableColumn id="3" name="High" dataDxfId="130"/>
    <tableColumn id="4" name="Low" dataDxfId="129"/>
    <tableColumn id="5" name="Close" dataDxfId="128"/>
    <tableColumn id="6" name="Adj Close" dataDxfId="127"/>
    <tableColumn id="7" name="Volume"/>
    <tableColumn id="8" name="EMA" dataCellStyle="Currency">
      <calculatedColumnFormula>IF(tbl_HD[[#This Row],[Date]]=$A$5, $F5, EMA_Beta*$H4 + (1-EMA_Beta)*$F5)</calculatedColumnFormula>
    </tableColumn>
    <tableColumn id="9" name="RSI" dataDxfId="126">
      <calculatedColumnFormula>IF(tbl_HD[[#This Row],[RS]]= "", "", 100-(100/(1+tbl_HD[[#This Row],[RS]])))</calculatedColumnFormula>
    </tableColumn>
    <tableColumn id="10" name="BB_Mean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CellStyle="Currency">
      <calculatedColumnFormula>IF(tbl_HD[[#This Row],[BB_Mean]]="", "", tbl_HD[[#This Row],[BB_Mean]]+(2*tbl_HD[[#This Row],[BB_Stdev]]))</calculatedColumnFormula>
    </tableColumn>
    <tableColumn id="12" name="BB_Lower" dataCellStyle="Currency">
      <calculatedColumnFormula>IF(tbl_HD[[#This Row],[BB_Mean]]="", "", tbl_HD[[#This Row],[BB_Mean]]-(2*tbl_HD[[#This Row],[BB_Stdev]]))</calculatedColumnFormula>
    </tableColumn>
    <tableColumn id="13" name="Move" dataDxfId="125">
      <calculatedColumnFormula>IF(ROW(tbl_HD[[#This Row],[Adj Close]])=5, 0, $F5-$F4)</calculatedColumnFormula>
    </tableColumn>
    <tableColumn id="14" name="Upmove" dataDxfId="124">
      <calculatedColumnFormula>MAX(tbl_HD[[#This Row],[Move]],0)</calculatedColumnFormula>
    </tableColumn>
    <tableColumn id="15" name="Downmove" dataDxfId="123">
      <calculatedColumnFormula>MAX(-tbl_HD[[#This Row],[Move]],0)</calculatedColumnFormula>
    </tableColumn>
    <tableColumn id="16" name="Avg_Upmove" dataDxfId="122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21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20">
      <calculatedColumnFormula>IF(tbl_HD[[#This Row],[Avg_Upmove]]="", "", tbl_HD[[#This Row],[Avg_Upmove]]/tbl_HD[[#This Row],[Avg_Downmove]])</calculatedColumnFormula>
    </tableColumn>
    <tableColumn id="19" name="BB_Stdev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7.xml><?xml version="1.0" encoding="utf-8"?>
<table xmlns="http://schemas.openxmlformats.org/spreadsheetml/2006/main" id="6" name="tbl_AAPL" displayName="tbl_AAPL" ref="A4:S28" totalsRowShown="0" headerRowDxfId="22" dataDxfId="21">
  <autoFilter ref="A4:S28"/>
  <tableColumns count="19">
    <tableColumn id="1" name="Date" dataDxfId="41"/>
    <tableColumn id="2" name="Open" dataDxfId="40" dataCellStyle="Currency"/>
    <tableColumn id="3" name="High" dataDxfId="39" dataCellStyle="Currency"/>
    <tableColumn id="4" name="Low" dataDxfId="38" dataCellStyle="Currency"/>
    <tableColumn id="5" name="Close" dataDxfId="37" dataCellStyle="Currency"/>
    <tableColumn id="6" name="Adj Close" dataDxfId="36" dataCellStyle="Currency"/>
    <tableColumn id="7" name="Volume" dataDxfId="35"/>
    <tableColumn id="8" name="EMA" dataDxfId="34" dataCellStyle="Currency">
      <calculatedColumnFormula>IF(tbl_AAPL[[#This Row],[Date]]=$A$5, $F5, EMA_Beta*$H4 + (1-EMA_Beta)*$F5)</calculatedColumnFormula>
    </tableColumn>
    <tableColumn id="9" name="RSI" dataDxfId="33" dataCellStyle="Currency">
      <calculatedColumnFormula>IF(tbl_AAPL[[#This Row],[RS]]= "", "", 100-(100/(1+tbl_AAPL[[#This Row],[RS]])))</calculatedColumnFormula>
    </tableColumn>
    <tableColumn id="10" name="BB_Mean" dataDxfId="32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31" dataCellStyle="Currency">
      <calculatedColumnFormula>IF(tbl_AAPL[[#This Row],[BB_Mean]]="", "", tbl_AAPL[[#This Row],[BB_Mean]]+(2*tbl_AAPL[[#This Row],[BB_Stdev]]))</calculatedColumnFormula>
    </tableColumn>
    <tableColumn id="12" name="BB_Lower" dataDxfId="30" dataCellStyle="Currency">
      <calculatedColumnFormula>IF(tbl_AAPL[[#This Row],[BB_Mean]]="", "", tbl_AAPL[[#This Row],[BB_Mean]]-(2*tbl_AAPL[[#This Row],[BB_Stdev]]))</calculatedColumnFormula>
    </tableColumn>
    <tableColumn id="13" name="Move" dataDxfId="29" dataCellStyle="Currency">
      <calculatedColumnFormula>IF(ROW(tbl_AAPL[[#This Row],[Adj Close]])=5, 0, $F5-$F4)</calculatedColumnFormula>
    </tableColumn>
    <tableColumn id="14" name="Upmove" dataDxfId="28" dataCellStyle="Currency">
      <calculatedColumnFormula>MAX(tbl_AAPL[[#This Row],[Move]],0)</calculatedColumnFormula>
    </tableColumn>
    <tableColumn id="15" name="Downmove" dataDxfId="27" dataCellStyle="Currency">
      <calculatedColumnFormula>MAX(-tbl_AAPL[[#This Row],[Move]],0)</calculatedColumnFormula>
    </tableColumn>
    <tableColumn id="16" name="Avg_Upmove" dataDxfId="26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25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24" dataCellStyle="Currency">
      <calculatedColumnFormula>IF(tbl_AAPL[[#This Row],[Avg_Upmove]]="", "", tbl_AAPL[[#This Row],[Avg_Upmove]]/tbl_AAPL[[#This Row],[Avg_Downmove]])</calculatedColumnFormula>
    </tableColumn>
    <tableColumn id="19" name="BB_Stdev" dataDxfId="23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8.xml><?xml version="1.0" encoding="utf-8"?>
<table xmlns="http://schemas.openxmlformats.org/spreadsheetml/2006/main" id="9" name="tbl_WMT" displayName="tbl_WMT" ref="A4:S28" totalsRowShown="0" dataDxfId="42">
  <autoFilter ref="A4:S28"/>
  <tableColumns count="19">
    <tableColumn id="1" name="Date" dataDxfId="61"/>
    <tableColumn id="2" name="Open" dataDxfId="60"/>
    <tableColumn id="3" name="High" dataDxfId="59"/>
    <tableColumn id="4" name="Low" dataDxfId="58"/>
    <tableColumn id="5" name="Close" dataDxfId="57"/>
    <tableColumn id="6" name="Adj Close" dataDxfId="56"/>
    <tableColumn id="7" name="Volume" dataDxfId="55"/>
    <tableColumn id="8" name="EMA" dataDxfId="54">
      <calculatedColumnFormula>IF(tbl_WMT[[#This Row],[Date]]=$A$5, $F5, EMA_Beta*$H4 + (1-EMA_Beta)*$F5)</calculatedColumnFormula>
    </tableColumn>
    <tableColumn id="9" name="RSI" dataDxfId="53" dataCellStyle="Currency">
      <calculatedColumnFormula>IF(tbl_WMT[[#This Row],[RS]]= "", "", 100-(100/(1+tbl_WMT[[#This Row],[RS]])))</calculatedColumnFormula>
    </tableColumn>
    <tableColumn id="10" name="BB_Mean" dataDxfId="52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51">
      <calculatedColumnFormula>IF(tbl_WMT[[#This Row],[BB_Mean]]="", "", tbl_WMT[[#This Row],[BB_Mean]]+(2*tbl_WMT[[#This Row],[BB_Stdev]]))</calculatedColumnFormula>
    </tableColumn>
    <tableColumn id="12" name="BB_Lower" dataDxfId="50">
      <calculatedColumnFormula>IF(tbl_WMT[[#This Row],[BB_Mean]]="", "", tbl_WMT[[#This Row],[BB_Mean]]-(2*tbl_WMT[[#This Row],[BB_Stdev]]))</calculatedColumnFormula>
    </tableColumn>
    <tableColumn id="13" name="Move" dataDxfId="49">
      <calculatedColumnFormula>IF(ROW(tbl_WMT[[#This Row],[Adj Close]])=5, 0, $F5-$F4)</calculatedColumnFormula>
    </tableColumn>
    <tableColumn id="14" name="Upmove" dataDxfId="48">
      <calculatedColumnFormula>MAX(tbl_WMT[[#This Row],[Move]],0)</calculatedColumnFormula>
    </tableColumn>
    <tableColumn id="15" name="Downmove" dataDxfId="47">
      <calculatedColumnFormula>MAX(-tbl_WMT[[#This Row],[Move]],0)</calculatedColumnFormula>
    </tableColumn>
    <tableColumn id="16" name="Avg_Upmove" dataDxfId="46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45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44">
      <calculatedColumnFormula>IF(tbl_WMT[[#This Row],[Avg_Upmove]]="", "", tbl_WMT[[#This Row],[Avg_Upmove]]/tbl_WMT[[#This Row],[Avg_Downmove]])</calculatedColumnFormula>
    </tableColumn>
    <tableColumn id="19" name="BB_Stdev" dataDxfId="43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9.xml><?xml version="1.0" encoding="utf-8"?>
<table xmlns="http://schemas.openxmlformats.org/spreadsheetml/2006/main" id="10" name="tbl_RIOT" displayName="tbl_RIOT" ref="A4:S28" totalsRowShown="0" headerRowDxfId="63" dataDxfId="62">
  <autoFilter ref="A4:S28"/>
  <tableColumns count="19">
    <tableColumn id="1" name="Date" dataDxfId="82"/>
    <tableColumn id="2" name="Open" dataDxfId="81"/>
    <tableColumn id="3" name="High" dataDxfId="80"/>
    <tableColumn id="4" name="Low" dataDxfId="79"/>
    <tableColumn id="5" name="Close" dataDxfId="78"/>
    <tableColumn id="6" name="Adj Close" dataDxfId="77"/>
    <tableColumn id="7" name="Volume" dataDxfId="76"/>
    <tableColumn id="8" name="EMA" dataDxfId="75">
      <calculatedColumnFormula>IF(tbl_RIOT[[#This Row],[Date]]=$A$5, $F5, EMA_Beta*$H4 + (1-EMA_Beta)*$F5)</calculatedColumnFormula>
    </tableColumn>
    <tableColumn id="9" name="RSI" dataDxfId="74">
      <calculatedColumnFormula>IF(tbl_RIOT[[#This Row],[RS]]= "", "", 100-(100/(1+tbl_RIOT[[#This Row],[RS]])))</calculatedColumnFormula>
    </tableColumn>
    <tableColumn id="10" name="BB_Mean" dataDxfId="73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72">
      <calculatedColumnFormula>IF(tbl_RIOT[[#This Row],[BB_Mean]]="", "", tbl_RIOT[[#This Row],[BB_Mean]]+(2*tbl_RIOT[[#This Row],[BB_Stdev]]))</calculatedColumnFormula>
    </tableColumn>
    <tableColumn id="12" name="BB_Lower" dataDxfId="71">
      <calculatedColumnFormula>IF(tbl_RIOT[[#This Row],[BB_Mean]]="", "", tbl_RIOT[[#This Row],[BB_Mean]]-(2*tbl_RIOT[[#This Row],[BB_Stdev]]))</calculatedColumnFormula>
    </tableColumn>
    <tableColumn id="13" name="Move" dataDxfId="70">
      <calculatedColumnFormula>IF(ROW(tbl_RIOT[[#This Row],[Adj Close]])=5, 0, $F5-$F4)</calculatedColumnFormula>
    </tableColumn>
    <tableColumn id="14" name="Upmove" dataDxfId="69">
      <calculatedColumnFormula>MAX(tbl_RIOT[[#This Row],[Move]],0)</calculatedColumnFormula>
    </tableColumn>
    <tableColumn id="15" name="Downmove" dataDxfId="68">
      <calculatedColumnFormula>MAX(-tbl_RIOT[[#This Row],[Move]],0)</calculatedColumnFormula>
    </tableColumn>
    <tableColumn id="16" name="Avg_Upmove" dataDxfId="67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66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65">
      <calculatedColumnFormula>IF(tbl_RIOT[[#This Row],[Avg_Upmove]]="", "", tbl_RIOT[[#This Row],[Avg_Upmove]]/tbl_RIOT[[#This Row],[Avg_Downmove]])</calculatedColumnFormula>
    </tableColumn>
    <tableColumn id="19" name="BB_Stdev" dataDxfId="64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topLeftCell="A64" workbookViewId="0">
      <selection activeCell="D17" sqref="D17"/>
    </sheetView>
  </sheetViews>
  <sheetFormatPr defaultRowHeight="15" x14ac:dyDescent="0.25"/>
  <cols>
    <col min="10" max="10" width="10.85546875" customWidth="1"/>
  </cols>
  <sheetData>
    <row r="1" spans="1:9" ht="23.25" x14ac:dyDescent="0.35">
      <c r="B1" s="5" t="s">
        <v>0</v>
      </c>
      <c r="C1" s="5"/>
      <c r="D1" s="5"/>
      <c r="E1" s="5"/>
      <c r="F1" s="6"/>
      <c r="G1" s="6"/>
      <c r="H1" s="6"/>
    </row>
    <row r="3" spans="1:9" ht="15.75" x14ac:dyDescent="0.25">
      <c r="A3" s="4" t="s">
        <v>1</v>
      </c>
      <c r="B3" s="3" t="s">
        <v>2</v>
      </c>
      <c r="C3" s="2"/>
      <c r="D3" s="2"/>
      <c r="E3" s="2"/>
      <c r="F3" s="2"/>
      <c r="G3" s="2"/>
      <c r="H3" s="2"/>
      <c r="I3" s="2"/>
    </row>
    <row r="4" spans="1:9" x14ac:dyDescent="0.25">
      <c r="B4" t="s">
        <v>3</v>
      </c>
    </row>
    <row r="5" spans="1:9" x14ac:dyDescent="0.25">
      <c r="B5" t="s">
        <v>4</v>
      </c>
    </row>
    <row r="6" spans="1:9" x14ac:dyDescent="0.25">
      <c r="B6" t="s">
        <v>10</v>
      </c>
    </row>
    <row r="8" spans="1:9" ht="15.75" x14ac:dyDescent="0.25">
      <c r="A8" s="4" t="s">
        <v>5</v>
      </c>
      <c r="B8" s="3" t="s">
        <v>6</v>
      </c>
      <c r="C8" s="2"/>
      <c r="D8" s="2"/>
      <c r="E8" s="2"/>
      <c r="F8" s="2"/>
      <c r="G8" s="2"/>
      <c r="H8" s="2"/>
      <c r="I8" s="2"/>
    </row>
    <row r="9" spans="1:9" x14ac:dyDescent="0.25">
      <c r="B9" t="s">
        <v>7</v>
      </c>
    </row>
    <row r="10" spans="1:9" x14ac:dyDescent="0.25">
      <c r="B10" t="s">
        <v>8</v>
      </c>
    </row>
    <row r="11" spans="1:9" x14ac:dyDescent="0.25">
      <c r="B11" t="s">
        <v>9</v>
      </c>
    </row>
    <row r="13" spans="1:9" ht="15.75" x14ac:dyDescent="0.25">
      <c r="A13" s="4" t="s">
        <v>11</v>
      </c>
      <c r="B13" s="3" t="s">
        <v>12</v>
      </c>
      <c r="C13" s="2"/>
      <c r="D13" s="2"/>
      <c r="E13" s="2"/>
      <c r="F13" s="2"/>
      <c r="G13" s="2"/>
      <c r="H13" s="2"/>
      <c r="I13" s="2"/>
    </row>
    <row r="14" spans="1:9" x14ac:dyDescent="0.25">
      <c r="B14" t="s">
        <v>13</v>
      </c>
    </row>
    <row r="15" spans="1:9" x14ac:dyDescent="0.25">
      <c r="B15" t="s">
        <v>14</v>
      </c>
    </row>
    <row r="18" spans="1:13" ht="19.5" thickBot="1" x14ac:dyDescent="0.35">
      <c r="A18" s="12" t="s">
        <v>87</v>
      </c>
      <c r="B18" s="12"/>
      <c r="C18" s="13"/>
      <c r="D18" s="13"/>
      <c r="E18" s="13"/>
      <c r="F18" s="13"/>
      <c r="G18" s="13"/>
      <c r="H18" s="13"/>
      <c r="I18" s="13"/>
    </row>
    <row r="19" spans="1:13" ht="15.75" thickBot="1" x14ac:dyDescent="0.3">
      <c r="A19" t="s">
        <v>88</v>
      </c>
      <c r="J19" s="34" t="s">
        <v>104</v>
      </c>
      <c r="K19" s="35" t="s">
        <v>105</v>
      </c>
      <c r="L19" s="35"/>
      <c r="M19" s="36"/>
    </row>
    <row r="20" spans="1:13" ht="15.75" thickBot="1" x14ac:dyDescent="0.3">
      <c r="A20" t="s">
        <v>89</v>
      </c>
      <c r="J20" s="38" t="s">
        <v>106</v>
      </c>
      <c r="K20" s="39" t="s">
        <v>107</v>
      </c>
      <c r="L20" s="32"/>
      <c r="M20" s="33"/>
    </row>
    <row r="21" spans="1:13" ht="16.5" thickBot="1" x14ac:dyDescent="0.3">
      <c r="A21" s="25" t="s">
        <v>90</v>
      </c>
      <c r="B21" s="26"/>
      <c r="C21" s="37" t="s">
        <v>91</v>
      </c>
      <c r="D21" s="25"/>
      <c r="E21" s="27"/>
      <c r="F21" s="27"/>
      <c r="G21" s="27"/>
      <c r="H21" s="24"/>
      <c r="I21" s="24"/>
      <c r="J21" s="24"/>
      <c r="K21" s="23"/>
    </row>
    <row r="22" spans="1:13" x14ac:dyDescent="0.25">
      <c r="A22" s="14" t="s">
        <v>42</v>
      </c>
      <c r="B22" s="15"/>
      <c r="C22" s="18" t="s">
        <v>93</v>
      </c>
      <c r="D22" s="19"/>
      <c r="E22" s="19"/>
      <c r="F22" s="19"/>
      <c r="G22" s="19"/>
      <c r="H22" s="19"/>
      <c r="I22" s="19"/>
      <c r="J22" s="19"/>
      <c r="K22" s="20"/>
    </row>
    <row r="23" spans="1:13" x14ac:dyDescent="0.25">
      <c r="A23" s="14" t="s">
        <v>43</v>
      </c>
      <c r="B23" s="15"/>
      <c r="C23" s="14" t="s">
        <v>92</v>
      </c>
      <c r="D23" s="21"/>
      <c r="E23" s="21"/>
      <c r="F23" s="21"/>
      <c r="G23" s="21"/>
      <c r="H23" s="21"/>
      <c r="I23" s="21"/>
      <c r="J23" s="21"/>
      <c r="K23" s="15"/>
    </row>
    <row r="24" spans="1:13" x14ac:dyDescent="0.25">
      <c r="A24" s="14" t="s">
        <v>44</v>
      </c>
      <c r="B24" s="15"/>
      <c r="C24" s="14" t="s">
        <v>94</v>
      </c>
      <c r="D24" s="21"/>
      <c r="E24" s="21"/>
      <c r="F24" s="21"/>
      <c r="G24" s="21"/>
      <c r="H24" s="21"/>
      <c r="I24" s="21"/>
      <c r="J24" s="21"/>
      <c r="K24" s="15"/>
    </row>
    <row r="25" spans="1:13" x14ac:dyDescent="0.25">
      <c r="A25" s="14" t="s">
        <v>45</v>
      </c>
      <c r="B25" s="15"/>
      <c r="C25" s="14" t="s">
        <v>95</v>
      </c>
      <c r="D25" s="21"/>
      <c r="E25" s="21"/>
      <c r="F25" s="21"/>
      <c r="G25" s="21"/>
      <c r="H25" s="21"/>
      <c r="I25" s="21"/>
      <c r="J25" s="21"/>
      <c r="K25" s="15"/>
    </row>
    <row r="26" spans="1:13" x14ac:dyDescent="0.25">
      <c r="A26" s="14" t="s">
        <v>46</v>
      </c>
      <c r="B26" s="15"/>
      <c r="C26" s="14" t="s">
        <v>96</v>
      </c>
      <c r="D26" s="21"/>
      <c r="E26" s="21"/>
      <c r="F26" s="21"/>
      <c r="G26" s="21"/>
      <c r="H26" s="21"/>
      <c r="I26" s="21"/>
      <c r="J26" s="21"/>
      <c r="K26" s="15"/>
    </row>
    <row r="27" spans="1:13" x14ac:dyDescent="0.25">
      <c r="A27" s="14" t="s">
        <v>47</v>
      </c>
      <c r="B27" s="15"/>
      <c r="C27" s="14" t="s">
        <v>97</v>
      </c>
      <c r="D27" s="21"/>
      <c r="E27" s="21"/>
      <c r="F27" s="21"/>
      <c r="G27" s="21"/>
      <c r="H27" s="21"/>
      <c r="I27" s="21"/>
      <c r="J27" s="21"/>
      <c r="K27" s="15"/>
    </row>
    <row r="28" spans="1:13" x14ac:dyDescent="0.25">
      <c r="A28" s="14" t="s">
        <v>48</v>
      </c>
      <c r="B28" s="15"/>
      <c r="C28" s="14" t="s">
        <v>98</v>
      </c>
      <c r="D28" s="21"/>
      <c r="E28" s="21"/>
      <c r="F28" s="21"/>
      <c r="G28" s="21"/>
      <c r="H28" s="21"/>
      <c r="I28" s="21"/>
      <c r="J28" s="21"/>
      <c r="K28" s="15"/>
    </row>
    <row r="29" spans="1:13" x14ac:dyDescent="0.25">
      <c r="A29" s="14" t="s">
        <v>49</v>
      </c>
      <c r="B29" s="15"/>
      <c r="C29" s="14" t="s">
        <v>99</v>
      </c>
      <c r="D29" s="21"/>
      <c r="E29" s="21"/>
      <c r="F29" s="21"/>
      <c r="G29" s="21"/>
      <c r="H29" s="21"/>
      <c r="I29" s="21"/>
      <c r="J29" s="21"/>
      <c r="K29" s="15"/>
    </row>
    <row r="30" spans="1:13" x14ac:dyDescent="0.25">
      <c r="A30" s="14" t="s">
        <v>50</v>
      </c>
      <c r="B30" s="15"/>
      <c r="C30" s="14" t="s">
        <v>100</v>
      </c>
      <c r="D30" s="21"/>
      <c r="E30" s="21"/>
      <c r="F30" s="21"/>
      <c r="G30" s="21"/>
      <c r="H30" s="21"/>
      <c r="I30" s="21"/>
      <c r="J30" s="21"/>
      <c r="K30" s="15"/>
    </row>
    <row r="31" spans="1:13" x14ac:dyDescent="0.25">
      <c r="A31" s="14" t="s">
        <v>51</v>
      </c>
      <c r="B31" s="15"/>
      <c r="C31" s="14" t="s">
        <v>101</v>
      </c>
      <c r="D31" s="21"/>
      <c r="E31" s="21"/>
      <c r="F31" s="21"/>
      <c r="G31" s="21"/>
      <c r="H31" s="21"/>
      <c r="I31" s="21"/>
      <c r="J31" s="21"/>
      <c r="K31" s="15"/>
    </row>
    <row r="32" spans="1:13" x14ac:dyDescent="0.25">
      <c r="A32" s="14" t="s">
        <v>52</v>
      </c>
      <c r="B32" s="15"/>
      <c r="C32" s="14" t="s">
        <v>102</v>
      </c>
      <c r="D32" s="21"/>
      <c r="E32" s="21"/>
      <c r="F32" s="21"/>
      <c r="G32" s="21"/>
      <c r="H32" s="21"/>
      <c r="I32" s="21"/>
      <c r="J32" s="21"/>
      <c r="K32" s="15"/>
    </row>
    <row r="33" spans="1:16" x14ac:dyDescent="0.25">
      <c r="A33" s="14" t="s">
        <v>53</v>
      </c>
      <c r="B33" s="15"/>
      <c r="C33" s="14" t="s">
        <v>103</v>
      </c>
      <c r="D33" s="21"/>
      <c r="E33" s="21"/>
      <c r="F33" s="21"/>
      <c r="G33" s="21"/>
      <c r="H33" s="21"/>
      <c r="I33" s="21"/>
      <c r="J33" s="21"/>
      <c r="K33" s="15"/>
    </row>
    <row r="34" spans="1:16" x14ac:dyDescent="0.25">
      <c r="A34" s="14" t="s">
        <v>54</v>
      </c>
      <c r="B34" s="15"/>
      <c r="C34" s="14" t="s">
        <v>108</v>
      </c>
      <c r="D34" s="21"/>
      <c r="E34" s="21"/>
      <c r="F34" s="21"/>
      <c r="G34" s="21"/>
      <c r="H34" s="21"/>
      <c r="I34" s="21"/>
      <c r="J34" s="21"/>
      <c r="K34" s="15"/>
    </row>
    <row r="35" spans="1:16" x14ac:dyDescent="0.25">
      <c r="A35" s="14" t="s">
        <v>55</v>
      </c>
      <c r="B35" s="15"/>
      <c r="C35" s="14" t="s">
        <v>109</v>
      </c>
      <c r="D35" s="21"/>
      <c r="E35" s="21"/>
      <c r="F35" s="21"/>
      <c r="G35" s="21"/>
      <c r="H35" s="21"/>
      <c r="I35" s="21"/>
      <c r="J35" s="21"/>
      <c r="K35" s="15"/>
    </row>
    <row r="36" spans="1:16" x14ac:dyDescent="0.25">
      <c r="A36" s="14" t="s">
        <v>56</v>
      </c>
      <c r="B36" s="15"/>
      <c r="C36" s="14" t="s">
        <v>110</v>
      </c>
      <c r="D36" s="21"/>
      <c r="E36" s="21"/>
      <c r="F36" s="21"/>
      <c r="G36" s="21"/>
      <c r="H36" s="21"/>
      <c r="I36" s="21"/>
      <c r="J36" s="21"/>
      <c r="K36" s="15"/>
    </row>
    <row r="37" spans="1:16" ht="15.75" thickBot="1" x14ac:dyDescent="0.3">
      <c r="A37" s="16" t="s">
        <v>57</v>
      </c>
      <c r="B37" s="17"/>
      <c r="C37" s="16" t="s">
        <v>111</v>
      </c>
      <c r="D37" s="22"/>
      <c r="E37" s="22"/>
      <c r="F37" s="22"/>
      <c r="G37" s="22"/>
      <c r="H37" s="22"/>
      <c r="I37" s="22"/>
      <c r="J37" s="22"/>
      <c r="K37" s="17"/>
    </row>
    <row r="38" spans="1:16" ht="15.75" thickBot="1" x14ac:dyDescent="0.3"/>
    <row r="39" spans="1:16" x14ac:dyDescent="0.25">
      <c r="A39" t="s">
        <v>125</v>
      </c>
      <c r="J39" s="43" t="s">
        <v>117</v>
      </c>
      <c r="K39" s="28" t="s">
        <v>119</v>
      </c>
      <c r="L39" s="28"/>
      <c r="M39" s="28"/>
      <c r="N39" s="28"/>
      <c r="O39" s="28"/>
      <c r="P39" s="29"/>
    </row>
    <row r="40" spans="1:16" ht="15.75" thickBot="1" x14ac:dyDescent="0.3">
      <c r="A40" t="s">
        <v>113</v>
      </c>
      <c r="J40" s="42"/>
      <c r="K40" s="30" t="s">
        <v>118</v>
      </c>
      <c r="L40" s="30"/>
      <c r="M40" s="30"/>
      <c r="N40" s="30"/>
      <c r="O40" s="30"/>
      <c r="P40" s="31"/>
    </row>
    <row r="41" spans="1:16" ht="16.5" thickBot="1" x14ac:dyDescent="0.3">
      <c r="A41" s="25" t="s">
        <v>90</v>
      </c>
      <c r="B41" s="26"/>
      <c r="C41" s="27" t="s">
        <v>91</v>
      </c>
      <c r="D41" s="27"/>
      <c r="E41" s="27"/>
      <c r="F41" s="27"/>
      <c r="G41" s="27"/>
      <c r="H41" s="27"/>
      <c r="I41" s="27"/>
      <c r="J41" s="26"/>
    </row>
    <row r="42" spans="1:16" x14ac:dyDescent="0.25">
      <c r="A42" s="14" t="s">
        <v>58</v>
      </c>
      <c r="B42" s="15"/>
      <c r="C42" s="21" t="s">
        <v>116</v>
      </c>
      <c r="D42" s="21"/>
      <c r="E42" s="21"/>
      <c r="F42" s="21"/>
      <c r="G42" s="21"/>
      <c r="H42" s="21"/>
      <c r="I42" s="21"/>
      <c r="J42" s="15"/>
    </row>
    <row r="43" spans="1:16" x14ac:dyDescent="0.25">
      <c r="A43" s="14" t="s">
        <v>114</v>
      </c>
      <c r="B43" s="15"/>
      <c r="C43" s="21" t="s">
        <v>124</v>
      </c>
      <c r="D43" s="21"/>
      <c r="E43" s="21"/>
      <c r="F43" s="21"/>
      <c r="G43" s="21"/>
      <c r="H43" s="21"/>
      <c r="I43" s="21"/>
      <c r="J43" s="15"/>
    </row>
    <row r="44" spans="1:16" x14ac:dyDescent="0.25">
      <c r="A44" s="14" t="s">
        <v>115</v>
      </c>
      <c r="B44" s="15"/>
      <c r="C44" s="21" t="s">
        <v>123</v>
      </c>
      <c r="D44" s="21"/>
      <c r="E44" s="21"/>
      <c r="F44" s="21"/>
      <c r="G44" s="21"/>
      <c r="H44" s="21"/>
      <c r="I44" s="21"/>
      <c r="J44" s="15"/>
    </row>
    <row r="45" spans="1:16" x14ac:dyDescent="0.25">
      <c r="A45" s="14" t="s">
        <v>71</v>
      </c>
      <c r="B45" s="15"/>
      <c r="C45" s="21" t="s">
        <v>120</v>
      </c>
      <c r="D45" s="21"/>
      <c r="E45" s="21"/>
      <c r="F45" s="21"/>
      <c r="G45" s="21"/>
      <c r="H45" s="21"/>
      <c r="I45" s="21"/>
      <c r="J45" s="15"/>
    </row>
    <row r="46" spans="1:16" x14ac:dyDescent="0.25">
      <c r="A46" s="14" t="s">
        <v>72</v>
      </c>
      <c r="B46" s="15"/>
      <c r="C46" s="21" t="s">
        <v>121</v>
      </c>
      <c r="D46" s="21"/>
      <c r="E46" s="21"/>
      <c r="F46" s="21"/>
      <c r="G46" s="21"/>
      <c r="H46" s="21"/>
      <c r="I46" s="21"/>
      <c r="J46" s="15"/>
    </row>
    <row r="47" spans="1:16" ht="15.75" thickBot="1" x14ac:dyDescent="0.3">
      <c r="A47" s="16" t="s">
        <v>73</v>
      </c>
      <c r="B47" s="17"/>
      <c r="C47" s="22" t="s">
        <v>122</v>
      </c>
      <c r="D47" s="22"/>
      <c r="E47" s="22"/>
      <c r="F47" s="22"/>
      <c r="G47" s="22"/>
      <c r="H47" s="22"/>
      <c r="I47" s="22"/>
      <c r="J47" s="17"/>
    </row>
    <row r="49" spans="1:10" x14ac:dyDescent="0.25">
      <c r="A49" t="s">
        <v>145</v>
      </c>
    </row>
    <row r="50" spans="1:10" ht="15.75" thickBot="1" x14ac:dyDescent="0.3">
      <c r="A50" t="s">
        <v>128</v>
      </c>
    </row>
    <row r="51" spans="1:10" ht="16.5" thickBot="1" x14ac:dyDescent="0.3">
      <c r="A51" s="25" t="s">
        <v>90</v>
      </c>
      <c r="B51" s="26"/>
      <c r="C51" s="27" t="s">
        <v>91</v>
      </c>
      <c r="D51" s="27"/>
      <c r="E51" s="27"/>
      <c r="F51" s="27"/>
      <c r="G51" s="27"/>
      <c r="H51" s="27"/>
      <c r="I51" s="27"/>
      <c r="J51" s="26"/>
    </row>
    <row r="52" spans="1:10" x14ac:dyDescent="0.25">
      <c r="A52" s="14" t="s">
        <v>58</v>
      </c>
      <c r="B52" s="15"/>
      <c r="C52" s="21" t="s">
        <v>132</v>
      </c>
      <c r="D52" s="21"/>
      <c r="E52" s="21"/>
      <c r="F52" s="21"/>
      <c r="G52" s="21"/>
      <c r="H52" s="21"/>
      <c r="I52" s="21"/>
      <c r="J52" s="15"/>
    </row>
    <row r="53" spans="1:10" x14ac:dyDescent="0.25">
      <c r="A53" s="14" t="s">
        <v>75</v>
      </c>
      <c r="B53" s="15"/>
      <c r="C53" s="21" t="s">
        <v>133</v>
      </c>
      <c r="D53" s="21"/>
      <c r="E53" s="21"/>
      <c r="F53" s="21"/>
      <c r="G53" s="21"/>
      <c r="H53" s="21"/>
      <c r="I53" s="21"/>
      <c r="J53" s="15"/>
    </row>
    <row r="54" spans="1:10" x14ac:dyDescent="0.25">
      <c r="A54" s="14" t="s">
        <v>76</v>
      </c>
      <c r="B54" s="15"/>
      <c r="C54" s="21" t="s">
        <v>134</v>
      </c>
      <c r="D54" s="21"/>
      <c r="E54" s="21"/>
      <c r="F54" s="21"/>
      <c r="G54" s="21"/>
      <c r="H54" s="21"/>
      <c r="I54" s="21"/>
      <c r="J54" s="15"/>
    </row>
    <row r="55" spans="1:10" x14ac:dyDescent="0.25">
      <c r="A55" s="14" t="s">
        <v>77</v>
      </c>
      <c r="B55" s="15"/>
      <c r="C55" s="21" t="s">
        <v>135</v>
      </c>
      <c r="D55" s="21"/>
      <c r="E55" s="21"/>
      <c r="F55" s="21"/>
      <c r="G55" s="21"/>
      <c r="H55" s="21"/>
      <c r="I55" s="21"/>
      <c r="J55" s="15"/>
    </row>
    <row r="56" spans="1:10" x14ac:dyDescent="0.25">
      <c r="A56" s="14" t="s">
        <v>78</v>
      </c>
      <c r="B56" s="15"/>
      <c r="C56" s="21" t="s">
        <v>136</v>
      </c>
      <c r="D56" s="21"/>
      <c r="E56" s="21"/>
      <c r="F56" s="21"/>
      <c r="G56" s="21"/>
      <c r="H56" s="21"/>
      <c r="I56" s="21"/>
      <c r="J56" s="15"/>
    </row>
    <row r="57" spans="1:10" x14ac:dyDescent="0.25">
      <c r="A57" s="14" t="s">
        <v>79</v>
      </c>
      <c r="B57" s="15"/>
      <c r="C57" s="21" t="s">
        <v>138</v>
      </c>
      <c r="D57" s="21"/>
      <c r="E57" s="21"/>
      <c r="F57" s="21"/>
      <c r="G57" s="21"/>
      <c r="H57" s="21"/>
      <c r="I57" s="21"/>
      <c r="J57" s="15"/>
    </row>
    <row r="58" spans="1:10" x14ac:dyDescent="0.25">
      <c r="A58" s="14" t="s">
        <v>80</v>
      </c>
      <c r="B58" s="15"/>
      <c r="C58" s="21" t="s">
        <v>137</v>
      </c>
      <c r="D58" s="21"/>
      <c r="E58" s="21"/>
      <c r="F58" s="21"/>
      <c r="G58" s="21"/>
      <c r="H58" s="21"/>
      <c r="I58" s="21"/>
      <c r="J58" s="15"/>
    </row>
    <row r="59" spans="1:10" x14ac:dyDescent="0.25">
      <c r="A59" s="14" t="s">
        <v>84</v>
      </c>
      <c r="B59" s="15"/>
      <c r="C59" s="21" t="s">
        <v>139</v>
      </c>
      <c r="D59" s="21"/>
      <c r="E59" s="21"/>
      <c r="F59" s="21"/>
      <c r="G59" s="21"/>
      <c r="H59" s="21"/>
      <c r="I59" s="21"/>
      <c r="J59" s="15"/>
    </row>
    <row r="60" spans="1:10" x14ac:dyDescent="0.25">
      <c r="A60" s="14" t="s">
        <v>85</v>
      </c>
      <c r="B60" s="15"/>
      <c r="C60" s="21" t="s">
        <v>140</v>
      </c>
      <c r="D60" s="21"/>
      <c r="E60" s="21"/>
      <c r="F60" s="21"/>
      <c r="G60" s="21"/>
      <c r="H60" s="21"/>
      <c r="I60" s="21"/>
      <c r="J60" s="15"/>
    </row>
    <row r="61" spans="1:10" x14ac:dyDescent="0.25">
      <c r="A61" s="14" t="s">
        <v>129</v>
      </c>
      <c r="B61" s="15"/>
      <c r="C61" s="21" t="s">
        <v>141</v>
      </c>
      <c r="D61" s="21"/>
      <c r="E61" s="21"/>
      <c r="F61" s="21"/>
      <c r="G61" s="21"/>
      <c r="H61" s="21"/>
      <c r="I61" s="21"/>
      <c r="J61" s="15"/>
    </row>
    <row r="62" spans="1:10" x14ac:dyDescent="0.25">
      <c r="A62" s="14" t="s">
        <v>130</v>
      </c>
      <c r="B62" s="15"/>
      <c r="C62" s="21" t="s">
        <v>142</v>
      </c>
      <c r="D62" s="21"/>
      <c r="E62" s="21"/>
      <c r="F62" s="21"/>
      <c r="G62" s="21"/>
      <c r="H62" s="21"/>
      <c r="I62" s="21"/>
      <c r="J62" s="15"/>
    </row>
    <row r="63" spans="1:10" ht="15.75" thickBot="1" x14ac:dyDescent="0.3">
      <c r="A63" s="16" t="s">
        <v>131</v>
      </c>
      <c r="B63" s="17"/>
      <c r="C63" s="22" t="s">
        <v>143</v>
      </c>
      <c r="D63" s="22"/>
      <c r="E63" s="22"/>
      <c r="F63" s="22"/>
      <c r="G63" s="22"/>
      <c r="H63" s="22"/>
      <c r="I63" s="22"/>
      <c r="J63" s="17"/>
    </row>
    <row r="65" spans="1:10" x14ac:dyDescent="0.25">
      <c r="A65" t="s">
        <v>146</v>
      </c>
    </row>
    <row r="66" spans="1:10" x14ac:dyDescent="0.25">
      <c r="A66" t="s">
        <v>147</v>
      </c>
    </row>
    <row r="68" spans="1:10" ht="18.75" x14ac:dyDescent="0.3">
      <c r="A68" s="44" t="s">
        <v>148</v>
      </c>
      <c r="B68" s="44"/>
      <c r="C68" s="44"/>
      <c r="D68" s="44"/>
      <c r="E68" s="44"/>
      <c r="F68" s="44"/>
      <c r="G68" s="44"/>
      <c r="H68" s="44"/>
      <c r="I68" s="44"/>
      <c r="J68" s="44"/>
    </row>
    <row r="98" spans="1:9" ht="18.75" x14ac:dyDescent="0.3">
      <c r="A98" s="45" t="s">
        <v>149</v>
      </c>
      <c r="B98" s="45"/>
      <c r="C98" s="45"/>
      <c r="D98" s="45"/>
      <c r="E98" s="45"/>
      <c r="F98" s="45"/>
      <c r="G98" s="45"/>
      <c r="H98" s="45"/>
      <c r="I98" s="45"/>
    </row>
    <row r="99" spans="1:9" ht="15.75" x14ac:dyDescent="0.25">
      <c r="A99" t="s">
        <v>151</v>
      </c>
    </row>
    <row r="100" spans="1:9" x14ac:dyDescent="0.25">
      <c r="A100" t="s">
        <v>154</v>
      </c>
    </row>
    <row r="101" spans="1:9" x14ac:dyDescent="0.25">
      <c r="A101" t="s">
        <v>155</v>
      </c>
    </row>
    <row r="102" spans="1:9" x14ac:dyDescent="0.25">
      <c r="A102" t="s">
        <v>156</v>
      </c>
    </row>
    <row r="103" spans="1:9" ht="15.75" x14ac:dyDescent="0.25">
      <c r="A103" t="s">
        <v>152</v>
      </c>
    </row>
    <row r="104" spans="1:9" x14ac:dyDescent="0.25">
      <c r="A104" t="s">
        <v>157</v>
      </c>
    </row>
    <row r="105" spans="1:9" ht="15.75" x14ac:dyDescent="0.25">
      <c r="A105" t="s">
        <v>153</v>
      </c>
    </row>
    <row r="106" spans="1:9" x14ac:dyDescent="0.25">
      <c r="A106" t="s">
        <v>158</v>
      </c>
    </row>
    <row r="125" spans="2:9" ht="18.75" x14ac:dyDescent="0.3">
      <c r="B125" s="40" t="s">
        <v>159</v>
      </c>
      <c r="C125" s="40"/>
      <c r="D125" s="40"/>
      <c r="E125" s="40"/>
      <c r="F125" s="40"/>
      <c r="G125" s="40"/>
      <c r="H125" s="40"/>
      <c r="I125" s="4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B20" sqref="B20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171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s="129" t="s">
        <v>58</v>
      </c>
      <c r="B4" s="129" t="s">
        <v>75</v>
      </c>
      <c r="C4" s="129" t="s">
        <v>76</v>
      </c>
      <c r="D4" s="129" t="s">
        <v>77</v>
      </c>
      <c r="E4" s="129" t="s">
        <v>78</v>
      </c>
      <c r="F4" s="129" t="s">
        <v>79</v>
      </c>
      <c r="G4" s="129" t="s">
        <v>80</v>
      </c>
      <c r="H4" s="129" t="s">
        <v>84</v>
      </c>
      <c r="I4" s="129" t="s">
        <v>85</v>
      </c>
      <c r="J4" s="129" t="s">
        <v>129</v>
      </c>
      <c r="K4" s="129" t="s">
        <v>130</v>
      </c>
      <c r="L4" s="129" t="s">
        <v>131</v>
      </c>
      <c r="M4" s="129" t="s">
        <v>172</v>
      </c>
      <c r="N4" s="129" t="s">
        <v>173</v>
      </c>
      <c r="O4" s="129" t="s">
        <v>174</v>
      </c>
      <c r="P4" s="129" t="s">
        <v>175</v>
      </c>
      <c r="Q4" s="129" t="s">
        <v>176</v>
      </c>
      <c r="R4" s="129" t="s">
        <v>177</v>
      </c>
      <c r="S4" s="129" t="s">
        <v>178</v>
      </c>
    </row>
    <row r="5" spans="1:19" x14ac:dyDescent="0.25">
      <c r="A5" s="130">
        <v>44053</v>
      </c>
      <c r="B5" s="147">
        <v>55.240001999999997</v>
      </c>
      <c r="C5" s="147">
        <v>55.619999</v>
      </c>
      <c r="D5" s="147">
        <v>54.880001</v>
      </c>
      <c r="E5" s="147">
        <v>54.939999</v>
      </c>
      <c r="F5" s="147">
        <v>54.939999</v>
      </c>
      <c r="G5" s="129">
        <v>10046900</v>
      </c>
      <c r="H5" s="147">
        <f>IF(tbl_ORCL[[#This Row],[Date]]=$A$5, $F5, EMA_Beta*$H4 + (1-EMA_Beta)*$F5)</f>
        <v>54.939999</v>
      </c>
      <c r="I5" s="151" t="str">
        <f ca="1">IF(tbl_ORCL[[#This Row],[RS]]= "", "", 100-(100/(1+tbl_ORCL[[#This Row],[RS]])))</f>
        <v/>
      </c>
      <c r="J5" s="147" t="str">
        <f ca="1">IF(ROW($N5)-4&lt;BB_Periods, "", AVERAGE(INDIRECT(ADDRESS(ROW($F5)-RSI_Periods +1, MATCH("Adj Close", Price_Header,0))): INDIRECT(ADDRESS(ROW($F5),MATCH("Adj Close", Price_Header,0)))))</f>
        <v/>
      </c>
      <c r="K5" s="147" t="str">
        <f ca="1">IF(tbl_ORCL[[#This Row],[BB_Mean]]="", "", tbl_ORCL[[#This Row],[BB_Mean]]+(2*tbl_ORCL[[#This Row],[BB_Stdev]]))</f>
        <v/>
      </c>
      <c r="L5" s="147" t="str">
        <f ca="1">IF(tbl_ORCL[[#This Row],[BB_Mean]]="", "", tbl_ORCL[[#This Row],[BB_Mean]]-(2*tbl_ORCL[[#This Row],[BB_Stdev]]))</f>
        <v/>
      </c>
      <c r="M5" s="151">
        <f>IF(ROW(tbl_ORCL[[#This Row],[Adj Close]])=5, 0, $F5-$F4)</f>
        <v>0</v>
      </c>
      <c r="N5" s="151">
        <f>MAX(tbl_ORCL[[#This Row],[Move]],0)</f>
        <v>0</v>
      </c>
      <c r="O5" s="151">
        <f>MAX(-tbl_ORCL[[#This Row],[Move]],0)</f>
        <v>0</v>
      </c>
      <c r="P5" s="151" t="str">
        <f ca="1">IF(ROW($N5)-5&lt;RSI_Periods, "", AVERAGE(INDIRECT(ADDRESS(ROW($N5)-RSI_Periods +1, MATCH("Upmove", Price_Header,0))): INDIRECT(ADDRESS(ROW($N5),MATCH("Upmove", Price_Header,0)))))</f>
        <v/>
      </c>
      <c r="Q5" s="151" t="str">
        <f ca="1">IF(ROW($O5)-5&lt;RSI_Periods, "", AVERAGE(INDIRECT(ADDRESS(ROW($O5)-RSI_Periods +1, MATCH("Downmove", Price_Header,0))): INDIRECT(ADDRESS(ROW($O5),MATCH("Downmove", Price_Header,0)))))</f>
        <v/>
      </c>
      <c r="R5" s="151" t="str">
        <f ca="1">IF(tbl_ORCL[[#This Row],[Avg_Upmove]]="", "", tbl_ORCL[[#This Row],[Avg_Upmove]]/tbl_ORCL[[#This Row],[Avg_Downmove]])</f>
        <v/>
      </c>
      <c r="S5" s="147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130">
        <v>44054</v>
      </c>
      <c r="B6" s="147">
        <v>55.240001999999997</v>
      </c>
      <c r="C6" s="147">
        <v>55.459999000000003</v>
      </c>
      <c r="D6" s="147">
        <v>54.139999000000003</v>
      </c>
      <c r="E6" s="147">
        <v>54.27</v>
      </c>
      <c r="F6" s="147">
        <v>54.27</v>
      </c>
      <c r="G6" s="129">
        <v>8075100</v>
      </c>
      <c r="H6" s="147">
        <f>IF(tbl_ORCL[[#This Row],[Date]]=$A$5, $F6, EMA_Beta*$H5 + (1-EMA_Beta)*$F6)</f>
        <v>54.872999100000001</v>
      </c>
      <c r="I6" s="151" t="str">
        <f ca="1">IF(tbl_ORCL[[#This Row],[RS]]= "", "", 100-(100/(1+tbl_ORCL[[#This Row],[RS]])))</f>
        <v/>
      </c>
      <c r="J6" s="147" t="str">
        <f ca="1">IF(ROW($N6)-4&lt;BB_Periods, "", AVERAGE(INDIRECT(ADDRESS(ROW($F6)-RSI_Periods +1, MATCH("Adj Close", Price_Header,0))): INDIRECT(ADDRESS(ROW($F6),MATCH("Adj Close", Price_Header,0)))))</f>
        <v/>
      </c>
      <c r="K6" s="147" t="str">
        <f ca="1">IF(tbl_ORCL[[#This Row],[BB_Mean]]="", "", tbl_ORCL[[#This Row],[BB_Mean]]+(2*tbl_ORCL[[#This Row],[BB_Stdev]]))</f>
        <v/>
      </c>
      <c r="L6" s="147" t="str">
        <f ca="1">IF(tbl_ORCL[[#This Row],[BB_Mean]]="", "", tbl_ORCL[[#This Row],[BB_Mean]]-(2*tbl_ORCL[[#This Row],[BB_Stdev]]))</f>
        <v/>
      </c>
      <c r="M6" s="151">
        <f>IF(ROW(tbl_ORCL[[#This Row],[Adj Close]])=5, 0, $F6-$F5)</f>
        <v>-0.66999899999999712</v>
      </c>
      <c r="N6" s="151">
        <f>MAX(tbl_ORCL[[#This Row],[Move]],0)</f>
        <v>0</v>
      </c>
      <c r="O6" s="151">
        <f>MAX(-tbl_ORCL[[#This Row],[Move]],0)</f>
        <v>0.66999899999999712</v>
      </c>
      <c r="P6" s="151" t="str">
        <f ca="1">IF(ROW($N6)-5&lt;RSI_Periods, "", AVERAGE(INDIRECT(ADDRESS(ROW($N6)-RSI_Periods +1, MATCH("Upmove", Price_Header,0))): INDIRECT(ADDRESS(ROW($N6),MATCH("Upmove", Price_Header,0)))))</f>
        <v/>
      </c>
      <c r="Q6" s="151" t="str">
        <f ca="1">IF(ROW($O6)-5&lt;RSI_Periods, "", AVERAGE(INDIRECT(ADDRESS(ROW($O6)-RSI_Periods +1, MATCH("Downmove", Price_Header,0))): INDIRECT(ADDRESS(ROW($O6),MATCH("Downmove", Price_Header,0)))))</f>
        <v/>
      </c>
      <c r="R6" s="151" t="str">
        <f ca="1">IF(tbl_ORCL[[#This Row],[Avg_Upmove]]="", "", tbl_ORCL[[#This Row],[Avg_Upmove]]/tbl_ORCL[[#This Row],[Avg_Downmove]])</f>
        <v/>
      </c>
      <c r="S6" s="147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130">
        <v>44055</v>
      </c>
      <c r="B7" s="147">
        <v>54.52</v>
      </c>
      <c r="C7" s="147">
        <v>54.700001</v>
      </c>
      <c r="D7" s="147">
        <v>53.970001000000003</v>
      </c>
      <c r="E7" s="147">
        <v>54.169998</v>
      </c>
      <c r="F7" s="147">
        <v>54.169998</v>
      </c>
      <c r="G7" s="129">
        <v>9068200</v>
      </c>
      <c r="H7" s="147">
        <f>IF(tbl_ORCL[[#This Row],[Date]]=$A$5, $F7, EMA_Beta*$H6 + (1-EMA_Beta)*$F7)</f>
        <v>54.802698990000003</v>
      </c>
      <c r="I7" s="151" t="str">
        <f ca="1">IF(tbl_ORCL[[#This Row],[RS]]= "", "", 100-(100/(1+tbl_ORCL[[#This Row],[RS]])))</f>
        <v/>
      </c>
      <c r="J7" s="147" t="str">
        <f ca="1">IF(ROW($N7)-4&lt;BB_Periods, "", AVERAGE(INDIRECT(ADDRESS(ROW($F7)-RSI_Periods +1, MATCH("Adj Close", Price_Header,0))): INDIRECT(ADDRESS(ROW($F7),MATCH("Adj Close", Price_Header,0)))))</f>
        <v/>
      </c>
      <c r="K7" s="147" t="str">
        <f ca="1">IF(tbl_ORCL[[#This Row],[BB_Mean]]="", "", tbl_ORCL[[#This Row],[BB_Mean]]+(2*tbl_ORCL[[#This Row],[BB_Stdev]]))</f>
        <v/>
      </c>
      <c r="L7" s="147" t="str">
        <f ca="1">IF(tbl_ORCL[[#This Row],[BB_Mean]]="", "", tbl_ORCL[[#This Row],[BB_Mean]]-(2*tbl_ORCL[[#This Row],[BB_Stdev]]))</f>
        <v/>
      </c>
      <c r="M7" s="151">
        <f>IF(ROW(tbl_ORCL[[#This Row],[Adj Close]])=5, 0, $F7-$F6)</f>
        <v>-0.10000200000000348</v>
      </c>
      <c r="N7" s="151">
        <f>MAX(tbl_ORCL[[#This Row],[Move]],0)</f>
        <v>0</v>
      </c>
      <c r="O7" s="151">
        <f>MAX(-tbl_ORCL[[#This Row],[Move]],0)</f>
        <v>0.10000200000000348</v>
      </c>
      <c r="P7" s="151" t="str">
        <f ca="1">IF(ROW($N7)-5&lt;RSI_Periods, "", AVERAGE(INDIRECT(ADDRESS(ROW($N7)-RSI_Periods +1, MATCH("Upmove", Price_Header,0))): INDIRECT(ADDRESS(ROW($N7),MATCH("Upmove", Price_Header,0)))))</f>
        <v/>
      </c>
      <c r="Q7" s="151" t="str">
        <f ca="1">IF(ROW($O7)-5&lt;RSI_Periods, "", AVERAGE(INDIRECT(ADDRESS(ROW($O7)-RSI_Periods +1, MATCH("Downmove", Price_Header,0))): INDIRECT(ADDRESS(ROW($O7),MATCH("Downmove", Price_Header,0)))))</f>
        <v/>
      </c>
      <c r="R7" s="151" t="str">
        <f ca="1">IF(tbl_ORCL[[#This Row],[Avg_Upmove]]="", "", tbl_ORCL[[#This Row],[Avg_Upmove]]/tbl_ORCL[[#This Row],[Avg_Downmove]])</f>
        <v/>
      </c>
      <c r="S7" s="147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130">
        <v>44056</v>
      </c>
      <c r="B8" s="147">
        <v>53.91</v>
      </c>
      <c r="C8" s="147">
        <v>54.200001</v>
      </c>
      <c r="D8" s="147">
        <v>53.68</v>
      </c>
      <c r="E8" s="147">
        <v>54.02</v>
      </c>
      <c r="F8" s="147">
        <v>54.02</v>
      </c>
      <c r="G8" s="129">
        <v>8260300</v>
      </c>
      <c r="H8" s="147">
        <f>IF(tbl_ORCL[[#This Row],[Date]]=$A$5, $F8, EMA_Beta*$H7 + (1-EMA_Beta)*$F8)</f>
        <v>54.724429091000005</v>
      </c>
      <c r="I8" s="151" t="str">
        <f ca="1">IF(tbl_ORCL[[#This Row],[RS]]= "", "", 100-(100/(1+tbl_ORCL[[#This Row],[RS]])))</f>
        <v/>
      </c>
      <c r="J8" s="147" t="str">
        <f ca="1">IF(ROW($N8)-4&lt;BB_Periods, "", AVERAGE(INDIRECT(ADDRESS(ROW($F8)-RSI_Periods +1, MATCH("Adj Close", Price_Header,0))): INDIRECT(ADDRESS(ROW($F8),MATCH("Adj Close", Price_Header,0)))))</f>
        <v/>
      </c>
      <c r="K8" s="147" t="str">
        <f ca="1">IF(tbl_ORCL[[#This Row],[BB_Mean]]="", "", tbl_ORCL[[#This Row],[BB_Mean]]+(2*tbl_ORCL[[#This Row],[BB_Stdev]]))</f>
        <v/>
      </c>
      <c r="L8" s="147" t="str">
        <f ca="1">IF(tbl_ORCL[[#This Row],[BB_Mean]]="", "", tbl_ORCL[[#This Row],[BB_Mean]]-(2*tbl_ORCL[[#This Row],[BB_Stdev]]))</f>
        <v/>
      </c>
      <c r="M8" s="151">
        <f>IF(ROW(tbl_ORCL[[#This Row],[Adj Close]])=5, 0, $F8-$F7)</f>
        <v>-0.14999799999999652</v>
      </c>
      <c r="N8" s="151">
        <f>MAX(tbl_ORCL[[#This Row],[Move]],0)</f>
        <v>0</v>
      </c>
      <c r="O8" s="151">
        <f>MAX(-tbl_ORCL[[#This Row],[Move]],0)</f>
        <v>0.14999799999999652</v>
      </c>
      <c r="P8" s="151" t="str">
        <f ca="1">IF(ROW($N8)-5&lt;RSI_Periods, "", AVERAGE(INDIRECT(ADDRESS(ROW($N8)-RSI_Periods +1, MATCH("Upmove", Price_Header,0))): INDIRECT(ADDRESS(ROW($N8),MATCH("Upmove", Price_Header,0)))))</f>
        <v/>
      </c>
      <c r="Q8" s="151" t="str">
        <f ca="1">IF(ROW($O8)-5&lt;RSI_Periods, "", AVERAGE(INDIRECT(ADDRESS(ROW($O8)-RSI_Periods +1, MATCH("Downmove", Price_Header,0))): INDIRECT(ADDRESS(ROW($O8),MATCH("Downmove", Price_Header,0)))))</f>
        <v/>
      </c>
      <c r="R8" s="151" t="str">
        <f ca="1">IF(tbl_ORCL[[#This Row],[Avg_Upmove]]="", "", tbl_ORCL[[#This Row],[Avg_Upmove]]/tbl_ORCL[[#This Row],[Avg_Downmove]])</f>
        <v/>
      </c>
      <c r="S8" s="147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130">
        <v>44057</v>
      </c>
      <c r="B9" s="147">
        <v>54.029998999999997</v>
      </c>
      <c r="C9" s="147">
        <v>54.560001</v>
      </c>
      <c r="D9" s="147">
        <v>53.77</v>
      </c>
      <c r="E9" s="147">
        <v>54.200001</v>
      </c>
      <c r="F9" s="147">
        <v>54.200001</v>
      </c>
      <c r="G9" s="129">
        <v>5454400</v>
      </c>
      <c r="H9" s="147">
        <f>IF(tbl_ORCL[[#This Row],[Date]]=$A$5, $F9, EMA_Beta*$H8 + (1-EMA_Beta)*$F9)</f>
        <v>54.671986281900004</v>
      </c>
      <c r="I9" s="151" t="str">
        <f ca="1">IF(tbl_ORCL[[#This Row],[RS]]= "", "", 100-(100/(1+tbl_ORCL[[#This Row],[RS]])))</f>
        <v/>
      </c>
      <c r="J9" s="147" t="str">
        <f ca="1">IF(ROW($N9)-4&lt;BB_Periods, "", AVERAGE(INDIRECT(ADDRESS(ROW($F9)-RSI_Periods +1, MATCH("Adj Close", Price_Header,0))): INDIRECT(ADDRESS(ROW($F9),MATCH("Adj Close", Price_Header,0)))))</f>
        <v/>
      </c>
      <c r="K9" s="147" t="str">
        <f ca="1">IF(tbl_ORCL[[#This Row],[BB_Mean]]="", "", tbl_ORCL[[#This Row],[BB_Mean]]+(2*tbl_ORCL[[#This Row],[BB_Stdev]]))</f>
        <v/>
      </c>
      <c r="L9" s="147" t="str">
        <f ca="1">IF(tbl_ORCL[[#This Row],[BB_Mean]]="", "", tbl_ORCL[[#This Row],[BB_Mean]]-(2*tbl_ORCL[[#This Row],[BB_Stdev]]))</f>
        <v/>
      </c>
      <c r="M9" s="151">
        <f>IF(ROW(tbl_ORCL[[#This Row],[Adj Close]])=5, 0, $F9-$F8)</f>
        <v>0.18000099999999719</v>
      </c>
      <c r="N9" s="151">
        <f>MAX(tbl_ORCL[[#This Row],[Move]],0)</f>
        <v>0.18000099999999719</v>
      </c>
      <c r="O9" s="151">
        <f>MAX(-tbl_ORCL[[#This Row],[Move]],0)</f>
        <v>0</v>
      </c>
      <c r="P9" s="151" t="str">
        <f ca="1">IF(ROW($N9)-5&lt;RSI_Periods, "", AVERAGE(INDIRECT(ADDRESS(ROW($N9)-RSI_Periods +1, MATCH("Upmove", Price_Header,0))): INDIRECT(ADDRESS(ROW($N9),MATCH("Upmove", Price_Header,0)))))</f>
        <v/>
      </c>
      <c r="Q9" s="151" t="str">
        <f ca="1">IF(ROW($O9)-5&lt;RSI_Periods, "", AVERAGE(INDIRECT(ADDRESS(ROW($O9)-RSI_Periods +1, MATCH("Downmove", Price_Header,0))): INDIRECT(ADDRESS(ROW($O9),MATCH("Downmove", Price_Header,0)))))</f>
        <v/>
      </c>
      <c r="R9" s="151" t="str">
        <f ca="1">IF(tbl_ORCL[[#This Row],[Avg_Upmove]]="", "", tbl_ORCL[[#This Row],[Avg_Upmove]]/tbl_ORCL[[#This Row],[Avg_Downmove]])</f>
        <v/>
      </c>
      <c r="S9" s="147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130">
        <v>44060</v>
      </c>
      <c r="B10" s="147">
        <v>54.200001</v>
      </c>
      <c r="C10" s="147">
        <v>54.389999000000003</v>
      </c>
      <c r="D10" s="147">
        <v>53.66</v>
      </c>
      <c r="E10" s="147">
        <v>53.990001999999997</v>
      </c>
      <c r="F10" s="147">
        <v>53.990001999999997</v>
      </c>
      <c r="G10" s="129">
        <v>9523700</v>
      </c>
      <c r="H10" s="147">
        <f>IF(tbl_ORCL[[#This Row],[Date]]=$A$5, $F10, EMA_Beta*$H9 + (1-EMA_Beta)*$F10)</f>
        <v>54.603787853710003</v>
      </c>
      <c r="I10" s="151" t="str">
        <f ca="1">IF(tbl_ORCL[[#This Row],[RS]]= "", "", 100-(100/(1+tbl_ORCL[[#This Row],[RS]])))</f>
        <v/>
      </c>
      <c r="J10" s="147" t="str">
        <f ca="1">IF(ROW($N10)-4&lt;BB_Periods, "", AVERAGE(INDIRECT(ADDRESS(ROW($F10)-RSI_Periods +1, MATCH("Adj Close", Price_Header,0))): INDIRECT(ADDRESS(ROW($F10),MATCH("Adj Close", Price_Header,0)))))</f>
        <v/>
      </c>
      <c r="K10" s="147" t="str">
        <f ca="1">IF(tbl_ORCL[[#This Row],[BB_Mean]]="", "", tbl_ORCL[[#This Row],[BB_Mean]]+(2*tbl_ORCL[[#This Row],[BB_Stdev]]))</f>
        <v/>
      </c>
      <c r="L10" s="147" t="str">
        <f ca="1">IF(tbl_ORCL[[#This Row],[BB_Mean]]="", "", tbl_ORCL[[#This Row],[BB_Mean]]-(2*tbl_ORCL[[#This Row],[BB_Stdev]]))</f>
        <v/>
      </c>
      <c r="M10" s="151">
        <f>IF(ROW(tbl_ORCL[[#This Row],[Adj Close]])=5, 0, $F10-$F9)</f>
        <v>-0.20999900000000338</v>
      </c>
      <c r="N10" s="151">
        <f>MAX(tbl_ORCL[[#This Row],[Move]],0)</f>
        <v>0</v>
      </c>
      <c r="O10" s="151">
        <f>MAX(-tbl_ORCL[[#This Row],[Move]],0)</f>
        <v>0.20999900000000338</v>
      </c>
      <c r="P10" s="151" t="str">
        <f ca="1">IF(ROW($N10)-5&lt;RSI_Periods, "", AVERAGE(INDIRECT(ADDRESS(ROW($N10)-RSI_Periods +1, MATCH("Upmove", Price_Header,0))): INDIRECT(ADDRESS(ROW($N10),MATCH("Upmove", Price_Header,0)))))</f>
        <v/>
      </c>
      <c r="Q10" s="151" t="str">
        <f ca="1">IF(ROW($O10)-5&lt;RSI_Periods, "", AVERAGE(INDIRECT(ADDRESS(ROW($O10)-RSI_Periods +1, MATCH("Downmove", Price_Header,0))): INDIRECT(ADDRESS(ROW($O10),MATCH("Downmove", Price_Header,0)))))</f>
        <v/>
      </c>
      <c r="R10" s="151" t="str">
        <f ca="1">IF(tbl_ORCL[[#This Row],[Avg_Upmove]]="", "", tbl_ORCL[[#This Row],[Avg_Upmove]]/tbl_ORCL[[#This Row],[Avg_Downmove]])</f>
        <v/>
      </c>
      <c r="S10" s="147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130">
        <v>44061</v>
      </c>
      <c r="B11" s="147">
        <v>55.619999</v>
      </c>
      <c r="C11" s="147">
        <v>56.93</v>
      </c>
      <c r="D11" s="147">
        <v>54.869999</v>
      </c>
      <c r="E11" s="147">
        <v>55.18</v>
      </c>
      <c r="F11" s="147">
        <v>55.18</v>
      </c>
      <c r="G11" s="129">
        <v>21102600</v>
      </c>
      <c r="H11" s="147">
        <f>IF(tbl_ORCL[[#This Row],[Date]]=$A$5, $F11, EMA_Beta*$H10 + (1-EMA_Beta)*$F11)</f>
        <v>54.661409068339005</v>
      </c>
      <c r="I11" s="151" t="str">
        <f ca="1">IF(tbl_ORCL[[#This Row],[RS]]= "", "", 100-(100/(1+tbl_ORCL[[#This Row],[RS]])))</f>
        <v/>
      </c>
      <c r="J11" s="147" t="str">
        <f ca="1">IF(ROW($N11)-4&lt;BB_Periods, "", AVERAGE(INDIRECT(ADDRESS(ROW($F11)-RSI_Periods +1, MATCH("Adj Close", Price_Header,0))): INDIRECT(ADDRESS(ROW($F11),MATCH("Adj Close", Price_Header,0)))))</f>
        <v/>
      </c>
      <c r="K11" s="147" t="str">
        <f ca="1">IF(tbl_ORCL[[#This Row],[BB_Mean]]="", "", tbl_ORCL[[#This Row],[BB_Mean]]+(2*tbl_ORCL[[#This Row],[BB_Stdev]]))</f>
        <v/>
      </c>
      <c r="L11" s="147" t="str">
        <f ca="1">IF(tbl_ORCL[[#This Row],[BB_Mean]]="", "", tbl_ORCL[[#This Row],[BB_Mean]]-(2*tbl_ORCL[[#This Row],[BB_Stdev]]))</f>
        <v/>
      </c>
      <c r="M11" s="151">
        <f>IF(ROW(tbl_ORCL[[#This Row],[Adj Close]])=5, 0, $F11-$F10)</f>
        <v>1.1899980000000028</v>
      </c>
      <c r="N11" s="151">
        <f>MAX(tbl_ORCL[[#This Row],[Move]],0)</f>
        <v>1.1899980000000028</v>
      </c>
      <c r="O11" s="151">
        <f>MAX(-tbl_ORCL[[#This Row],[Move]],0)</f>
        <v>0</v>
      </c>
      <c r="P11" s="151" t="str">
        <f ca="1">IF(ROW($N11)-5&lt;RSI_Periods, "", AVERAGE(INDIRECT(ADDRESS(ROW($N11)-RSI_Periods +1, MATCH("Upmove", Price_Header,0))): INDIRECT(ADDRESS(ROW($N11),MATCH("Upmove", Price_Header,0)))))</f>
        <v/>
      </c>
      <c r="Q11" s="151" t="str">
        <f ca="1">IF(ROW($O11)-5&lt;RSI_Periods, "", AVERAGE(INDIRECT(ADDRESS(ROW($O11)-RSI_Periods +1, MATCH("Downmove", Price_Header,0))): INDIRECT(ADDRESS(ROW($O11),MATCH("Downmove", Price_Header,0)))))</f>
        <v/>
      </c>
      <c r="R11" s="151" t="str">
        <f ca="1">IF(tbl_ORCL[[#This Row],[Avg_Upmove]]="", "", tbl_ORCL[[#This Row],[Avg_Upmove]]/tbl_ORCL[[#This Row],[Avg_Downmove]])</f>
        <v/>
      </c>
      <c r="S11" s="147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130">
        <v>44062</v>
      </c>
      <c r="B12" s="147">
        <v>55.580002</v>
      </c>
      <c r="C12" s="147">
        <v>56.799999</v>
      </c>
      <c r="D12" s="147">
        <v>55.459999000000003</v>
      </c>
      <c r="E12" s="147">
        <v>56.200001</v>
      </c>
      <c r="F12" s="147">
        <v>56.200001</v>
      </c>
      <c r="G12" s="129">
        <v>16751500</v>
      </c>
      <c r="H12" s="147">
        <f>IF(tbl_ORCL[[#This Row],[Date]]=$A$5, $F12, EMA_Beta*$H11 + (1-EMA_Beta)*$F12)</f>
        <v>54.815268261505103</v>
      </c>
      <c r="I12" s="151" t="str">
        <f ca="1">IF(tbl_ORCL[[#This Row],[RS]]= "", "", 100-(100/(1+tbl_ORCL[[#This Row],[RS]])))</f>
        <v/>
      </c>
      <c r="J12" s="147" t="str">
        <f ca="1">IF(ROW($N12)-4&lt;BB_Periods, "", AVERAGE(INDIRECT(ADDRESS(ROW($F12)-RSI_Periods +1, MATCH("Adj Close", Price_Header,0))): INDIRECT(ADDRESS(ROW($F12),MATCH("Adj Close", Price_Header,0)))))</f>
        <v/>
      </c>
      <c r="K12" s="147" t="str">
        <f ca="1">IF(tbl_ORCL[[#This Row],[BB_Mean]]="", "", tbl_ORCL[[#This Row],[BB_Mean]]+(2*tbl_ORCL[[#This Row],[BB_Stdev]]))</f>
        <v/>
      </c>
      <c r="L12" s="147" t="str">
        <f ca="1">IF(tbl_ORCL[[#This Row],[BB_Mean]]="", "", tbl_ORCL[[#This Row],[BB_Mean]]-(2*tbl_ORCL[[#This Row],[BB_Stdev]]))</f>
        <v/>
      </c>
      <c r="M12" s="151">
        <f>IF(ROW(tbl_ORCL[[#This Row],[Adj Close]])=5, 0, $F12-$F11)</f>
        <v>1.0200010000000006</v>
      </c>
      <c r="N12" s="151">
        <f>MAX(tbl_ORCL[[#This Row],[Move]],0)</f>
        <v>1.0200010000000006</v>
      </c>
      <c r="O12" s="151">
        <f>MAX(-tbl_ORCL[[#This Row],[Move]],0)</f>
        <v>0</v>
      </c>
      <c r="P12" s="151" t="str">
        <f ca="1">IF(ROW($N12)-5&lt;RSI_Periods, "", AVERAGE(INDIRECT(ADDRESS(ROW($N12)-RSI_Periods +1, MATCH("Upmove", Price_Header,0))): INDIRECT(ADDRESS(ROW($N12),MATCH("Upmove", Price_Header,0)))))</f>
        <v/>
      </c>
      <c r="Q12" s="151" t="str">
        <f ca="1">IF(ROW($O12)-5&lt;RSI_Periods, "", AVERAGE(INDIRECT(ADDRESS(ROW($O12)-RSI_Periods +1, MATCH("Downmove", Price_Header,0))): INDIRECT(ADDRESS(ROW($O12),MATCH("Downmove", Price_Header,0)))))</f>
        <v/>
      </c>
      <c r="R12" s="151" t="str">
        <f ca="1">IF(tbl_ORCL[[#This Row],[Avg_Upmove]]="", "", tbl_ORCL[[#This Row],[Avg_Upmove]]/tbl_ORCL[[#This Row],[Avg_Downmove]])</f>
        <v/>
      </c>
      <c r="S12" s="147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130">
        <v>44063</v>
      </c>
      <c r="B13" s="147">
        <v>55.59</v>
      </c>
      <c r="C13" s="147">
        <v>55.810001</v>
      </c>
      <c r="D13" s="147">
        <v>55.09</v>
      </c>
      <c r="E13" s="147">
        <v>55.259998000000003</v>
      </c>
      <c r="F13" s="147">
        <v>55.259998000000003</v>
      </c>
      <c r="G13" s="129">
        <v>10974800</v>
      </c>
      <c r="H13" s="147">
        <f>IF(tbl_ORCL[[#This Row],[Date]]=$A$5, $F13, EMA_Beta*$H12 + (1-EMA_Beta)*$F13)</f>
        <v>54.859741235354598</v>
      </c>
      <c r="I13" s="151" t="str">
        <f ca="1">IF(tbl_ORCL[[#This Row],[RS]]= "", "", 100-(100/(1+tbl_ORCL[[#This Row],[RS]])))</f>
        <v/>
      </c>
      <c r="J13" s="147" t="str">
        <f ca="1">IF(ROW($N13)-4&lt;BB_Periods, "", AVERAGE(INDIRECT(ADDRESS(ROW($F13)-RSI_Periods +1, MATCH("Adj Close", Price_Header,0))): INDIRECT(ADDRESS(ROW($F13),MATCH("Adj Close", Price_Header,0)))))</f>
        <v/>
      </c>
      <c r="K13" s="147" t="str">
        <f ca="1">IF(tbl_ORCL[[#This Row],[BB_Mean]]="", "", tbl_ORCL[[#This Row],[BB_Mean]]+(2*tbl_ORCL[[#This Row],[BB_Stdev]]))</f>
        <v/>
      </c>
      <c r="L13" s="147" t="str">
        <f ca="1">IF(tbl_ORCL[[#This Row],[BB_Mean]]="", "", tbl_ORCL[[#This Row],[BB_Mean]]-(2*tbl_ORCL[[#This Row],[BB_Stdev]]))</f>
        <v/>
      </c>
      <c r="M13" s="151">
        <f>IF(ROW(tbl_ORCL[[#This Row],[Adj Close]])=5, 0, $F13-$F12)</f>
        <v>-0.94000299999999726</v>
      </c>
      <c r="N13" s="151">
        <f>MAX(tbl_ORCL[[#This Row],[Move]],0)</f>
        <v>0</v>
      </c>
      <c r="O13" s="151">
        <f>MAX(-tbl_ORCL[[#This Row],[Move]],0)</f>
        <v>0.94000299999999726</v>
      </c>
      <c r="P13" s="151" t="str">
        <f ca="1">IF(ROW($N13)-5&lt;RSI_Periods, "", AVERAGE(INDIRECT(ADDRESS(ROW($N13)-RSI_Periods +1, MATCH("Upmove", Price_Header,0))): INDIRECT(ADDRESS(ROW($N13),MATCH("Upmove", Price_Header,0)))))</f>
        <v/>
      </c>
      <c r="Q13" s="151" t="str">
        <f ca="1">IF(ROW($O13)-5&lt;RSI_Periods, "", AVERAGE(INDIRECT(ADDRESS(ROW($O13)-RSI_Periods +1, MATCH("Downmove", Price_Header,0))): INDIRECT(ADDRESS(ROW($O13),MATCH("Downmove", Price_Header,0)))))</f>
        <v/>
      </c>
      <c r="R13" s="151" t="str">
        <f ca="1">IF(tbl_ORCL[[#This Row],[Avg_Upmove]]="", "", tbl_ORCL[[#This Row],[Avg_Upmove]]/tbl_ORCL[[#This Row],[Avg_Downmove]])</f>
        <v/>
      </c>
      <c r="S13" s="147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130">
        <v>44064</v>
      </c>
      <c r="B14" s="147">
        <v>55.380001</v>
      </c>
      <c r="C14" s="147">
        <v>55.450001</v>
      </c>
      <c r="D14" s="147">
        <v>54.73</v>
      </c>
      <c r="E14" s="147">
        <v>55.189999</v>
      </c>
      <c r="F14" s="147">
        <v>55.189999</v>
      </c>
      <c r="G14" s="129">
        <v>9552000</v>
      </c>
      <c r="H14" s="147">
        <f>IF(tbl_ORCL[[#This Row],[Date]]=$A$5, $F14, EMA_Beta*$H13 + (1-EMA_Beta)*$F14)</f>
        <v>54.892767011819139</v>
      </c>
      <c r="I14" s="151" t="str">
        <f ca="1">IF(tbl_ORCL[[#This Row],[RS]]= "", "", 100-(100/(1+tbl_ORCL[[#This Row],[RS]])))</f>
        <v/>
      </c>
      <c r="J14" s="147" t="str">
        <f ca="1">IF(ROW($N14)-4&lt;BB_Periods, "", AVERAGE(INDIRECT(ADDRESS(ROW($F14)-RSI_Periods +1, MATCH("Adj Close", Price_Header,0))): INDIRECT(ADDRESS(ROW($F14),MATCH("Adj Close", Price_Header,0)))))</f>
        <v/>
      </c>
      <c r="K14" s="147" t="str">
        <f ca="1">IF(tbl_ORCL[[#This Row],[BB_Mean]]="", "", tbl_ORCL[[#This Row],[BB_Mean]]+(2*tbl_ORCL[[#This Row],[BB_Stdev]]))</f>
        <v/>
      </c>
      <c r="L14" s="147" t="str">
        <f ca="1">IF(tbl_ORCL[[#This Row],[BB_Mean]]="", "", tbl_ORCL[[#This Row],[BB_Mean]]-(2*tbl_ORCL[[#This Row],[BB_Stdev]]))</f>
        <v/>
      </c>
      <c r="M14" s="151">
        <f>IF(ROW(tbl_ORCL[[#This Row],[Adj Close]])=5, 0, $F14-$F13)</f>
        <v>-6.9999000000002809E-2</v>
      </c>
      <c r="N14" s="151">
        <f>MAX(tbl_ORCL[[#This Row],[Move]],0)</f>
        <v>0</v>
      </c>
      <c r="O14" s="151">
        <f>MAX(-tbl_ORCL[[#This Row],[Move]],0)</f>
        <v>6.9999000000002809E-2</v>
      </c>
      <c r="P14" s="151" t="str">
        <f ca="1">IF(ROW($N14)-5&lt;RSI_Periods, "", AVERAGE(INDIRECT(ADDRESS(ROW($N14)-RSI_Periods +1, MATCH("Upmove", Price_Header,0))): INDIRECT(ADDRESS(ROW($N14),MATCH("Upmove", Price_Header,0)))))</f>
        <v/>
      </c>
      <c r="Q14" s="151" t="str">
        <f ca="1">IF(ROW($O14)-5&lt;RSI_Periods, "", AVERAGE(INDIRECT(ADDRESS(ROW($O14)-RSI_Periods +1, MATCH("Downmove", Price_Header,0))): INDIRECT(ADDRESS(ROW($O14),MATCH("Downmove", Price_Header,0)))))</f>
        <v/>
      </c>
      <c r="R14" s="151" t="str">
        <f ca="1">IF(tbl_ORCL[[#This Row],[Avg_Upmove]]="", "", tbl_ORCL[[#This Row],[Avg_Upmove]]/tbl_ORCL[[#This Row],[Avg_Downmove]])</f>
        <v/>
      </c>
      <c r="S14" s="147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130">
        <v>44067</v>
      </c>
      <c r="B15" s="147">
        <v>55.759998000000003</v>
      </c>
      <c r="C15" s="147">
        <v>56.110000999999997</v>
      </c>
      <c r="D15" s="147">
        <v>55.439999</v>
      </c>
      <c r="E15" s="147">
        <v>56.009998000000003</v>
      </c>
      <c r="F15" s="147">
        <v>56.009998000000003</v>
      </c>
      <c r="G15" s="129">
        <v>7892100</v>
      </c>
      <c r="H15" s="147">
        <f>IF(tbl_ORCL[[#This Row],[Date]]=$A$5, $F15, EMA_Beta*$H14 + (1-EMA_Beta)*$F15)</f>
        <v>55.004490110637221</v>
      </c>
      <c r="I15" s="151" t="str">
        <f ca="1">IF(tbl_ORCL[[#This Row],[RS]]= "", "", 100-(100/(1+tbl_ORCL[[#This Row],[RS]])))</f>
        <v/>
      </c>
      <c r="J15" s="147" t="str">
        <f ca="1">IF(ROW($N15)-4&lt;BB_Periods, "", AVERAGE(INDIRECT(ADDRESS(ROW($F15)-RSI_Periods +1, MATCH("Adj Close", Price_Header,0))): INDIRECT(ADDRESS(ROW($F15),MATCH("Adj Close", Price_Header,0)))))</f>
        <v/>
      </c>
      <c r="K15" s="147" t="str">
        <f ca="1">IF(tbl_ORCL[[#This Row],[BB_Mean]]="", "", tbl_ORCL[[#This Row],[BB_Mean]]+(2*tbl_ORCL[[#This Row],[BB_Stdev]]))</f>
        <v/>
      </c>
      <c r="L15" s="147" t="str">
        <f ca="1">IF(tbl_ORCL[[#This Row],[BB_Mean]]="", "", tbl_ORCL[[#This Row],[BB_Mean]]-(2*tbl_ORCL[[#This Row],[BB_Stdev]]))</f>
        <v/>
      </c>
      <c r="M15" s="151">
        <f>IF(ROW(tbl_ORCL[[#This Row],[Adj Close]])=5, 0, $F15-$F14)</f>
        <v>0.81999900000000281</v>
      </c>
      <c r="N15" s="151">
        <f>MAX(tbl_ORCL[[#This Row],[Move]],0)</f>
        <v>0.81999900000000281</v>
      </c>
      <c r="O15" s="151">
        <f>MAX(-tbl_ORCL[[#This Row],[Move]],0)</f>
        <v>0</v>
      </c>
      <c r="P15" s="151" t="str">
        <f ca="1">IF(ROW($N15)-5&lt;RSI_Periods, "", AVERAGE(INDIRECT(ADDRESS(ROW($N15)-RSI_Periods +1, MATCH("Upmove", Price_Header,0))): INDIRECT(ADDRESS(ROW($N15),MATCH("Upmove", Price_Header,0)))))</f>
        <v/>
      </c>
      <c r="Q15" s="151" t="str">
        <f ca="1">IF(ROW($O15)-5&lt;RSI_Periods, "", AVERAGE(INDIRECT(ADDRESS(ROW($O15)-RSI_Periods +1, MATCH("Downmove", Price_Header,0))): INDIRECT(ADDRESS(ROW($O15),MATCH("Downmove", Price_Header,0)))))</f>
        <v/>
      </c>
      <c r="R15" s="151" t="str">
        <f ca="1">IF(tbl_ORCL[[#This Row],[Avg_Upmove]]="", "", tbl_ORCL[[#This Row],[Avg_Upmove]]/tbl_ORCL[[#This Row],[Avg_Downmove]])</f>
        <v/>
      </c>
      <c r="S15" s="147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130">
        <v>44068</v>
      </c>
      <c r="B16" s="147">
        <v>56.150002000000001</v>
      </c>
      <c r="C16" s="147">
        <v>56.75</v>
      </c>
      <c r="D16" s="147">
        <v>56.02</v>
      </c>
      <c r="E16" s="147">
        <v>56.09</v>
      </c>
      <c r="F16" s="147">
        <v>56.09</v>
      </c>
      <c r="G16" s="129">
        <v>7427000</v>
      </c>
      <c r="H16" s="147">
        <f>IF(tbl_ORCL[[#This Row],[Date]]=$A$5, $F16, EMA_Beta*$H15 + (1-EMA_Beta)*$F16)</f>
        <v>55.113041099573501</v>
      </c>
      <c r="I16" s="151" t="str">
        <f ca="1">IF(tbl_ORCL[[#This Row],[RS]]= "", "", 100-(100/(1+tbl_ORCL[[#This Row],[RS]])))</f>
        <v/>
      </c>
      <c r="J16" s="147" t="str">
        <f ca="1">IF(ROW($N16)-4&lt;BB_Periods, "", AVERAGE(INDIRECT(ADDRESS(ROW($F16)-RSI_Periods +1, MATCH("Adj Close", Price_Header,0))): INDIRECT(ADDRESS(ROW($F16),MATCH("Adj Close", Price_Header,0)))))</f>
        <v/>
      </c>
      <c r="K16" s="147" t="str">
        <f ca="1">IF(tbl_ORCL[[#This Row],[BB_Mean]]="", "", tbl_ORCL[[#This Row],[BB_Mean]]+(2*tbl_ORCL[[#This Row],[BB_Stdev]]))</f>
        <v/>
      </c>
      <c r="L16" s="147" t="str">
        <f ca="1">IF(tbl_ORCL[[#This Row],[BB_Mean]]="", "", tbl_ORCL[[#This Row],[BB_Mean]]-(2*tbl_ORCL[[#This Row],[BB_Stdev]]))</f>
        <v/>
      </c>
      <c r="M16" s="151">
        <f>IF(ROW(tbl_ORCL[[#This Row],[Adj Close]])=5, 0, $F16-$F15)</f>
        <v>8.0002000000000351E-2</v>
      </c>
      <c r="N16" s="151">
        <f>MAX(tbl_ORCL[[#This Row],[Move]],0)</f>
        <v>8.0002000000000351E-2</v>
      </c>
      <c r="O16" s="151">
        <f>MAX(-tbl_ORCL[[#This Row],[Move]],0)</f>
        <v>0</v>
      </c>
      <c r="P16" s="151" t="str">
        <f ca="1">IF(ROW($N16)-5&lt;RSI_Periods, "", AVERAGE(INDIRECT(ADDRESS(ROW($N16)-RSI_Periods +1, MATCH("Upmove", Price_Header,0))): INDIRECT(ADDRESS(ROW($N16),MATCH("Upmove", Price_Header,0)))))</f>
        <v/>
      </c>
      <c r="Q16" s="151" t="str">
        <f ca="1">IF(ROW($O16)-5&lt;RSI_Periods, "", AVERAGE(INDIRECT(ADDRESS(ROW($O16)-RSI_Periods +1, MATCH("Downmove", Price_Header,0))): INDIRECT(ADDRESS(ROW($O16),MATCH("Downmove", Price_Header,0)))))</f>
        <v/>
      </c>
      <c r="R16" s="151" t="str">
        <f ca="1">IF(tbl_ORCL[[#This Row],[Avg_Upmove]]="", "", tbl_ORCL[[#This Row],[Avg_Upmove]]/tbl_ORCL[[#This Row],[Avg_Downmove]])</f>
        <v/>
      </c>
      <c r="S16" s="147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130">
        <v>44069</v>
      </c>
      <c r="B17" s="147">
        <v>56.34</v>
      </c>
      <c r="C17" s="147">
        <v>57.490001999999997</v>
      </c>
      <c r="D17" s="147">
        <v>56.060001</v>
      </c>
      <c r="E17" s="147">
        <v>57.490001999999997</v>
      </c>
      <c r="F17" s="147">
        <v>57.490001999999997</v>
      </c>
      <c r="G17" s="129">
        <v>11597600</v>
      </c>
      <c r="H17" s="147">
        <f>IF(tbl_ORCL[[#This Row],[Date]]=$A$5, $F17, EMA_Beta*$H16 + (1-EMA_Beta)*$F17)</f>
        <v>55.350737189616147</v>
      </c>
      <c r="I17" s="151" t="str">
        <f ca="1">IF(tbl_ORCL[[#This Row],[RS]]= "", "", 100-(100/(1+tbl_ORCL[[#This Row],[RS]])))</f>
        <v/>
      </c>
      <c r="J17" s="147" t="str">
        <f ca="1">IF(ROW($N17)-4&lt;BB_Periods, "", AVERAGE(INDIRECT(ADDRESS(ROW($F17)-RSI_Periods +1, MATCH("Adj Close", Price_Header,0))): INDIRECT(ADDRESS(ROW($F17),MATCH("Adj Close", Price_Header,0)))))</f>
        <v/>
      </c>
      <c r="K17" s="147" t="str">
        <f ca="1">IF(tbl_ORCL[[#This Row],[BB_Mean]]="", "", tbl_ORCL[[#This Row],[BB_Mean]]+(2*tbl_ORCL[[#This Row],[BB_Stdev]]))</f>
        <v/>
      </c>
      <c r="L17" s="147" t="str">
        <f ca="1">IF(tbl_ORCL[[#This Row],[BB_Mean]]="", "", tbl_ORCL[[#This Row],[BB_Mean]]-(2*tbl_ORCL[[#This Row],[BB_Stdev]]))</f>
        <v/>
      </c>
      <c r="M17" s="151">
        <f>IF(ROW(tbl_ORCL[[#This Row],[Adj Close]])=5, 0, $F17-$F16)</f>
        <v>1.4000019999999935</v>
      </c>
      <c r="N17" s="151">
        <f>MAX(tbl_ORCL[[#This Row],[Move]],0)</f>
        <v>1.4000019999999935</v>
      </c>
      <c r="O17" s="151">
        <f>MAX(-tbl_ORCL[[#This Row],[Move]],0)</f>
        <v>0</v>
      </c>
      <c r="P17" s="151" t="str">
        <f ca="1">IF(ROW($N17)-5&lt;RSI_Periods, "", AVERAGE(INDIRECT(ADDRESS(ROW($N17)-RSI_Periods +1, MATCH("Upmove", Price_Header,0))): INDIRECT(ADDRESS(ROW($N17),MATCH("Upmove", Price_Header,0)))))</f>
        <v/>
      </c>
      <c r="Q17" s="151" t="str">
        <f ca="1">IF(ROW($O17)-5&lt;RSI_Periods, "", AVERAGE(INDIRECT(ADDRESS(ROW($O17)-RSI_Periods +1, MATCH("Downmove", Price_Header,0))): INDIRECT(ADDRESS(ROW($O17),MATCH("Downmove", Price_Header,0)))))</f>
        <v/>
      </c>
      <c r="R17" s="151" t="str">
        <f ca="1">IF(tbl_ORCL[[#This Row],[Avg_Upmove]]="", "", tbl_ORCL[[#This Row],[Avg_Upmove]]/tbl_ORCL[[#This Row],[Avg_Downmove]])</f>
        <v/>
      </c>
      <c r="S17" s="147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130">
        <v>44070</v>
      </c>
      <c r="B18" s="147">
        <v>57.450001</v>
      </c>
      <c r="C18" s="147">
        <v>58.450001</v>
      </c>
      <c r="D18" s="147">
        <v>56.580002</v>
      </c>
      <c r="E18" s="147">
        <v>57.18</v>
      </c>
      <c r="F18" s="147">
        <v>57.18</v>
      </c>
      <c r="G18" s="129">
        <v>15834700</v>
      </c>
      <c r="H18" s="147">
        <f>IF(tbl_ORCL[[#This Row],[Date]]=$A$5, $F18, EMA_Beta*$H17 + (1-EMA_Beta)*$F18)</f>
        <v>55.533663470654531</v>
      </c>
      <c r="I18" s="151" t="str">
        <f ca="1">IF(tbl_ORCL[[#This Row],[RS]]= "", "", 100-(100/(1+tbl_ORCL[[#This Row],[RS]])))</f>
        <v/>
      </c>
      <c r="J18" s="147">
        <f ca="1">IF(ROW($N18)-4&lt;BB_Periods, "", AVERAGE(INDIRECT(ADDRESS(ROW($F18)-RSI_Periods +1, MATCH("Adj Close", Price_Header,0))): INDIRECT(ADDRESS(ROW($F18),MATCH("Adj Close", Price_Header,0)))))</f>
        <v>55.299285571428577</v>
      </c>
      <c r="K18" s="147">
        <f ca="1">IF(tbl_ORCL[[#This Row],[BB_Mean]]="", "", tbl_ORCL[[#This Row],[BB_Mean]]+(2*tbl_ORCL[[#This Row],[BB_Stdev]]))</f>
        <v>57.608377884225597</v>
      </c>
      <c r="L18" s="147">
        <f ca="1">IF(tbl_ORCL[[#This Row],[BB_Mean]]="", "", tbl_ORCL[[#This Row],[BB_Mean]]-(2*tbl_ORCL[[#This Row],[BB_Stdev]]))</f>
        <v>52.990193258631557</v>
      </c>
      <c r="M18" s="151">
        <f>IF(ROW(tbl_ORCL[[#This Row],[Adj Close]])=5, 0, $F18-$F17)</f>
        <v>-0.31000199999999722</v>
      </c>
      <c r="N18" s="151">
        <f>MAX(tbl_ORCL[[#This Row],[Move]],0)</f>
        <v>0</v>
      </c>
      <c r="O18" s="151">
        <f>MAX(-tbl_ORCL[[#This Row],[Move]],0)</f>
        <v>0.31000199999999722</v>
      </c>
      <c r="P18" s="151" t="str">
        <f ca="1">IF(ROW($N18)-5&lt;RSI_Periods, "", AVERAGE(INDIRECT(ADDRESS(ROW($N18)-RSI_Periods +1, MATCH("Upmove", Price_Header,0))): INDIRECT(ADDRESS(ROW($N18),MATCH("Upmove", Price_Header,0)))))</f>
        <v/>
      </c>
      <c r="Q18" s="151" t="str">
        <f ca="1">IF(ROW($O18)-5&lt;RSI_Periods, "", AVERAGE(INDIRECT(ADDRESS(ROW($O18)-RSI_Periods +1, MATCH("Downmove", Price_Header,0))): INDIRECT(ADDRESS(ROW($O18),MATCH("Downmove", Price_Header,0)))))</f>
        <v/>
      </c>
      <c r="R18" s="151" t="str">
        <f ca="1">IF(tbl_ORCL[[#This Row],[Avg_Upmove]]="", "", tbl_ORCL[[#This Row],[Avg_Upmove]]/tbl_ORCL[[#This Row],[Avg_Downmove]])</f>
        <v/>
      </c>
      <c r="S18" s="147">
        <f ca="1">IF(ROW($N18)-4&lt;BB_Periods, "", _xlfn.STDEV.S(INDIRECT(ADDRESS(ROW($F18)-RSI_Periods +1, MATCH("Adj Close", Price_Header,0))): INDIRECT(ADDRESS(ROW($F18),MATCH("Adj Close", Price_Header,0)))))</f>
        <v>1.1545461563985091</v>
      </c>
    </row>
    <row r="19" spans="1:19" x14ac:dyDescent="0.25">
      <c r="A19" s="130">
        <v>44071</v>
      </c>
      <c r="B19" s="147">
        <v>57.330002</v>
      </c>
      <c r="C19" s="147">
        <v>58.16</v>
      </c>
      <c r="D19" s="147">
        <v>57.209999000000003</v>
      </c>
      <c r="E19" s="147">
        <v>57.880001</v>
      </c>
      <c r="F19" s="147">
        <v>57.880001</v>
      </c>
      <c r="G19" s="129">
        <v>8613800</v>
      </c>
      <c r="H19" s="147">
        <f>IF(tbl_ORCL[[#This Row],[Date]]=$A$5, $F19, EMA_Beta*$H18 + (1-EMA_Beta)*$F19)</f>
        <v>55.76829722358908</v>
      </c>
      <c r="I19" s="151">
        <f ca="1">IF(tbl_ORCL[[#This Row],[RS]]= "", "", 100-(100/(1+tbl_ORCL[[#This Row],[RS]])))</f>
        <v>68.749998405613468</v>
      </c>
      <c r="J19" s="147">
        <f ca="1">IF(ROW($N19)-4&lt;BB_Periods, "", AVERAGE(INDIRECT(ADDRESS(ROW($F19)-RSI_Periods +1, MATCH("Adj Close", Price_Header,0))): INDIRECT(ADDRESS(ROW($F19),MATCH("Adj Close", Price_Header,0)))))</f>
        <v>55.509285714285717</v>
      </c>
      <c r="K19" s="147">
        <f ca="1">IF(tbl_ORCL[[#This Row],[BB_Mean]]="", "", tbl_ORCL[[#This Row],[BB_Mean]]+(2*tbl_ORCL[[#This Row],[BB_Stdev]]))</f>
        <v>58.183510444337507</v>
      </c>
      <c r="L19" s="147">
        <f ca="1">IF(tbl_ORCL[[#This Row],[BB_Mean]]="", "", tbl_ORCL[[#This Row],[BB_Mean]]-(2*tbl_ORCL[[#This Row],[BB_Stdev]]))</f>
        <v>52.835060984233927</v>
      </c>
      <c r="M19" s="151">
        <f>IF(ROW(tbl_ORCL[[#This Row],[Adj Close]])=5, 0, $F19-$F18)</f>
        <v>0.70000100000000032</v>
      </c>
      <c r="N19" s="151">
        <f>MAX(tbl_ORCL[[#This Row],[Move]],0)</f>
        <v>0.70000100000000032</v>
      </c>
      <c r="O19" s="151">
        <f>MAX(-tbl_ORCL[[#This Row],[Move]],0)</f>
        <v>0</v>
      </c>
      <c r="P19" s="151">
        <f ca="1">IF(ROW($N19)-5&lt;RSI_Periods, "", AVERAGE(INDIRECT(ADDRESS(ROW($N19)-RSI_Periods +1, MATCH("Upmove", Price_Header,0))): INDIRECT(ADDRESS(ROW($N19),MATCH("Upmove", Price_Header,0)))))</f>
        <v>0.38500028571428552</v>
      </c>
      <c r="Q19" s="151">
        <f ca="1">IF(ROW($O19)-5&lt;RSI_Periods, "", AVERAGE(INDIRECT(ADDRESS(ROW($O19)-RSI_Periods +1, MATCH("Downmove", Price_Header,0))): INDIRECT(ADDRESS(ROW($O19),MATCH("Downmove", Price_Header,0)))))</f>
        <v>0.17500014285714269</v>
      </c>
      <c r="R19" s="151">
        <f ca="1">IF(tbl_ORCL[[#This Row],[Avg_Upmove]]="", "", tbl_ORCL[[#This Row],[Avg_Upmove]]/tbl_ORCL[[#This Row],[Avg_Downmove]])</f>
        <v>2.1999998367348281</v>
      </c>
      <c r="S19" s="147">
        <f ca="1">IF(ROW($N19)-4&lt;BB_Periods, "", _xlfn.STDEV.S(INDIRECT(ADDRESS(ROW($F19)-RSI_Periods +1, MATCH("Adj Close", Price_Header,0))): INDIRECT(ADDRESS(ROW($F19),MATCH("Adj Close", Price_Header,0)))))</f>
        <v>1.3371123650258947</v>
      </c>
    </row>
    <row r="20" spans="1:19" x14ac:dyDescent="0.25">
      <c r="A20" s="130">
        <v>44074</v>
      </c>
      <c r="B20" s="147">
        <v>57.130001</v>
      </c>
      <c r="C20" s="147">
        <v>57.759998000000003</v>
      </c>
      <c r="D20" s="147">
        <v>57.040000999999997</v>
      </c>
      <c r="E20" s="147">
        <v>57.220001000000003</v>
      </c>
      <c r="F20" s="147">
        <v>57.220001000000003</v>
      </c>
      <c r="G20" s="129">
        <v>18683500</v>
      </c>
      <c r="H20" s="147">
        <f>IF(tbl_ORCL[[#This Row],[Date]]=$A$5, $F20, EMA_Beta*$H19 + (1-EMA_Beta)*$F20)</f>
        <v>55.913467601230167</v>
      </c>
      <c r="I20" s="151">
        <f ca="1">IF(tbl_ORCL[[#This Row],[RS]]= "", "", 100-(100/(1+tbl_ORCL[[#This Row],[RS]])))</f>
        <v>68.837792865319287</v>
      </c>
      <c r="J20" s="147">
        <f ca="1">IF(ROW($N20)-4&lt;BB_Periods, "", AVERAGE(INDIRECT(ADDRESS(ROW($F20)-RSI_Periods +1, MATCH("Adj Close", Price_Header,0))): INDIRECT(ADDRESS(ROW($F20),MATCH("Adj Close", Price_Header,0)))))</f>
        <v>55.720000071428565</v>
      </c>
      <c r="K20" s="147">
        <f ca="1">IF(tbl_ORCL[[#This Row],[BB_Mean]]="", "", tbl_ORCL[[#This Row],[BB_Mean]]+(2*tbl_ORCL[[#This Row],[BB_Stdev]]))</f>
        <v>58.438111029713035</v>
      </c>
      <c r="L20" s="147">
        <f ca="1">IF(tbl_ORCL[[#This Row],[BB_Mean]]="", "", tbl_ORCL[[#This Row],[BB_Mean]]-(2*tbl_ORCL[[#This Row],[BB_Stdev]]))</f>
        <v>53.001889113144095</v>
      </c>
      <c r="M20" s="151">
        <f>IF(ROW(tbl_ORCL[[#This Row],[Adj Close]])=5, 0, $F20-$F19)</f>
        <v>-0.65999999999999659</v>
      </c>
      <c r="N20" s="151">
        <f>MAX(tbl_ORCL[[#This Row],[Move]],0)</f>
        <v>0</v>
      </c>
      <c r="O20" s="151">
        <f>MAX(-tbl_ORCL[[#This Row],[Move]],0)</f>
        <v>0.65999999999999659</v>
      </c>
      <c r="P20" s="151">
        <f ca="1">IF(ROW($N20)-5&lt;RSI_Periods, "", AVERAGE(INDIRECT(ADDRESS(ROW($N20)-RSI_Periods +1, MATCH("Upmove", Price_Header,0))): INDIRECT(ADDRESS(ROW($N20),MATCH("Upmove", Price_Header,0)))))</f>
        <v>0.38500028571428552</v>
      </c>
      <c r="Q20" s="151">
        <f ca="1">IF(ROW($O20)-5&lt;RSI_Periods, "", AVERAGE(INDIRECT(ADDRESS(ROW($O20)-RSI_Periods +1, MATCH("Downmove", Price_Header,0))): INDIRECT(ADDRESS(ROW($O20),MATCH("Downmove", Price_Header,0)))))</f>
        <v>0.17428592857142838</v>
      </c>
      <c r="R20" s="151">
        <f ca="1">IF(tbl_ORCL[[#This Row],[Avg_Upmove]]="", "", tbl_ORCL[[#This Row],[Avg_Upmove]]/tbl_ORCL[[#This Row],[Avg_Downmove]])</f>
        <v>2.209015316784448</v>
      </c>
      <c r="S20" s="147">
        <f ca="1">IF(ROW($N20)-4&lt;BB_Periods, "", _xlfn.STDEV.S(INDIRECT(ADDRESS(ROW($F20)-RSI_Periods +1, MATCH("Adj Close", Price_Header,0))): INDIRECT(ADDRESS(ROW($F20),MATCH("Adj Close", Price_Header,0)))))</f>
        <v>1.3590554791422362</v>
      </c>
    </row>
    <row r="21" spans="1:19" x14ac:dyDescent="0.25">
      <c r="A21" s="130">
        <v>44075</v>
      </c>
      <c r="B21" s="147">
        <v>57.369999</v>
      </c>
      <c r="C21" s="147">
        <v>58.009998000000003</v>
      </c>
      <c r="D21" s="147">
        <v>57.080002</v>
      </c>
      <c r="E21" s="147">
        <v>57.66</v>
      </c>
      <c r="F21" s="147">
        <v>57.66</v>
      </c>
      <c r="G21" s="129">
        <v>10170900</v>
      </c>
      <c r="H21" s="147">
        <f>IF(tbl_ORCL[[#This Row],[Date]]=$A$5, $F21, EMA_Beta*$H20 + (1-EMA_Beta)*$F21)</f>
        <v>56.088120841107148</v>
      </c>
      <c r="I21" s="151">
        <f ca="1">IF(tbl_ORCL[[#This Row],[RS]]= "", "", 100-(100/(1+tbl_ORCL[[#This Row],[RS]])))</f>
        <v>71.358630913767016</v>
      </c>
      <c r="J21" s="147">
        <f ca="1">IF(ROW($N21)-4&lt;BB_Periods, "", AVERAGE(INDIRECT(ADDRESS(ROW($F21)-RSI_Periods +1, MATCH("Adj Close", Price_Header,0))): INDIRECT(ADDRESS(ROW($F21),MATCH("Adj Close", Price_Header,0)))))</f>
        <v>55.969285928571423</v>
      </c>
      <c r="K21" s="147">
        <f ca="1">IF(tbl_ORCL[[#This Row],[BB_Mean]]="", "", tbl_ORCL[[#This Row],[BB_Mean]]+(2*tbl_ORCL[[#This Row],[BB_Stdev]]))</f>
        <v>58.715051815922003</v>
      </c>
      <c r="L21" s="147">
        <f ca="1">IF(tbl_ORCL[[#This Row],[BB_Mean]]="", "", tbl_ORCL[[#This Row],[BB_Mean]]-(2*tbl_ORCL[[#This Row],[BB_Stdev]]))</f>
        <v>53.223520041220844</v>
      </c>
      <c r="M21" s="151">
        <f>IF(ROW(tbl_ORCL[[#This Row],[Adj Close]])=5, 0, $F21-$F20)</f>
        <v>0.43999899999999315</v>
      </c>
      <c r="N21" s="151">
        <f>MAX(tbl_ORCL[[#This Row],[Move]],0)</f>
        <v>0.43999899999999315</v>
      </c>
      <c r="O21" s="151">
        <f>MAX(-tbl_ORCL[[#This Row],[Move]],0)</f>
        <v>0</v>
      </c>
      <c r="P21" s="151">
        <f ca="1">IF(ROW($N21)-5&lt;RSI_Periods, "", AVERAGE(INDIRECT(ADDRESS(ROW($N21)-RSI_Periods +1, MATCH("Upmove", Price_Header,0))): INDIRECT(ADDRESS(ROW($N21),MATCH("Upmove", Price_Header,0)))))</f>
        <v>0.41642878571428504</v>
      </c>
      <c r="Q21" s="151">
        <f ca="1">IF(ROW($O21)-5&lt;RSI_Periods, "", AVERAGE(INDIRECT(ADDRESS(ROW($O21)-RSI_Periods +1, MATCH("Downmove", Price_Header,0))): INDIRECT(ADDRESS(ROW($O21),MATCH("Downmove", Price_Header,0)))))</f>
        <v>0.16714292857142812</v>
      </c>
      <c r="R21" s="151">
        <f ca="1">IF(tbl_ORCL[[#This Row],[Avg_Upmove]]="", "", tbl_ORCL[[#This Row],[Avg_Upmove]]/tbl_ORCL[[#This Row],[Avg_Downmove]])</f>
        <v>2.4914532087806829</v>
      </c>
      <c r="S21" s="147">
        <f ca="1">IF(ROW($N21)-4&lt;BB_Periods, "", _xlfn.STDEV.S(INDIRECT(ADDRESS(ROW($F21)-RSI_Periods +1, MATCH("Adj Close", Price_Header,0))): INDIRECT(ADDRESS(ROW($F21),MATCH("Adj Close", Price_Header,0)))))</f>
        <v>1.3728829436752905</v>
      </c>
    </row>
    <row r="22" spans="1:19" x14ac:dyDescent="0.25">
      <c r="A22" s="130">
        <v>44076</v>
      </c>
      <c r="B22" s="147">
        <v>57.720001000000003</v>
      </c>
      <c r="C22" s="147">
        <v>59.32</v>
      </c>
      <c r="D22" s="147">
        <v>57.720001000000003</v>
      </c>
      <c r="E22" s="147">
        <v>59.029998999999997</v>
      </c>
      <c r="F22" s="147">
        <v>59.029998999999997</v>
      </c>
      <c r="G22" s="129">
        <v>14342800</v>
      </c>
      <c r="H22" s="147">
        <f>IF(tbl_ORCL[[#This Row],[Date]]=$A$5, $F22, EMA_Beta*$H21 + (1-EMA_Beta)*$F22)</f>
        <v>56.382308656996429</v>
      </c>
      <c r="I22" s="151">
        <f ca="1">IF(tbl_ORCL[[#This Row],[RS]]= "", "", 100-(100/(1+tbl_ORCL[[#This Row],[RS]])))</f>
        <v>76.677296763952739</v>
      </c>
      <c r="J22" s="147">
        <f ca="1">IF(ROW($N22)-4&lt;BB_Periods, "", AVERAGE(INDIRECT(ADDRESS(ROW($F22)-RSI_Periods +1, MATCH("Adj Close", Price_Header,0))): INDIRECT(ADDRESS(ROW($F22),MATCH("Adj Close", Price_Header,0)))))</f>
        <v>56.327142999999992</v>
      </c>
      <c r="K22" s="147">
        <f ca="1">IF(tbl_ORCL[[#This Row],[BB_Mean]]="", "", tbl_ORCL[[#This Row],[BB_Mean]]+(2*tbl_ORCL[[#This Row],[BB_Stdev]]))</f>
        <v>59.276869652563214</v>
      </c>
      <c r="L22" s="147">
        <f ca="1">IF(tbl_ORCL[[#This Row],[BB_Mean]]="", "", tbl_ORCL[[#This Row],[BB_Mean]]-(2*tbl_ORCL[[#This Row],[BB_Stdev]]))</f>
        <v>53.377416347436771</v>
      </c>
      <c r="M22" s="151">
        <f>IF(ROW(tbl_ORCL[[#This Row],[Adj Close]])=5, 0, $F22-$F21)</f>
        <v>1.369999</v>
      </c>
      <c r="N22" s="151">
        <f>MAX(tbl_ORCL[[#This Row],[Move]],0)</f>
        <v>1.369999</v>
      </c>
      <c r="O22" s="151">
        <f>MAX(-tbl_ORCL[[#This Row],[Move]],0)</f>
        <v>0</v>
      </c>
      <c r="P22" s="151">
        <f ca="1">IF(ROW($N22)-5&lt;RSI_Periods, "", AVERAGE(INDIRECT(ADDRESS(ROW($N22)-RSI_Periods +1, MATCH("Upmove", Price_Header,0))): INDIRECT(ADDRESS(ROW($N22),MATCH("Upmove", Price_Header,0)))))</f>
        <v>0.51428585714285646</v>
      </c>
      <c r="Q22" s="151">
        <f ca="1">IF(ROW($O22)-5&lt;RSI_Periods, "", AVERAGE(INDIRECT(ADDRESS(ROW($O22)-RSI_Periods +1, MATCH("Downmove", Price_Header,0))): INDIRECT(ADDRESS(ROW($O22),MATCH("Downmove", Price_Header,0)))))</f>
        <v>0.15642878571428551</v>
      </c>
      <c r="R22" s="151">
        <f ca="1">IF(tbl_ORCL[[#This Row],[Avg_Upmove]]="", "", tbl_ORCL[[#This Row],[Avg_Upmove]]/tbl_ORCL[[#This Row],[Avg_Downmove]])</f>
        <v>3.2876676424644167</v>
      </c>
      <c r="S22" s="147">
        <f ca="1">IF(ROW($N22)-4&lt;BB_Periods, "", _xlfn.STDEV.S(INDIRECT(ADDRESS(ROW($F22)-RSI_Periods +1, MATCH("Adj Close", Price_Header,0))): INDIRECT(ADDRESS(ROW($F22),MATCH("Adj Close", Price_Header,0)))))</f>
        <v>1.4748633262816115</v>
      </c>
    </row>
    <row r="23" spans="1:19" x14ac:dyDescent="0.25">
      <c r="A23" s="130">
        <v>44077</v>
      </c>
      <c r="B23" s="147">
        <v>58.720001000000003</v>
      </c>
      <c r="C23" s="147">
        <v>58.990001999999997</v>
      </c>
      <c r="D23" s="147">
        <v>56.650002000000001</v>
      </c>
      <c r="E23" s="147">
        <v>57.099997999999999</v>
      </c>
      <c r="F23" s="147">
        <v>57.099997999999999</v>
      </c>
      <c r="G23" s="129">
        <v>15387400</v>
      </c>
      <c r="H23" s="147">
        <f>IF(tbl_ORCL[[#This Row],[Date]]=$A$5, $F23, EMA_Beta*$H22 + (1-EMA_Beta)*$F23)</f>
        <v>56.454077591296787</v>
      </c>
      <c r="I23" s="151">
        <f ca="1">IF(tbl_ORCL[[#This Row],[RS]]= "", "", 100-(100/(1+tbl_ORCL[[#This Row],[RS]])))</f>
        <v>63.016138682163977</v>
      </c>
      <c r="J23" s="147">
        <f ca="1">IF(ROW($N23)-4&lt;BB_Periods, "", AVERAGE(INDIRECT(ADDRESS(ROW($F23)-RSI_Periods +1, MATCH("Adj Close", Price_Header,0))): INDIRECT(ADDRESS(ROW($F23),MATCH("Adj Close", Price_Header,0)))))</f>
        <v>56.534285642857142</v>
      </c>
      <c r="K23" s="147">
        <f ca="1">IF(tbl_ORCL[[#This Row],[BB_Mean]]="", "", tbl_ORCL[[#This Row],[BB_Mean]]+(2*tbl_ORCL[[#This Row],[BB_Stdev]]))</f>
        <v>59.237545357505887</v>
      </c>
      <c r="L23" s="147">
        <f ca="1">IF(tbl_ORCL[[#This Row],[BB_Mean]]="", "", tbl_ORCL[[#This Row],[BB_Mean]]-(2*tbl_ORCL[[#This Row],[BB_Stdev]]))</f>
        <v>53.831025928208398</v>
      </c>
      <c r="M23" s="151">
        <f>IF(ROW(tbl_ORCL[[#This Row],[Adj Close]])=5, 0, $F23-$F22)</f>
        <v>-1.9300009999999972</v>
      </c>
      <c r="N23" s="151">
        <f>MAX(tbl_ORCL[[#This Row],[Move]],0)</f>
        <v>0</v>
      </c>
      <c r="O23" s="151">
        <f>MAX(-tbl_ORCL[[#This Row],[Move]],0)</f>
        <v>1.9300009999999972</v>
      </c>
      <c r="P23" s="151">
        <f ca="1">IF(ROW($N23)-5&lt;RSI_Periods, "", AVERAGE(INDIRECT(ADDRESS(ROW($N23)-RSI_Periods +1, MATCH("Upmove", Price_Header,0))): INDIRECT(ADDRESS(ROW($N23),MATCH("Upmove", Price_Header,0)))))</f>
        <v>0.50142864285714239</v>
      </c>
      <c r="Q23" s="151">
        <f ca="1">IF(ROW($O23)-5&lt;RSI_Periods, "", AVERAGE(INDIRECT(ADDRESS(ROW($O23)-RSI_Periods +1, MATCH("Downmove", Price_Header,0))): INDIRECT(ADDRESS(ROW($O23),MATCH("Downmove", Price_Header,0)))))</f>
        <v>0.2942859999999996</v>
      </c>
      <c r="R23" s="151">
        <f ca="1">IF(tbl_ORCL[[#This Row],[Avg_Upmove]]="", "", tbl_ORCL[[#This Row],[Avg_Upmove]]/tbl_ORCL[[#This Row],[Avg_Downmove]])</f>
        <v>1.7038820836096282</v>
      </c>
      <c r="S23" s="147">
        <f ca="1">IF(ROW($N23)-4&lt;BB_Periods, "", _xlfn.STDEV.S(INDIRECT(ADDRESS(ROW($F23)-RSI_Periods +1, MATCH("Adj Close", Price_Header,0))): INDIRECT(ADDRESS(ROW($F23),MATCH("Adj Close", Price_Header,0)))))</f>
        <v>1.3516298573243737</v>
      </c>
    </row>
    <row r="24" spans="1:19" x14ac:dyDescent="0.25">
      <c r="A24" s="130">
        <v>44078</v>
      </c>
      <c r="B24" s="147">
        <v>56.880001</v>
      </c>
      <c r="C24" s="147">
        <v>57.27</v>
      </c>
      <c r="D24" s="147">
        <v>55.16</v>
      </c>
      <c r="E24" s="147">
        <v>55.73</v>
      </c>
      <c r="F24" s="147">
        <v>55.73</v>
      </c>
      <c r="G24" s="129">
        <v>14697200</v>
      </c>
      <c r="H24" s="147">
        <f>IF(tbl_ORCL[[#This Row],[Date]]=$A$5, $F24, EMA_Beta*$H23 + (1-EMA_Beta)*$F24)</f>
        <v>56.381669832167113</v>
      </c>
      <c r="I24" s="151">
        <f ca="1">IF(tbl_ORCL[[#This Row],[RS]]= "", "", 100-(100/(1+tbl_ORCL[[#This Row],[RS]])))</f>
        <v>57.073160301411292</v>
      </c>
      <c r="J24" s="147">
        <f ca="1">IF(ROW($N24)-4&lt;BB_Periods, "", AVERAGE(INDIRECT(ADDRESS(ROW($F24)-RSI_Periods +1, MATCH("Adj Close", Price_Header,0))): INDIRECT(ADDRESS(ROW($F24),MATCH("Adj Close", Price_Header,0)))))</f>
        <v>56.658571214285708</v>
      </c>
      <c r="K24" s="147">
        <f ca="1">IF(tbl_ORCL[[#This Row],[BB_Mean]]="", "", tbl_ORCL[[#This Row],[BB_Mean]]+(2*tbl_ORCL[[#This Row],[BB_Stdev]]))</f>
        <v>58.992731054572197</v>
      </c>
      <c r="L24" s="147">
        <f ca="1">IF(tbl_ORCL[[#This Row],[BB_Mean]]="", "", tbl_ORCL[[#This Row],[BB_Mean]]-(2*tbl_ORCL[[#This Row],[BB_Stdev]]))</f>
        <v>54.324411373999219</v>
      </c>
      <c r="M24" s="151">
        <f>IF(ROW(tbl_ORCL[[#This Row],[Adj Close]])=5, 0, $F24-$F23)</f>
        <v>-1.3699980000000025</v>
      </c>
      <c r="N24" s="151">
        <f>MAX(tbl_ORCL[[#This Row],[Move]],0)</f>
        <v>0</v>
      </c>
      <c r="O24" s="151">
        <f>MAX(-tbl_ORCL[[#This Row],[Move]],0)</f>
        <v>1.3699980000000025</v>
      </c>
      <c r="P24" s="151">
        <f ca="1">IF(ROW($N24)-5&lt;RSI_Periods, "", AVERAGE(INDIRECT(ADDRESS(ROW($N24)-RSI_Periods +1, MATCH("Upmove", Price_Header,0))): INDIRECT(ADDRESS(ROW($N24),MATCH("Upmove", Price_Header,0)))))</f>
        <v>0.50142864285714239</v>
      </c>
      <c r="Q24" s="151">
        <f ca="1">IF(ROW($O24)-5&lt;RSI_Periods, "", AVERAGE(INDIRECT(ADDRESS(ROW($O24)-RSI_Periods +1, MATCH("Downmove", Price_Header,0))): INDIRECT(ADDRESS(ROW($O24),MATCH("Downmove", Price_Header,0)))))</f>
        <v>0.37714307142857095</v>
      </c>
      <c r="R24" s="151">
        <f ca="1">IF(tbl_ORCL[[#This Row],[Avg_Upmove]]="", "", tbl_ORCL[[#This Row],[Avg_Upmove]]/tbl_ORCL[[#This Row],[Avg_Downmove]])</f>
        <v>1.3295448885161623</v>
      </c>
      <c r="S24" s="147">
        <f ca="1">IF(ROW($N24)-4&lt;BB_Periods, "", _xlfn.STDEV.S(INDIRECT(ADDRESS(ROW($F24)-RSI_Periods +1, MATCH("Adj Close", Price_Header,0))): INDIRECT(ADDRESS(ROW($F24),MATCH("Adj Close", Price_Header,0)))))</f>
        <v>1.1670799201432449</v>
      </c>
    </row>
    <row r="25" spans="1:19" x14ac:dyDescent="0.25">
      <c r="A25" s="130">
        <v>44082</v>
      </c>
      <c r="B25" s="147">
        <v>55.349997999999999</v>
      </c>
      <c r="C25" s="147">
        <v>55.790000999999997</v>
      </c>
      <c r="D25" s="147">
        <v>54.869999</v>
      </c>
      <c r="E25" s="147">
        <v>55.32</v>
      </c>
      <c r="F25" s="147">
        <v>55.32</v>
      </c>
      <c r="G25" s="129">
        <v>16472800</v>
      </c>
      <c r="H25" s="147">
        <f>IF(tbl_ORCL[[#This Row],[Date]]=$A$5, $F25, EMA_Beta*$H24 + (1-EMA_Beta)*$F25)</f>
        <v>56.275502848950396</v>
      </c>
      <c r="I25" s="151">
        <f ca="1">IF(tbl_ORCL[[#This Row],[RS]]= "", "", 100-(100/(1+tbl_ORCL[[#This Row],[RS]])))</f>
        <v>50.607638572410472</v>
      </c>
      <c r="J25" s="147">
        <f ca="1">IF(ROW($N25)-4&lt;BB_Periods, "", AVERAGE(INDIRECT(ADDRESS(ROW($F25)-RSI_Periods +1, MATCH("Adj Close", Price_Header,0))): INDIRECT(ADDRESS(ROW($F25),MATCH("Adj Close", Price_Header,0)))))</f>
        <v>56.668571214285727</v>
      </c>
      <c r="K25" s="147">
        <f ca="1">IF(tbl_ORCL[[#This Row],[BB_Mean]]="", "", tbl_ORCL[[#This Row],[BB_Mean]]+(2*tbl_ORCL[[#This Row],[BB_Stdev]]))</f>
        <v>58.976496161740293</v>
      </c>
      <c r="L25" s="147">
        <f ca="1">IF(tbl_ORCL[[#This Row],[BB_Mean]]="", "", tbl_ORCL[[#This Row],[BB_Mean]]-(2*tbl_ORCL[[#This Row],[BB_Stdev]]))</f>
        <v>54.360646266831161</v>
      </c>
      <c r="M25" s="151">
        <f>IF(ROW(tbl_ORCL[[#This Row],[Adj Close]])=5, 0, $F25-$F24)</f>
        <v>-0.40999999999999659</v>
      </c>
      <c r="N25" s="151">
        <f>MAX(tbl_ORCL[[#This Row],[Move]],0)</f>
        <v>0</v>
      </c>
      <c r="O25" s="151">
        <f>MAX(-tbl_ORCL[[#This Row],[Move]],0)</f>
        <v>0.40999999999999659</v>
      </c>
      <c r="P25" s="151">
        <f ca="1">IF(ROW($N25)-5&lt;RSI_Periods, "", AVERAGE(INDIRECT(ADDRESS(ROW($N25)-RSI_Periods +1, MATCH("Upmove", Price_Header,0))): INDIRECT(ADDRESS(ROW($N25),MATCH("Upmove", Price_Header,0)))))</f>
        <v>0.41642878571428504</v>
      </c>
      <c r="Q25" s="151">
        <f ca="1">IF(ROW($O25)-5&lt;RSI_Periods, "", AVERAGE(INDIRECT(ADDRESS(ROW($O25)-RSI_Periods +1, MATCH("Downmove", Price_Header,0))): INDIRECT(ADDRESS(ROW($O25),MATCH("Downmove", Price_Header,0)))))</f>
        <v>0.40642878571428503</v>
      </c>
      <c r="R25" s="151">
        <f ca="1">IF(tbl_ORCL[[#This Row],[Avg_Upmove]]="", "", tbl_ORCL[[#This Row],[Avg_Upmove]]/tbl_ORCL[[#This Row],[Avg_Downmove]])</f>
        <v>1.0246045564475099</v>
      </c>
      <c r="S25" s="147">
        <f ca="1">IF(ROW($N25)-4&lt;BB_Periods, "", _xlfn.STDEV.S(INDIRECT(ADDRESS(ROW($F25)-RSI_Periods +1, MATCH("Adj Close", Price_Header,0))): INDIRECT(ADDRESS(ROW($F25),MATCH("Adj Close", Price_Header,0)))))</f>
        <v>1.1539624737272847</v>
      </c>
    </row>
    <row r="26" spans="1:19" x14ac:dyDescent="0.25">
      <c r="A26" s="130">
        <v>44083</v>
      </c>
      <c r="B26" s="147">
        <v>56.16</v>
      </c>
      <c r="C26" s="147">
        <v>57.400002000000001</v>
      </c>
      <c r="D26" s="147">
        <v>55.860000999999997</v>
      </c>
      <c r="E26" s="147">
        <v>56.950001</v>
      </c>
      <c r="F26" s="147">
        <v>56.950001</v>
      </c>
      <c r="G26" s="129">
        <v>13993200</v>
      </c>
      <c r="H26" s="147">
        <f>IF(tbl_ORCL[[#This Row],[Date]]=$A$5, $F26, EMA_Beta*$H25 + (1-EMA_Beta)*$F26)</f>
        <v>56.34295266405536</v>
      </c>
      <c r="I26" s="151">
        <f ca="1">IF(tbl_ORCL[[#This Row],[RS]]= "", "", 100-(100/(1+tbl_ORCL[[#This Row],[RS]])))</f>
        <v>53.091507127036877</v>
      </c>
      <c r="J26" s="147">
        <f ca="1">IF(ROW($N26)-4&lt;BB_Periods, "", AVERAGE(INDIRECT(ADDRESS(ROW($F26)-RSI_Periods +1, MATCH("Adj Close", Price_Header,0))): INDIRECT(ADDRESS(ROW($F26),MATCH("Adj Close", Price_Header,0)))))</f>
        <v>56.72214264285715</v>
      </c>
      <c r="K26" s="147">
        <f ca="1">IF(tbl_ORCL[[#This Row],[BB_Mean]]="", "", tbl_ORCL[[#This Row],[BB_Mean]]+(2*tbl_ORCL[[#This Row],[BB_Stdev]]))</f>
        <v>59.018001670100176</v>
      </c>
      <c r="L26" s="147">
        <f ca="1">IF(tbl_ORCL[[#This Row],[BB_Mean]]="", "", tbl_ORCL[[#This Row],[BB_Mean]]-(2*tbl_ORCL[[#This Row],[BB_Stdev]]))</f>
        <v>54.426283615614125</v>
      </c>
      <c r="M26" s="151">
        <f>IF(ROW(tbl_ORCL[[#This Row],[Adj Close]])=5, 0, $F26-$F25)</f>
        <v>1.630001</v>
      </c>
      <c r="N26" s="151">
        <f>MAX(tbl_ORCL[[#This Row],[Move]],0)</f>
        <v>1.630001</v>
      </c>
      <c r="O26" s="151">
        <f>MAX(-tbl_ORCL[[#This Row],[Move]],0)</f>
        <v>0</v>
      </c>
      <c r="P26" s="151">
        <f ca="1">IF(ROW($N26)-5&lt;RSI_Periods, "", AVERAGE(INDIRECT(ADDRESS(ROW($N26)-RSI_Periods +1, MATCH("Upmove", Price_Header,0))): INDIRECT(ADDRESS(ROW($N26),MATCH("Upmove", Price_Header,0)))))</f>
        <v>0.46000021428571358</v>
      </c>
      <c r="Q26" s="151">
        <f ca="1">IF(ROW($O26)-5&lt;RSI_Periods, "", AVERAGE(INDIRECT(ADDRESS(ROW($O26)-RSI_Periods +1, MATCH("Downmove", Price_Header,0))): INDIRECT(ADDRESS(ROW($O26),MATCH("Downmove", Price_Header,0)))))</f>
        <v>0.40642878571428503</v>
      </c>
      <c r="R26" s="151">
        <f ca="1">IF(tbl_ORCL[[#This Row],[Avg_Upmove]]="", "", tbl_ORCL[[#This Row],[Avg_Upmove]]/tbl_ORCL[[#This Row],[Avg_Downmove]])</f>
        <v>1.1318101238259455</v>
      </c>
      <c r="S26" s="147">
        <f ca="1">IF(ROW($N26)-4&lt;BB_Periods, "", _xlfn.STDEV.S(INDIRECT(ADDRESS(ROW($F26)-RSI_Periods +1, MATCH("Adj Close", Price_Header,0))): INDIRECT(ADDRESS(ROW($F26),MATCH("Adj Close", Price_Header,0)))))</f>
        <v>1.147929513621512</v>
      </c>
    </row>
    <row r="27" spans="1:19" x14ac:dyDescent="0.25">
      <c r="A27" s="130">
        <v>44084</v>
      </c>
      <c r="B27" s="147">
        <v>57.439999</v>
      </c>
      <c r="C27" s="147">
        <v>58.18</v>
      </c>
      <c r="D27" s="147">
        <v>56.75</v>
      </c>
      <c r="E27" s="147">
        <v>57.330002</v>
      </c>
      <c r="F27" s="147">
        <v>57.330002</v>
      </c>
      <c r="G27" s="129">
        <v>20500900</v>
      </c>
      <c r="H27" s="147">
        <f>IF(tbl_ORCL[[#This Row],[Date]]=$A$5, $F27, EMA_Beta*$H26 + (1-EMA_Beta)*$F27)</f>
        <v>56.441657597649822</v>
      </c>
      <c r="I27" s="151">
        <f ca="1">IF(tbl_ORCL[[#This Row],[RS]]= "", "", 100-(100/(1+tbl_ORCL[[#This Row],[RS]])))</f>
        <v>58.945563026598776</v>
      </c>
      <c r="J27" s="147">
        <f ca="1">IF(ROW($N27)-4&lt;BB_Periods, "", AVERAGE(INDIRECT(ADDRESS(ROW($F27)-RSI_Periods +1, MATCH("Adj Close", Price_Header,0))): INDIRECT(ADDRESS(ROW($F27),MATCH("Adj Close", Price_Header,0)))))</f>
        <v>56.870000071428585</v>
      </c>
      <c r="K27" s="147">
        <f ca="1">IF(tbl_ORCL[[#This Row],[BB_Mean]]="", "", tbl_ORCL[[#This Row],[BB_Mean]]+(2*tbl_ORCL[[#This Row],[BB_Stdev]]))</f>
        <v>59.022366122654063</v>
      </c>
      <c r="L27" s="147">
        <f ca="1">IF(tbl_ORCL[[#This Row],[BB_Mean]]="", "", tbl_ORCL[[#This Row],[BB_Mean]]-(2*tbl_ORCL[[#This Row],[BB_Stdev]]))</f>
        <v>54.717634020203107</v>
      </c>
      <c r="M27" s="151">
        <f>IF(ROW(tbl_ORCL[[#This Row],[Adj Close]])=5, 0, $F27-$F26)</f>
        <v>0.38000100000000003</v>
      </c>
      <c r="N27" s="151">
        <f>MAX(tbl_ORCL[[#This Row],[Move]],0)</f>
        <v>0.38000100000000003</v>
      </c>
      <c r="O27" s="151">
        <f>MAX(-tbl_ORCL[[#This Row],[Move]],0)</f>
        <v>0</v>
      </c>
      <c r="P27" s="151">
        <f ca="1">IF(ROW($N27)-5&lt;RSI_Periods, "", AVERAGE(INDIRECT(ADDRESS(ROW($N27)-RSI_Periods +1, MATCH("Upmove", Price_Header,0))): INDIRECT(ADDRESS(ROW($N27),MATCH("Upmove", Price_Header,0)))))</f>
        <v>0.48714314285714216</v>
      </c>
      <c r="Q27" s="151">
        <f ca="1">IF(ROW($O27)-5&lt;RSI_Periods, "", AVERAGE(INDIRECT(ADDRESS(ROW($O27)-RSI_Periods +1, MATCH("Downmove", Price_Header,0))): INDIRECT(ADDRESS(ROW($O27),MATCH("Downmove", Price_Header,0)))))</f>
        <v>0.3392857142857138</v>
      </c>
      <c r="R27" s="151">
        <f ca="1">IF(tbl_ORCL[[#This Row],[Avg_Upmove]]="", "", tbl_ORCL[[#This Row],[Avg_Upmove]]/tbl_ORCL[[#This Row],[Avg_Downmove]])</f>
        <v>1.4357903157894736</v>
      </c>
      <c r="S27" s="147">
        <f ca="1">IF(ROW($N27)-4&lt;BB_Periods, "", _xlfn.STDEV.S(INDIRECT(ADDRESS(ROW($F27)-RSI_Periods +1, MATCH("Adj Close", Price_Header,0))): INDIRECT(ADDRESS(ROW($F27),MATCH("Adj Close", Price_Header,0)))))</f>
        <v>1.0761830256127405</v>
      </c>
    </row>
    <row r="28" spans="1:19" x14ac:dyDescent="0.25">
      <c r="A28" s="130">
        <v>44085</v>
      </c>
      <c r="B28" s="147">
        <v>60.709999000000003</v>
      </c>
      <c r="C28" s="147">
        <v>61.860000999999997</v>
      </c>
      <c r="D28" s="147">
        <v>56.869999</v>
      </c>
      <c r="E28" s="147">
        <v>57</v>
      </c>
      <c r="F28" s="147">
        <v>57</v>
      </c>
      <c r="G28" s="129">
        <v>40209400</v>
      </c>
      <c r="H28" s="147">
        <f>IF(tbl_ORCL[[#This Row],[Date]]=$A$5, $F28, EMA_Beta*$H27 + (1-EMA_Beta)*$F28)</f>
        <v>56.497491837884837</v>
      </c>
      <c r="I28" s="151">
        <f ca="1">IF(tbl_ORCL[[#This Row],[RS]]= "", "", 100-(100/(1+tbl_ORCL[[#This Row],[RS]])))</f>
        <v>57.650041965317534</v>
      </c>
      <c r="J28" s="147">
        <f ca="1">IF(ROW($N28)-4&lt;BB_Periods, "", AVERAGE(INDIRECT(ADDRESS(ROW($F28)-RSI_Periods +1, MATCH("Adj Close", Price_Header,0))): INDIRECT(ADDRESS(ROW($F28),MATCH("Adj Close", Price_Header,0)))))</f>
        <v>56.999285857142873</v>
      </c>
      <c r="K28" s="147">
        <f ca="1">IF(tbl_ORCL[[#This Row],[BB_Mean]]="", "", tbl_ORCL[[#This Row],[BB_Mean]]+(2*tbl_ORCL[[#This Row],[BB_Stdev]]))</f>
        <v>58.922160127205167</v>
      </c>
      <c r="L28" s="147">
        <f ca="1">IF(tbl_ORCL[[#This Row],[BB_Mean]]="", "", tbl_ORCL[[#This Row],[BB_Mean]]-(2*tbl_ORCL[[#This Row],[BB_Stdev]]))</f>
        <v>55.076411587080578</v>
      </c>
      <c r="M28" s="151">
        <f>IF(ROW(tbl_ORCL[[#This Row],[Adj Close]])=5, 0, $F28-$F27)</f>
        <v>-0.33000200000000035</v>
      </c>
      <c r="N28" s="151">
        <f>MAX(tbl_ORCL[[#This Row],[Move]],0)</f>
        <v>0</v>
      </c>
      <c r="O28" s="151">
        <f>MAX(-tbl_ORCL[[#This Row],[Move]],0)</f>
        <v>0.33000200000000035</v>
      </c>
      <c r="P28" s="151">
        <f ca="1">IF(ROW($N28)-5&lt;RSI_Periods, "", AVERAGE(INDIRECT(ADDRESS(ROW($N28)-RSI_Periods +1, MATCH("Upmove", Price_Header,0))): INDIRECT(ADDRESS(ROW($N28),MATCH("Upmove", Price_Header,0)))))</f>
        <v>0.48714314285714216</v>
      </c>
      <c r="Q28" s="151">
        <f ca="1">IF(ROW($O28)-5&lt;RSI_Periods, "", AVERAGE(INDIRECT(ADDRESS(ROW($O28)-RSI_Periods +1, MATCH("Downmove", Price_Header,0))): INDIRECT(ADDRESS(ROW($O28),MATCH("Downmove", Price_Header,0)))))</f>
        <v>0.35785735714285644</v>
      </c>
      <c r="R28" s="151">
        <f ca="1">IF(tbl_ORCL[[#This Row],[Avg_Upmove]]="", "", tbl_ORCL[[#This Row],[Avg_Upmove]]/tbl_ORCL[[#This Row],[Avg_Downmove]])</f>
        <v>1.3612774283767901</v>
      </c>
      <c r="S28" s="147">
        <f ca="1">IF(ROW($N28)-4&lt;BB_Periods, "", _xlfn.STDEV.S(INDIRECT(ADDRESS(ROW($F28)-RSI_Periods +1, MATCH("Adj Close", Price_Header,0))): INDIRECT(ADDRESS(ROW($F28),MATCH("Adj Close", Price_Header,0)))))</f>
        <v>0.96143713503114658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W44"/>
  <sheetViews>
    <sheetView tabSelected="1" zoomScale="90" zoomScaleNormal="90" workbookViewId="0">
      <selection activeCell="G18" sqref="G18"/>
    </sheetView>
  </sheetViews>
  <sheetFormatPr defaultRowHeight="15" x14ac:dyDescent="0.25"/>
  <cols>
    <col min="1" max="2" width="10.42578125" style="50" customWidth="1"/>
    <col min="3" max="3" width="13.85546875" style="50" customWidth="1"/>
    <col min="4" max="4" width="14.42578125" style="50" customWidth="1"/>
    <col min="5" max="5" width="11" style="50" customWidth="1"/>
    <col min="6" max="6" width="9.140625" style="50"/>
    <col min="7" max="7" width="16.5703125" style="50" customWidth="1"/>
    <col min="8" max="8" width="11.140625" style="50" bestFit="1" customWidth="1"/>
    <col min="9" max="16384" width="9.140625" style="50"/>
  </cols>
  <sheetData>
    <row r="1" spans="1:23" x14ac:dyDescent="0.25">
      <c r="A1" s="82"/>
      <c r="B1" s="83"/>
      <c r="C1" s="83"/>
      <c r="D1" s="83"/>
      <c r="E1" s="83"/>
      <c r="F1" s="83"/>
      <c r="G1" s="83"/>
      <c r="H1" s="83"/>
      <c r="I1" s="84"/>
      <c r="J1" s="82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4"/>
    </row>
    <row r="2" spans="1:23" x14ac:dyDescent="0.25">
      <c r="A2" s="85"/>
      <c r="B2" s="56"/>
      <c r="C2" s="56"/>
      <c r="D2" s="56"/>
      <c r="E2" s="56"/>
      <c r="F2" s="56"/>
      <c r="G2" s="56"/>
      <c r="H2" s="56"/>
      <c r="I2" s="86"/>
      <c r="J2" s="85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86"/>
    </row>
    <row r="3" spans="1:23" ht="23.25" x14ac:dyDescent="0.35">
      <c r="A3" s="85"/>
      <c r="B3" s="58" t="s">
        <v>197</v>
      </c>
      <c r="C3" s="65"/>
      <c r="D3" s="51"/>
      <c r="E3" s="56"/>
      <c r="F3" s="59" t="s">
        <v>195</v>
      </c>
      <c r="G3" s="60">
        <f ca="1">TODAY()</f>
        <v>44089</v>
      </c>
      <c r="H3" s="56"/>
      <c r="I3" s="86"/>
      <c r="J3" s="85"/>
      <c r="K3" s="95" t="s">
        <v>212</v>
      </c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86"/>
    </row>
    <row r="4" spans="1:23" x14ac:dyDescent="0.25">
      <c r="A4" s="85"/>
      <c r="B4" s="51"/>
      <c r="C4" s="51"/>
      <c r="D4" s="51"/>
      <c r="E4" s="56"/>
      <c r="F4" s="56"/>
      <c r="G4" s="56"/>
      <c r="H4" s="56"/>
      <c r="I4" s="86"/>
      <c r="J4" s="85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86"/>
    </row>
    <row r="5" spans="1:23" ht="18.75" x14ac:dyDescent="0.3">
      <c r="A5" s="85"/>
      <c r="B5" s="109" t="s">
        <v>179</v>
      </c>
      <c r="C5" s="61"/>
      <c r="D5" s="56"/>
      <c r="E5" s="111">
        <f ca="1">INDEX(tbl_position[], COUNT(tbl_position[Date]), MATCH("Total_Net_Asset", pos_header,0))</f>
        <v>98794.499349999998</v>
      </c>
      <c r="F5" s="62">
        <f ca="1">INDEX(tbl_position[], COUNT(tbl_position[Date]), MATCH("Total_Net_Asset", pos_header,0))-INDEX(tbl_position[], COUNT(tbl_position[Date])-1, MATCH("Total_Net_Asset", pos_header,0))</f>
        <v>199.49904999999853</v>
      </c>
      <c r="G5" s="56"/>
      <c r="H5" s="56"/>
      <c r="I5" s="86"/>
      <c r="J5" s="85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86"/>
    </row>
    <row r="6" spans="1:23" ht="18.75" x14ac:dyDescent="0.3">
      <c r="A6" s="85"/>
      <c r="B6" s="63" t="s">
        <v>180</v>
      </c>
      <c r="C6" s="61"/>
      <c r="D6" s="56"/>
      <c r="E6" s="110">
        <f>INDEX(tbl_position[], COUNT(tbl_position[Date]), MATCH("Cash_holding", pos_header,0))</f>
        <v>65134</v>
      </c>
      <c r="F6" s="62">
        <f>INDEX(tbl_position[], COUNT(tbl_position[Date]), MATCH("Cash_holding", pos_header,0))-INDEX(tbl_position[], COUNT(tbl_position[Date])-1, MATCH("Cash_holding", pos_header,0))</f>
        <v>1412.5</v>
      </c>
      <c r="G6" s="56"/>
      <c r="H6" s="56"/>
      <c r="I6" s="86"/>
      <c r="J6" s="85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86"/>
    </row>
    <row r="7" spans="1:23" ht="18.75" x14ac:dyDescent="0.3">
      <c r="A7" s="85"/>
      <c r="B7" s="64"/>
      <c r="C7" s="51"/>
      <c r="D7" s="51"/>
      <c r="E7" s="51"/>
      <c r="F7" s="56"/>
      <c r="G7" s="56"/>
      <c r="H7" s="56"/>
      <c r="I7" s="86"/>
      <c r="J7" s="85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86"/>
    </row>
    <row r="8" spans="1:23" ht="19.5" thickBot="1" x14ac:dyDescent="0.35">
      <c r="A8" s="87"/>
      <c r="B8" s="79" t="s">
        <v>185</v>
      </c>
      <c r="C8" s="107"/>
      <c r="D8" s="51"/>
      <c r="E8" s="51"/>
      <c r="F8" s="108" t="s">
        <v>194</v>
      </c>
      <c r="G8" s="56"/>
      <c r="H8" s="56"/>
      <c r="I8" s="86"/>
      <c r="J8" s="85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86"/>
    </row>
    <row r="9" spans="1:23" ht="32.25" thickBot="1" x14ac:dyDescent="0.3">
      <c r="A9" s="87"/>
      <c r="B9" s="98" t="s">
        <v>187</v>
      </c>
      <c r="C9" s="99" t="s">
        <v>182</v>
      </c>
      <c r="D9" s="100" t="s">
        <v>186</v>
      </c>
      <c r="E9" s="57"/>
      <c r="F9" s="96" t="s">
        <v>196</v>
      </c>
      <c r="G9" s="97" t="s">
        <v>47</v>
      </c>
      <c r="H9" s="56"/>
      <c r="I9" s="86"/>
      <c r="J9" s="85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86"/>
    </row>
    <row r="10" spans="1:23" ht="19.5" x14ac:dyDescent="0.3">
      <c r="A10" s="87"/>
      <c r="B10" s="101">
        <v>1</v>
      </c>
      <c r="C10" s="102" t="str">
        <f ca="1">INDEX(tbl_holdings[], MATCH(LARGE(tbl_holdings[Total], Dashboard!$B10), tbl_holdings[Total], 0), 2)</f>
        <v>HD</v>
      </c>
      <c r="D10" s="112">
        <f ca="1">LARGE(tbl_holdings[Total], 1)/E5</f>
        <v>0.13985089697202863</v>
      </c>
      <c r="E10" s="75"/>
      <c r="F10" s="115" t="s">
        <v>190</v>
      </c>
      <c r="G10" s="118">
        <f ca="1">INDEX(tbl_transsummary[], _xlfn.FLOOR.MATH(($G$3-DATE(2020, 9, 9))/7)+1, 4)</f>
        <v>45019.5</v>
      </c>
      <c r="H10" s="78"/>
      <c r="I10" s="86"/>
      <c r="J10" s="85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86"/>
    </row>
    <row r="11" spans="1:23" ht="17.25" x14ac:dyDescent="0.3">
      <c r="A11" s="87"/>
      <c r="B11" s="103">
        <v>2</v>
      </c>
      <c r="C11" s="104" t="str">
        <f ca="1">INDEX(tbl_holdings[], MATCH(LARGE(tbl_holdings[Total], Dashboard!$B11), tbl_holdings[Total], 0), 2)</f>
        <v>AAPL</v>
      </c>
      <c r="D11" s="113">
        <f ca="1">LARGE(tbl_holdings[Total], 2)/E5</f>
        <v>0.11336663552817529</v>
      </c>
      <c r="E11" s="75"/>
      <c r="F11" s="116" t="s">
        <v>191</v>
      </c>
      <c r="G11" s="119">
        <f ca="1">INDEX(tbl_transsummary[], _xlfn.FLOOR.MATH(($G$3-DATE(2020, 9, 9))/7)+1, 5)</f>
        <v>10153.5</v>
      </c>
      <c r="H11" s="56"/>
      <c r="I11" s="86"/>
      <c r="J11" s="85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86"/>
    </row>
    <row r="12" spans="1:23" ht="16.5" thickBot="1" x14ac:dyDescent="0.3">
      <c r="A12" s="87"/>
      <c r="B12" s="105">
        <v>3</v>
      </c>
      <c r="C12" s="106" t="str">
        <f ca="1">INDEX(tbl_holdings[], MATCH(LARGE(tbl_holdings[Total], Dashboard!$B12), tbl_holdings[Total], 0), 2)</f>
        <v>ORCL</v>
      </c>
      <c r="D12" s="114">
        <f ca="1">LARGE(tbl_holdings[Total], 3)/E5</f>
        <v>5.7695519867017778E-2</v>
      </c>
      <c r="E12" s="75"/>
      <c r="F12" s="117" t="s">
        <v>192</v>
      </c>
      <c r="G12" s="120">
        <f ca="1">INDEX(tbl_transsummary[], _xlfn.FLOOR.MATH(($G$3-DATE(2020, 9, 9))/7)+1, 6)</f>
        <v>15803.5</v>
      </c>
      <c r="H12" s="56"/>
      <c r="I12" s="86"/>
      <c r="J12" s="8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86"/>
    </row>
    <row r="13" spans="1:23" ht="16.5" thickBot="1" x14ac:dyDescent="0.3">
      <c r="A13" s="87"/>
      <c r="B13" s="53"/>
      <c r="C13" s="54"/>
      <c r="D13" s="55"/>
      <c r="E13" s="57"/>
      <c r="F13" s="76" t="s">
        <v>193</v>
      </c>
      <c r="G13" s="121">
        <f ca="1">INDEX(tbl_transsummary[], _xlfn.FLOOR.MATH(($G$3-DATE(2020, 9, 9))/7)+1, 7)</f>
        <v>15837.5</v>
      </c>
      <c r="H13" s="56"/>
      <c r="I13" s="86"/>
      <c r="J13" s="8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86"/>
    </row>
    <row r="14" spans="1:23" x14ac:dyDescent="0.25">
      <c r="A14" s="87"/>
      <c r="B14" s="51"/>
      <c r="C14" s="52"/>
      <c r="D14" s="51"/>
      <c r="E14" s="57"/>
      <c r="F14" s="56"/>
      <c r="G14" s="56"/>
      <c r="H14" s="56"/>
      <c r="I14" s="86"/>
      <c r="J14" s="8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86"/>
    </row>
    <row r="15" spans="1:23" x14ac:dyDescent="0.25">
      <c r="A15" s="88"/>
      <c r="B15" s="89"/>
      <c r="C15" s="89"/>
      <c r="D15" s="89"/>
      <c r="E15" s="89"/>
      <c r="F15" s="89"/>
      <c r="G15" s="89"/>
      <c r="H15" s="89"/>
      <c r="I15" s="90"/>
      <c r="J15" s="88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90"/>
    </row>
    <row r="16" spans="1:23" x14ac:dyDescent="0.25">
      <c r="A16" s="82"/>
      <c r="B16" s="92"/>
      <c r="C16" s="83"/>
      <c r="D16" s="83"/>
      <c r="E16" s="83"/>
      <c r="F16" s="83"/>
      <c r="G16" s="83"/>
      <c r="H16" s="83"/>
      <c r="I16" s="84"/>
      <c r="J16" s="82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4"/>
    </row>
    <row r="17" spans="1:23" ht="18.75" x14ac:dyDescent="0.3">
      <c r="A17" s="85"/>
      <c r="B17" s="56"/>
      <c r="C17" s="56"/>
      <c r="D17" s="56"/>
      <c r="E17" s="56"/>
      <c r="F17" s="56"/>
      <c r="G17" s="56"/>
      <c r="H17" s="56"/>
      <c r="I17" s="86"/>
      <c r="J17" s="91" t="s">
        <v>204</v>
      </c>
      <c r="K17" s="56"/>
      <c r="L17" s="56"/>
      <c r="M17" s="56"/>
      <c r="N17" s="56"/>
      <c r="O17" s="56"/>
      <c r="P17" s="56"/>
      <c r="Q17" s="79" t="s">
        <v>205</v>
      </c>
      <c r="R17" s="56"/>
      <c r="S17" s="56"/>
      <c r="T17" s="56"/>
      <c r="U17" s="56"/>
      <c r="V17" s="56"/>
      <c r="W17" s="86"/>
    </row>
    <row r="18" spans="1:23" ht="23.25" x14ac:dyDescent="0.35">
      <c r="A18" s="85"/>
      <c r="B18" s="80" t="s">
        <v>198</v>
      </c>
      <c r="C18" s="56"/>
      <c r="D18" s="56"/>
      <c r="E18" s="56"/>
      <c r="F18" s="56"/>
      <c r="G18" s="127" t="s">
        <v>22</v>
      </c>
      <c r="H18" s="56"/>
      <c r="I18" s="128">
        <v>1</v>
      </c>
      <c r="J18" s="8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86"/>
    </row>
    <row r="19" spans="1:23" ht="15.75" thickBot="1" x14ac:dyDescent="0.3">
      <c r="A19" s="93"/>
      <c r="B19" s="51"/>
      <c r="C19" s="51"/>
      <c r="D19" s="51"/>
      <c r="E19" s="51"/>
      <c r="F19" s="51"/>
      <c r="G19" s="51"/>
      <c r="H19" s="51"/>
      <c r="I19" s="65"/>
      <c r="J19" s="8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86"/>
    </row>
    <row r="20" spans="1:23" ht="16.5" thickBot="1" x14ac:dyDescent="0.3">
      <c r="A20" s="94" t="s">
        <v>184</v>
      </c>
      <c r="B20" s="72" t="s">
        <v>58</v>
      </c>
      <c r="C20" s="73" t="s">
        <v>75</v>
      </c>
      <c r="D20" s="73" t="s">
        <v>76</v>
      </c>
      <c r="E20" s="73" t="s">
        <v>77</v>
      </c>
      <c r="F20" s="73" t="s">
        <v>78</v>
      </c>
      <c r="G20" s="73" t="s">
        <v>79</v>
      </c>
      <c r="H20" s="74" t="s">
        <v>199</v>
      </c>
      <c r="I20" s="86"/>
      <c r="J20" s="8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86"/>
    </row>
    <row r="21" spans="1:23" x14ac:dyDescent="0.25">
      <c r="A21" s="94">
        <v>0</v>
      </c>
      <c r="B21" s="70">
        <f t="shared" ref="B21:B30" ca="1" si="0">INDEX(INDIRECT("tbl_"&amp;$G$18), COUNT(Date_List)-15+$I$18+A21, 1)</f>
        <v>44064</v>
      </c>
      <c r="C21" s="66">
        <f t="shared" ref="C21:C30" ca="1" si="1">INDEX(INDIRECT("tbl_"&amp;$G$18), COUNT(Date_List)-15+$I$18+A21, MATCH("Open", Price_Header,0))</f>
        <v>279.97000100000002</v>
      </c>
      <c r="D21" s="66">
        <f t="shared" ref="D21:D30" ca="1" si="2">INDEX(INDIRECT("tbl_"&amp;$G$18), COUNT(Date_List)-15+$I$18+A21, MATCH("High", Price_Header,0))</f>
        <v>283.54998799999998</v>
      </c>
      <c r="E21" s="66">
        <f t="shared" ref="E21:E30" ca="1" si="3">INDEX(INDIRECT("tbl_"&amp;$G$18), COUNT(Date_List)-15+$I$18+A21, MATCH("low", Price_Header,0))</f>
        <v>278.42001299999998</v>
      </c>
      <c r="F21" s="66">
        <f t="shared" ref="F21:F30" ca="1" si="4">INDEX(INDIRECT("tbl_"&amp;$G$18), COUNT(Date_List)-15+$I$18+A21, MATCH("Close", Price_Header,0))</f>
        <v>283.23001099999999</v>
      </c>
      <c r="G21" s="66">
        <f t="shared" ref="G21:G30" ca="1" si="5">INDEX(INDIRECT("tbl_"&amp;$G$18), COUNT(Date_List)-15+$I$18+A21, MATCH("adj close", Price_Header,0))</f>
        <v>281.74423200000001</v>
      </c>
      <c r="H21" s="67">
        <f t="shared" ref="H21:H30" ca="1" si="6">INDEX(INDIRECT("tbl_"&amp;$G$18), COUNT(Date_List)-15+$I$18+A21, MATCH("volume", Price_Header,0))/1000</f>
        <v>5519.1</v>
      </c>
      <c r="I21" s="86"/>
      <c r="J21" s="85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86"/>
    </row>
    <row r="22" spans="1:23" x14ac:dyDescent="0.25">
      <c r="A22" s="94">
        <v>1</v>
      </c>
      <c r="B22" s="70">
        <f t="shared" ca="1" si="0"/>
        <v>44067</v>
      </c>
      <c r="C22" s="66">
        <f t="shared" ca="1" si="1"/>
        <v>284.98998999999998</v>
      </c>
      <c r="D22" s="66">
        <f t="shared" ca="1" si="2"/>
        <v>286.85000600000001</v>
      </c>
      <c r="E22" s="66">
        <f t="shared" ca="1" si="3"/>
        <v>281.92001299999998</v>
      </c>
      <c r="F22" s="66">
        <f t="shared" ca="1" si="4"/>
        <v>286.75</v>
      </c>
      <c r="G22" s="66">
        <f t="shared" ca="1" si="5"/>
        <v>285.24575800000002</v>
      </c>
      <c r="H22" s="67">
        <f t="shared" ca="1" si="6"/>
        <v>4430.8999999999996</v>
      </c>
      <c r="I22" s="86"/>
      <c r="J22" s="85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86"/>
    </row>
    <row r="23" spans="1:23" x14ac:dyDescent="0.25">
      <c r="A23" s="94">
        <v>2</v>
      </c>
      <c r="B23" s="70">
        <f t="shared" ca="1" si="0"/>
        <v>44068</v>
      </c>
      <c r="C23" s="66">
        <f t="shared" ca="1" si="1"/>
        <v>287.26998900000001</v>
      </c>
      <c r="D23" s="66">
        <f t="shared" ca="1" si="2"/>
        <v>287.48001099999999</v>
      </c>
      <c r="E23" s="66">
        <f t="shared" ca="1" si="3"/>
        <v>283.89001500000001</v>
      </c>
      <c r="F23" s="66">
        <f t="shared" ca="1" si="4"/>
        <v>286.13000499999998</v>
      </c>
      <c r="G23" s="66">
        <f t="shared" ca="1" si="5"/>
        <v>284.62899800000002</v>
      </c>
      <c r="H23" s="67">
        <f t="shared" ca="1" si="6"/>
        <v>2854.5</v>
      </c>
      <c r="I23" s="86"/>
      <c r="J23" s="85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86"/>
    </row>
    <row r="24" spans="1:23" x14ac:dyDescent="0.25">
      <c r="A24" s="94">
        <v>3</v>
      </c>
      <c r="B24" s="70">
        <f t="shared" ca="1" si="0"/>
        <v>44069</v>
      </c>
      <c r="C24" s="66">
        <f t="shared" ca="1" si="1"/>
        <v>287.73001099999999</v>
      </c>
      <c r="D24" s="66">
        <f t="shared" ca="1" si="2"/>
        <v>292.11999500000002</v>
      </c>
      <c r="E24" s="66">
        <f t="shared" ca="1" si="3"/>
        <v>286.26998900000001</v>
      </c>
      <c r="F24" s="66">
        <f t="shared" ca="1" si="4"/>
        <v>291.92999300000002</v>
      </c>
      <c r="G24" s="66">
        <f t="shared" ca="1" si="5"/>
        <v>290.39855999999997</v>
      </c>
      <c r="H24" s="67">
        <f t="shared" ca="1" si="6"/>
        <v>4001.9</v>
      </c>
      <c r="I24" s="86"/>
      <c r="J24" s="8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86"/>
    </row>
    <row r="25" spans="1:23" x14ac:dyDescent="0.25">
      <c r="A25" s="94">
        <v>4</v>
      </c>
      <c r="B25" s="70">
        <f t="shared" ca="1" si="0"/>
        <v>44070</v>
      </c>
      <c r="C25" s="66">
        <f t="shared" ca="1" si="1"/>
        <v>292.22000100000002</v>
      </c>
      <c r="D25" s="66">
        <f t="shared" ca="1" si="2"/>
        <v>292.95001200000002</v>
      </c>
      <c r="E25" s="66">
        <f t="shared" ca="1" si="3"/>
        <v>286.55999800000001</v>
      </c>
      <c r="F25" s="66">
        <f t="shared" ca="1" si="4"/>
        <v>288.63000499999998</v>
      </c>
      <c r="G25" s="66">
        <f t="shared" ca="1" si="5"/>
        <v>287.115906</v>
      </c>
      <c r="H25" s="67">
        <f t="shared" ca="1" si="6"/>
        <v>3430.9</v>
      </c>
      <c r="I25" s="86"/>
      <c r="J25" s="8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86"/>
    </row>
    <row r="26" spans="1:23" x14ac:dyDescent="0.25">
      <c r="A26" s="94">
        <v>5</v>
      </c>
      <c r="B26" s="70">
        <f t="shared" ca="1" si="0"/>
        <v>44071</v>
      </c>
      <c r="C26" s="66">
        <f t="shared" ca="1" si="1"/>
        <v>288.30999800000001</v>
      </c>
      <c r="D26" s="66">
        <f t="shared" ca="1" si="2"/>
        <v>288.82998700000002</v>
      </c>
      <c r="E26" s="66">
        <f t="shared" ca="1" si="3"/>
        <v>284.76998900000001</v>
      </c>
      <c r="F26" s="66">
        <f t="shared" ca="1" si="4"/>
        <v>286.290009</v>
      </c>
      <c r="G26" s="66">
        <f t="shared" ca="1" si="5"/>
        <v>284.78817700000002</v>
      </c>
      <c r="H26" s="67">
        <f t="shared" ca="1" si="6"/>
        <v>3100.1</v>
      </c>
      <c r="I26" s="65"/>
      <c r="J26" s="85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86"/>
    </row>
    <row r="27" spans="1:23" x14ac:dyDescent="0.25">
      <c r="A27" s="94">
        <v>6</v>
      </c>
      <c r="B27" s="70">
        <f t="shared" ca="1" si="0"/>
        <v>44074</v>
      </c>
      <c r="C27" s="66">
        <f t="shared" ca="1" si="1"/>
        <v>285</v>
      </c>
      <c r="D27" s="66">
        <f t="shared" ca="1" si="2"/>
        <v>286.69000199999999</v>
      </c>
      <c r="E27" s="66">
        <f t="shared" ca="1" si="3"/>
        <v>282.86999500000002</v>
      </c>
      <c r="F27" s="66">
        <f t="shared" ca="1" si="4"/>
        <v>285.040009</v>
      </c>
      <c r="G27" s="66">
        <f t="shared" ca="1" si="5"/>
        <v>283.54473899999999</v>
      </c>
      <c r="H27" s="67">
        <f t="shared" ca="1" si="6"/>
        <v>4105.3999999999996</v>
      </c>
      <c r="I27" s="65"/>
      <c r="J27" s="8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86"/>
    </row>
    <row r="28" spans="1:23" x14ac:dyDescent="0.25">
      <c r="A28" s="94">
        <v>7</v>
      </c>
      <c r="B28" s="70">
        <f t="shared" ca="1" si="0"/>
        <v>44075</v>
      </c>
      <c r="C28" s="66">
        <f t="shared" ca="1" si="1"/>
        <v>284.02999899999998</v>
      </c>
      <c r="D28" s="66">
        <f t="shared" ca="1" si="2"/>
        <v>286.67999300000002</v>
      </c>
      <c r="E28" s="66">
        <f t="shared" ca="1" si="3"/>
        <v>283.5</v>
      </c>
      <c r="F28" s="66">
        <f t="shared" ca="1" si="4"/>
        <v>285.94000199999999</v>
      </c>
      <c r="G28" s="66">
        <f t="shared" ca="1" si="5"/>
        <v>284.44000199999999</v>
      </c>
      <c r="H28" s="67">
        <f t="shared" ca="1" si="6"/>
        <v>3238.1</v>
      </c>
      <c r="I28" s="65"/>
      <c r="J28" s="8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86"/>
    </row>
    <row r="29" spans="1:23" x14ac:dyDescent="0.25">
      <c r="A29" s="94">
        <v>8</v>
      </c>
      <c r="B29" s="70">
        <f t="shared" ca="1" si="0"/>
        <v>44076</v>
      </c>
      <c r="C29" s="66">
        <f t="shared" ca="1" si="1"/>
        <v>284.85000600000001</v>
      </c>
      <c r="D29" s="66">
        <f t="shared" ca="1" si="2"/>
        <v>288.040009</v>
      </c>
      <c r="E29" s="66">
        <f t="shared" ca="1" si="3"/>
        <v>283.60000600000001</v>
      </c>
      <c r="F29" s="66">
        <f t="shared" ca="1" si="4"/>
        <v>287.20001200000002</v>
      </c>
      <c r="G29" s="66">
        <f t="shared" ca="1" si="5"/>
        <v>287.20001200000002</v>
      </c>
      <c r="H29" s="67">
        <f t="shared" ca="1" si="6"/>
        <v>3464.6</v>
      </c>
      <c r="I29" s="65"/>
      <c r="J29" s="85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86"/>
    </row>
    <row r="30" spans="1:23" ht="15.75" thickBot="1" x14ac:dyDescent="0.3">
      <c r="A30" s="94">
        <v>9</v>
      </c>
      <c r="B30" s="71">
        <f t="shared" ca="1" si="0"/>
        <v>44077</v>
      </c>
      <c r="C30" s="68">
        <f t="shared" ca="1" si="1"/>
        <v>287.29998799999998</v>
      </c>
      <c r="D30" s="68">
        <f t="shared" ca="1" si="2"/>
        <v>287.70001200000002</v>
      </c>
      <c r="E30" s="68">
        <f t="shared" ca="1" si="3"/>
        <v>272.17001299999998</v>
      </c>
      <c r="F30" s="68">
        <f t="shared" ca="1" si="4"/>
        <v>274.63000499999998</v>
      </c>
      <c r="G30" s="68">
        <f t="shared" ca="1" si="5"/>
        <v>274.63000499999998</v>
      </c>
      <c r="H30" s="69">
        <f t="shared" ca="1" si="6"/>
        <v>5380.1</v>
      </c>
      <c r="I30" s="65"/>
      <c r="J30" s="85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86"/>
    </row>
    <row r="31" spans="1:23" ht="18.75" x14ac:dyDescent="0.3">
      <c r="A31" s="93"/>
      <c r="B31" s="81"/>
      <c r="C31" s="66"/>
      <c r="D31" s="66"/>
      <c r="E31" s="66"/>
      <c r="F31" s="66"/>
      <c r="G31" s="66"/>
      <c r="H31" s="51"/>
      <c r="I31" s="65"/>
      <c r="J31" s="91" t="s">
        <v>206</v>
      </c>
      <c r="K31" s="56"/>
      <c r="L31" s="56"/>
      <c r="M31" s="56"/>
      <c r="N31" s="56"/>
      <c r="O31" s="56"/>
      <c r="P31" s="56"/>
      <c r="Q31" s="79" t="s">
        <v>207</v>
      </c>
      <c r="R31" s="56"/>
      <c r="S31" s="56"/>
      <c r="T31" s="56"/>
      <c r="U31" s="56"/>
      <c r="V31" s="56"/>
      <c r="W31" s="86"/>
    </row>
    <row r="32" spans="1:23" x14ac:dyDescent="0.25">
      <c r="A32" s="93"/>
      <c r="B32" s="81"/>
      <c r="C32" s="51"/>
      <c r="D32" s="51"/>
      <c r="E32" s="51"/>
      <c r="F32" s="51"/>
      <c r="G32" s="51"/>
      <c r="H32" s="51"/>
      <c r="I32" s="65"/>
      <c r="J32" s="85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86"/>
    </row>
    <row r="33" spans="1:23" x14ac:dyDescent="0.25">
      <c r="A33" s="93"/>
      <c r="B33" s="81"/>
      <c r="C33" s="51"/>
      <c r="D33" s="51"/>
      <c r="E33" s="51"/>
      <c r="F33" s="51"/>
      <c r="G33" s="51"/>
      <c r="H33" s="51"/>
      <c r="I33" s="65"/>
      <c r="J33" s="85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86"/>
    </row>
    <row r="34" spans="1:23" x14ac:dyDescent="0.25">
      <c r="A34" s="93"/>
      <c r="B34" s="81"/>
      <c r="C34" s="51"/>
      <c r="D34" s="51"/>
      <c r="E34" s="51"/>
      <c r="F34" s="51"/>
      <c r="G34" s="51"/>
      <c r="H34" s="51"/>
      <c r="I34" s="65"/>
      <c r="J34" s="8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86"/>
    </row>
    <row r="35" spans="1:23" x14ac:dyDescent="0.25">
      <c r="A35" s="93"/>
      <c r="B35" s="81"/>
      <c r="C35" s="51"/>
      <c r="D35" s="51"/>
      <c r="E35" s="51"/>
      <c r="F35" s="51"/>
      <c r="G35" s="51"/>
      <c r="H35" s="51"/>
      <c r="I35" s="65"/>
      <c r="J35" s="85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86"/>
    </row>
    <row r="36" spans="1:23" x14ac:dyDescent="0.25">
      <c r="A36" s="93"/>
      <c r="B36" s="51"/>
      <c r="C36" s="51"/>
      <c r="D36" s="51"/>
      <c r="E36" s="51"/>
      <c r="F36" s="51"/>
      <c r="G36" s="51"/>
      <c r="H36" s="51"/>
      <c r="I36" s="65"/>
      <c r="J36" s="85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86"/>
    </row>
    <row r="37" spans="1:23" x14ac:dyDescent="0.25">
      <c r="A37" s="85"/>
      <c r="B37" s="56"/>
      <c r="C37" s="56"/>
      <c r="D37" s="56"/>
      <c r="E37" s="56"/>
      <c r="F37" s="56"/>
      <c r="G37" s="56"/>
      <c r="H37" s="56"/>
      <c r="I37" s="86"/>
      <c r="J37" s="85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86"/>
    </row>
    <row r="38" spans="1:23" x14ac:dyDescent="0.25">
      <c r="A38" s="85"/>
      <c r="B38" s="56"/>
      <c r="C38" s="56"/>
      <c r="D38" s="56"/>
      <c r="E38" s="56"/>
      <c r="F38" s="56"/>
      <c r="G38" s="56"/>
      <c r="H38" s="56"/>
      <c r="I38" s="86"/>
      <c r="J38" s="85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86"/>
    </row>
    <row r="39" spans="1:23" x14ac:dyDescent="0.25">
      <c r="A39" s="85"/>
      <c r="B39" s="56"/>
      <c r="C39" s="56"/>
      <c r="D39" s="56"/>
      <c r="E39" s="56"/>
      <c r="F39" s="56"/>
      <c r="G39" s="56"/>
      <c r="H39" s="56"/>
      <c r="I39" s="86"/>
      <c r="J39" s="85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86"/>
    </row>
    <row r="40" spans="1:23" x14ac:dyDescent="0.25">
      <c r="A40" s="85"/>
      <c r="B40" s="56"/>
      <c r="C40" s="56"/>
      <c r="D40" s="56"/>
      <c r="E40" s="56"/>
      <c r="F40" s="56"/>
      <c r="G40" s="56"/>
      <c r="H40" s="56"/>
      <c r="I40" s="86"/>
      <c r="J40" s="85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86"/>
    </row>
    <row r="41" spans="1:23" x14ac:dyDescent="0.25">
      <c r="A41" s="85"/>
      <c r="B41" s="56"/>
      <c r="C41" s="56"/>
      <c r="D41" s="56"/>
      <c r="E41" s="56"/>
      <c r="F41" s="56"/>
      <c r="G41" s="56"/>
      <c r="H41" s="56"/>
      <c r="I41" s="86"/>
      <c r="J41" s="85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86"/>
    </row>
    <row r="42" spans="1:23" x14ac:dyDescent="0.25">
      <c r="A42" s="85"/>
      <c r="B42" s="56"/>
      <c r="C42" s="56"/>
      <c r="D42" s="56"/>
      <c r="E42" s="56"/>
      <c r="F42" s="56"/>
      <c r="G42" s="56"/>
      <c r="H42" s="56"/>
      <c r="I42" s="86"/>
      <c r="J42" s="85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86"/>
    </row>
    <row r="43" spans="1:23" x14ac:dyDescent="0.25">
      <c r="A43" s="85"/>
      <c r="B43" s="56"/>
      <c r="C43" s="56"/>
      <c r="D43" s="56"/>
      <c r="E43" s="56"/>
      <c r="F43" s="56"/>
      <c r="G43" s="56"/>
      <c r="H43" s="56"/>
      <c r="I43" s="86"/>
      <c r="J43" s="85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86"/>
    </row>
    <row r="44" spans="1:23" x14ac:dyDescent="0.25">
      <c r="A44" s="88"/>
      <c r="B44" s="89"/>
      <c r="C44" s="89"/>
      <c r="D44" s="89"/>
      <c r="E44" s="89"/>
      <c r="F44" s="89"/>
      <c r="G44" s="89"/>
      <c r="H44" s="89"/>
      <c r="I44" s="90"/>
      <c r="J44" s="8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90"/>
    </row>
  </sheetData>
  <sheetProtection sheet="1" objects="1" scenarios="1" selectLockedCells="1"/>
  <conditionalFormatting sqref="F6">
    <cfRule type="iconSet" priority="1">
      <iconSet showValue="0">
        <cfvo type="percent" val="0"/>
        <cfvo type="num" val="-0.05"/>
        <cfvo type="num" val="0.05"/>
      </iconSet>
    </cfRule>
  </conditionalFormatting>
  <dataValidations count="1">
    <dataValidation type="list" allowBlank="1" showInputMessage="1" showErrorMessage="1" sqref="G18">
      <formula1>Symbol</formula1>
    </dataValidation>
  </dataValidations>
  <pageMargins left="0.7" right="0.7" top="0.75" bottom="0.75" header="0.3" footer="0.3"/>
  <pageSetup paperSize="9" scale="55" fitToWidth="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Scroll Bar 3">
              <controlPr locked="0" defaultSize="0" autoPict="0">
                <anchor moveWithCells="1">
                  <from>
                    <xdr:col>8</xdr:col>
                    <xdr:colOff>9525</xdr:colOff>
                    <xdr:row>18</xdr:row>
                    <xdr:rowOff>190500</xdr:rowOff>
                  </from>
                  <to>
                    <xdr:col>8</xdr:col>
                    <xdr:colOff>123825</xdr:colOff>
                    <xdr:row>30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9D090D01-B9E4-485C-9F10-B580B59A17B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1"/>
              <x14:cfIcon iconSet="3Triangles" iconId="2"/>
            </x14:iconSet>
          </x14:cfRule>
          <xm:sqref>F5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14"/>
  <sheetViews>
    <sheetView topLeftCell="P1" workbookViewId="0">
      <selection activeCell="AH5" sqref="AH5"/>
    </sheetView>
  </sheetViews>
  <sheetFormatPr defaultRowHeight="15" x14ac:dyDescent="0.25"/>
  <cols>
    <col min="4" max="4" width="14.7109375" customWidth="1"/>
    <col min="5" max="5" width="12.28515625" customWidth="1"/>
    <col min="11" max="11" width="11.140625" customWidth="1"/>
    <col min="12" max="12" width="11.5703125" customWidth="1"/>
    <col min="20" max="20" width="9.7109375" bestFit="1" customWidth="1"/>
    <col min="22" max="22" width="12.85546875" customWidth="1"/>
    <col min="30" max="30" width="10.7109375" customWidth="1"/>
    <col min="33" max="33" width="9.7109375" bestFit="1" customWidth="1"/>
    <col min="34" max="34" width="12" customWidth="1"/>
    <col min="35" max="35" width="14.5703125" customWidth="1"/>
    <col min="36" max="36" width="12.5703125" bestFit="1" customWidth="1"/>
  </cols>
  <sheetData>
    <row r="2" spans="2:37" x14ac:dyDescent="0.25">
      <c r="B2" s="77" t="s">
        <v>214</v>
      </c>
      <c r="J2" s="77" t="s">
        <v>215</v>
      </c>
      <c r="S2" s="129"/>
      <c r="T2" s="129" t="s">
        <v>183</v>
      </c>
      <c r="U2" s="131" t="str">
        <f>Dashboard!G18</f>
        <v>HD</v>
      </c>
      <c r="V2" s="129" t="s">
        <v>58</v>
      </c>
      <c r="W2" s="131">
        <v>10</v>
      </c>
      <c r="X2" s="129"/>
      <c r="Y2" s="131" t="s">
        <v>216</v>
      </c>
      <c r="Z2" s="129"/>
      <c r="AA2" s="129"/>
      <c r="AB2" s="129"/>
      <c r="AC2" s="129"/>
      <c r="AD2" s="129"/>
      <c r="AG2" s="77" t="s">
        <v>217</v>
      </c>
    </row>
    <row r="3" spans="2:37" ht="15.75" thickBot="1" x14ac:dyDescent="0.3"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</row>
    <row r="4" spans="2:37" ht="15.75" thickBot="1" x14ac:dyDescent="0.3">
      <c r="B4" s="129" t="s">
        <v>184</v>
      </c>
      <c r="C4" s="129" t="s">
        <v>183</v>
      </c>
      <c r="D4" s="129" t="s">
        <v>182</v>
      </c>
      <c r="E4" s="129" t="s">
        <v>181</v>
      </c>
      <c r="F4" s="129" t="s">
        <v>162</v>
      </c>
      <c r="J4" s="129" t="s">
        <v>184</v>
      </c>
      <c r="K4" s="129" t="s">
        <v>188</v>
      </c>
      <c r="L4" s="129" t="s">
        <v>189</v>
      </c>
      <c r="M4" s="129" t="s">
        <v>190</v>
      </c>
      <c r="N4" s="129" t="s">
        <v>191</v>
      </c>
      <c r="O4" s="129" t="s">
        <v>192</v>
      </c>
      <c r="P4" s="129" t="s">
        <v>193</v>
      </c>
      <c r="S4" s="132" t="s">
        <v>184</v>
      </c>
      <c r="T4" s="133" t="s">
        <v>58</v>
      </c>
      <c r="U4" s="133" t="s">
        <v>79</v>
      </c>
      <c r="V4" s="133" t="s">
        <v>199</v>
      </c>
      <c r="W4" s="133" t="s">
        <v>84</v>
      </c>
      <c r="X4" s="133" t="s">
        <v>85</v>
      </c>
      <c r="Y4" s="133" t="s">
        <v>200</v>
      </c>
      <c r="Z4" s="133" t="s">
        <v>201</v>
      </c>
      <c r="AA4" s="133" t="s">
        <v>202</v>
      </c>
      <c r="AB4" s="133" t="s">
        <v>203</v>
      </c>
      <c r="AC4" s="133" t="s">
        <v>208</v>
      </c>
      <c r="AD4" s="134" t="s">
        <v>209</v>
      </c>
      <c r="AG4" s="132" t="s">
        <v>184</v>
      </c>
      <c r="AH4" s="133" t="s">
        <v>58</v>
      </c>
      <c r="AI4" s="133" t="s">
        <v>210</v>
      </c>
      <c r="AJ4" s="133" t="s">
        <v>211</v>
      </c>
      <c r="AK4" s="134" t="s">
        <v>213</v>
      </c>
    </row>
    <row r="5" spans="2:37" x14ac:dyDescent="0.25">
      <c r="B5" s="129">
        <v>1</v>
      </c>
      <c r="C5" s="129" t="str">
        <f t="shared" ref="C5:C10" si="0">INDEX(Symbol,B5)</f>
        <v>AAPL</v>
      </c>
      <c r="D5" s="129">
        <f ca="1">INDEX(INDIRECT("tbl_"&amp;C5),COUNT(INDIRECT("tbl_"&amp;C5&amp;"[Date]")), MATCH("Adj close", Price_Header,0))</f>
        <v>112</v>
      </c>
      <c r="E5" s="129">
        <f>INDEX(tbl_position[], COUNT(tbl_position[Date]), MATCH("Shares_"&amp;C5, pos_header,0))</f>
        <v>100</v>
      </c>
      <c r="F5" s="129">
        <f ca="1">tbl_holdings[[#This Row],[Current Price]]*tbl_holdings[[#This Row],['# Holdings]]</f>
        <v>11200</v>
      </c>
      <c r="J5" s="129">
        <v>1</v>
      </c>
      <c r="K5" s="130">
        <v>44083</v>
      </c>
      <c r="L5" s="130">
        <f>K5+6</f>
        <v>44089</v>
      </c>
      <c r="M5" s="129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45019.5</v>
      </c>
      <c r="N5" s="129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10153.5</v>
      </c>
      <c r="O5" s="129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15803.5</v>
      </c>
      <c r="P5" s="129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15837.5</v>
      </c>
      <c r="S5" s="135">
        <v>1</v>
      </c>
      <c r="T5" s="136">
        <f t="shared" ref="T5:T14" ca="1" si="1">INDEX(INDIRECT("tbl_"&amp;$U$2), COUNT(Date_List)-$W$2+$S5, 1)</f>
        <v>44071</v>
      </c>
      <c r="U5" s="137">
        <f t="shared" ref="U5:U14" ca="1" si="2">INDEX(INDIRECT("tbl_"&amp;$U$2), COUNT(Date_List)-$W$2+$S5, MATCH("Adj Close", Price_Header,0))</f>
        <v>284.78817700000002</v>
      </c>
      <c r="V5" s="138">
        <f t="shared" ref="V5:V14" ca="1" si="3">INDEX(INDIRECT("tbl_"&amp;$U$2), COUNT(Date_List)-$W$2+$S5, MATCH("volume", Price_Header,0))/1000</f>
        <v>3100.1</v>
      </c>
      <c r="W5" s="137">
        <f t="shared" ref="W5:W14" ca="1" si="4">INDEX(INDIRECT("tbl_"&amp;$U$2), COUNT(Date_List)-$W$2+$S5, MATCH("EMA", Price_Header,0))</f>
        <v>281.45679632177479</v>
      </c>
      <c r="X5" s="139">
        <f t="shared" ref="X5:X14" ca="1" si="5">INDEX(INDIRECT("tbl_"&amp;$U$2), COUNT(Date_List)-$W$2+$S5, MATCH("RSI", Price_Header,0))</f>
        <v>63.954587445302003</v>
      </c>
      <c r="Y5" s="137">
        <f t="shared" ref="Y5:Y14" ca="1" si="6">INDEX(INDIRECT("tbl_"&amp;$U$2), COUNT(Date_List)-$W$2+$S5, MATCH("BB_Mean", Price_Header,0))</f>
        <v>282.6842565</v>
      </c>
      <c r="Z5" s="137">
        <f t="shared" ref="Z5:Z14" ca="1" si="7">INDEX(INDIRECT("tbl_"&amp;$U$2), COUNT(Date_List)-$W$2+$S5, MATCH("BB_upper", Price_Header,0))</f>
        <v>291.21134120215601</v>
      </c>
      <c r="AA5" s="137">
        <f t="shared" ref="AA5:AA14" ca="1" si="8">INDEX(INDIRECT("tbl_"&amp;$U$2), COUNT(Date_List)-$W$2+$S5, MATCH("BB_lower", Price_Header,0))</f>
        <v>274.157171797844</v>
      </c>
      <c r="AB5" s="138" t="str">
        <f ca="1">TEXT(T5, "mm/dd")</f>
        <v>08/28</v>
      </c>
      <c r="AC5" s="138">
        <v>70</v>
      </c>
      <c r="AD5" s="140">
        <v>30</v>
      </c>
      <c r="AG5" s="129">
        <v>0</v>
      </c>
      <c r="AH5" s="130">
        <v>44083</v>
      </c>
      <c r="AI5" s="147">
        <v>100000</v>
      </c>
      <c r="AJ5" s="147">
        <v>100000</v>
      </c>
      <c r="AK5" s="129" t="str">
        <f>TEXT(AH5, "mm/dd")</f>
        <v>09/09</v>
      </c>
    </row>
    <row r="6" spans="2:37" x14ac:dyDescent="0.25">
      <c r="B6" s="129">
        <v>2</v>
      </c>
      <c r="C6" s="129" t="str">
        <f t="shared" si="0"/>
        <v>RIOT</v>
      </c>
      <c r="D6" s="129">
        <f t="shared" ref="D6:D10" ca="1" si="9">INDEX(INDIRECT("tbl_"&amp;C6),COUNT(INDIRECT("tbl_"&amp;C6&amp;"[Date]")), MATCH("Adj close", Price_Header,0))</f>
        <v>2.91</v>
      </c>
      <c r="E6" s="129">
        <f>INDEX(tbl_position[], COUNT(tbl_position[Date]), MATCH("Shares_"&amp;C6, pos_header,0))</f>
        <v>1000</v>
      </c>
      <c r="F6" s="129">
        <f ca="1">tbl_holdings[[#This Row],[Current Price]]*tbl_holdings[[#This Row],['# Holdings]]</f>
        <v>2910</v>
      </c>
      <c r="J6" s="129">
        <v>2</v>
      </c>
      <c r="K6" s="130">
        <f>K5+7</f>
        <v>44090</v>
      </c>
      <c r="L6" s="130">
        <f>L5+7</f>
        <v>44096</v>
      </c>
      <c r="M6" s="129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6" s="129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6" s="129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6" s="129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6" s="135">
        <v>2</v>
      </c>
      <c r="T6" s="136">
        <f t="shared" ca="1" si="1"/>
        <v>44074</v>
      </c>
      <c r="U6" s="137">
        <f t="shared" ca="1" si="2"/>
        <v>283.54473899999999</v>
      </c>
      <c r="V6" s="138">
        <f t="shared" ca="1" si="3"/>
        <v>4105.3999999999996</v>
      </c>
      <c r="W6" s="137">
        <f t="shared" ca="1" si="4"/>
        <v>281.66559058959734</v>
      </c>
      <c r="X6" s="139">
        <f t="shared" ca="1" si="5"/>
        <v>61.911481520808508</v>
      </c>
      <c r="Y6" s="137">
        <f t="shared" ca="1" si="6"/>
        <v>283.40332257142859</v>
      </c>
      <c r="Z6" s="137">
        <f t="shared" ca="1" si="7"/>
        <v>290.08404976235278</v>
      </c>
      <c r="AA6" s="137">
        <f t="shared" ca="1" si="8"/>
        <v>276.7225953805044</v>
      </c>
      <c r="AB6" s="138" t="str">
        <f t="shared" ref="AB6:AB14" ca="1" si="10">TEXT(T6, "mm/dd")</f>
        <v>08/31</v>
      </c>
      <c r="AC6" s="138">
        <v>70</v>
      </c>
      <c r="AD6" s="140">
        <v>30</v>
      </c>
      <c r="AG6" s="148">
        <v>1</v>
      </c>
      <c r="AH6" s="130">
        <f>INDEX(tbl_position[Date], AG6)</f>
        <v>44084</v>
      </c>
      <c r="AI6" s="149">
        <f ca="1">INDEX(tbl_position[Total_Net_Asset], AG6)</f>
        <v>98595.0003</v>
      </c>
      <c r="AJ6" s="147">
        <f>INDEX(tbl_position[Cash_Holding], AG6)</f>
        <v>63721.5</v>
      </c>
      <c r="AK6" s="129" t="str">
        <f>TEXT(AH6, "mm/dd")</f>
        <v>09/10</v>
      </c>
    </row>
    <row r="7" spans="2:37" x14ac:dyDescent="0.25">
      <c r="B7" s="129">
        <v>3</v>
      </c>
      <c r="C7" s="129" t="str">
        <f t="shared" si="0"/>
        <v>HD</v>
      </c>
      <c r="D7" s="129">
        <f t="shared" ca="1" si="9"/>
        <v>276.32998700000002</v>
      </c>
      <c r="E7" s="129">
        <f>INDEX(tbl_position[], COUNT(tbl_position[Date]), MATCH("Shares_"&amp;C7, pos_header,0))</f>
        <v>50</v>
      </c>
      <c r="F7" s="129">
        <f ca="1">tbl_holdings[[#This Row],[Current Price]]*tbl_holdings[[#This Row],['# Holdings]]</f>
        <v>13816.49935</v>
      </c>
      <c r="J7" s="129">
        <v>3</v>
      </c>
      <c r="K7" s="130">
        <f t="shared" ref="K7:K10" si="11">K6+7</f>
        <v>44097</v>
      </c>
      <c r="L7" s="130">
        <f t="shared" ref="L7:L10" si="12">L6+7</f>
        <v>44103</v>
      </c>
      <c r="M7" s="129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7" s="129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7" s="129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7" s="129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7" s="135">
        <v>3</v>
      </c>
      <c r="T7" s="136">
        <f t="shared" ca="1" si="1"/>
        <v>44075</v>
      </c>
      <c r="U7" s="137">
        <f t="shared" ca="1" si="2"/>
        <v>284.44000199999999</v>
      </c>
      <c r="V7" s="138">
        <f t="shared" ca="1" si="3"/>
        <v>3238.1</v>
      </c>
      <c r="W7" s="137">
        <f t="shared" ca="1" si="4"/>
        <v>281.94303173063759</v>
      </c>
      <c r="X7" s="139">
        <f t="shared" ca="1" si="5"/>
        <v>55.936844893647965</v>
      </c>
      <c r="Y7" s="137">
        <f t="shared" ca="1" si="6"/>
        <v>283.71311957142859</v>
      </c>
      <c r="Z7" s="137">
        <f t="shared" ca="1" si="7"/>
        <v>290.13165722536593</v>
      </c>
      <c r="AA7" s="137">
        <f t="shared" ca="1" si="8"/>
        <v>277.29458191749126</v>
      </c>
      <c r="AB7" s="138" t="str">
        <f t="shared" ca="1" si="10"/>
        <v>09/01</v>
      </c>
      <c r="AC7" s="138">
        <v>70</v>
      </c>
      <c r="AD7" s="140">
        <v>30</v>
      </c>
      <c r="AG7" s="148">
        <v>2</v>
      </c>
      <c r="AH7" s="130">
        <f>INDEX(tbl_position[Date], AG7)</f>
        <v>44085</v>
      </c>
      <c r="AI7" s="149">
        <f ca="1">INDEX(tbl_position[Total_Net_Asset], AG7)</f>
        <v>98794.499349999998</v>
      </c>
      <c r="AJ7" s="147">
        <f>INDEX(tbl_position[Cash_Holding], AG7)</f>
        <v>65134</v>
      </c>
      <c r="AK7" s="129" t="str">
        <f>TEXT(AH7, "mm/dd")</f>
        <v>09/11</v>
      </c>
    </row>
    <row r="8" spans="2:37" x14ac:dyDescent="0.25">
      <c r="B8" s="129">
        <v>4</v>
      </c>
      <c r="C8" s="129" t="str">
        <f t="shared" si="0"/>
        <v>WMT</v>
      </c>
      <c r="D8" s="129">
        <f t="shared" ca="1" si="9"/>
        <v>252.279999</v>
      </c>
      <c r="E8" s="129">
        <f>INDEX(tbl_position[], COUNT(tbl_position[Date]), MATCH("Shares_"&amp;C8, pos_header,0))</f>
        <v>0</v>
      </c>
      <c r="F8" s="129">
        <f ca="1">tbl_holdings[[#This Row],[Current Price]]*tbl_holdings[[#This Row],['# Holdings]]</f>
        <v>0</v>
      </c>
      <c r="J8" s="129">
        <v>4</v>
      </c>
      <c r="K8" s="130">
        <f t="shared" si="11"/>
        <v>44104</v>
      </c>
      <c r="L8" s="130">
        <f t="shared" si="12"/>
        <v>44110</v>
      </c>
      <c r="M8" s="129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8" s="129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8" s="129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8" s="129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8" s="135">
        <v>4</v>
      </c>
      <c r="T8" s="136">
        <f t="shared" ca="1" si="1"/>
        <v>44076</v>
      </c>
      <c r="U8" s="137">
        <f t="shared" ca="1" si="2"/>
        <v>287.20001200000002</v>
      </c>
      <c r="V8" s="138">
        <f t="shared" ca="1" si="3"/>
        <v>3464.6</v>
      </c>
      <c r="W8" s="137">
        <f t="shared" ca="1" si="4"/>
        <v>282.46872975757384</v>
      </c>
      <c r="X8" s="139">
        <f t="shared" ca="1" si="5"/>
        <v>58.949159549789243</v>
      </c>
      <c r="Y8" s="137">
        <f t="shared" ca="1" si="6"/>
        <v>284.21437292857138</v>
      </c>
      <c r="Z8" s="137">
        <f t="shared" ca="1" si="7"/>
        <v>290.54057269588361</v>
      </c>
      <c r="AA8" s="137">
        <f t="shared" ca="1" si="8"/>
        <v>277.88817316125915</v>
      </c>
      <c r="AB8" s="138" t="str">
        <f t="shared" ca="1" si="10"/>
        <v>09/02</v>
      </c>
      <c r="AC8" s="138">
        <v>70</v>
      </c>
      <c r="AD8" s="140">
        <v>30</v>
      </c>
      <c r="AG8" s="47"/>
    </row>
    <row r="9" spans="2:37" x14ac:dyDescent="0.25">
      <c r="B9" s="129">
        <v>5</v>
      </c>
      <c r="C9" s="129" t="str">
        <f t="shared" si="0"/>
        <v>IBM</v>
      </c>
      <c r="D9" s="129">
        <f t="shared" ca="1" si="9"/>
        <v>121.459999</v>
      </c>
      <c r="E9" s="129">
        <f>INDEX(tbl_position[], COUNT(tbl_position[Date]), MATCH("Shares_"&amp;C9, pos_header,0))</f>
        <v>0</v>
      </c>
      <c r="F9" s="129">
        <f ca="1">tbl_holdings[[#This Row],[Current Price]]*tbl_holdings[[#This Row],['# Holdings]]</f>
        <v>0</v>
      </c>
      <c r="J9" s="129">
        <v>5</v>
      </c>
      <c r="K9" s="130">
        <f t="shared" si="11"/>
        <v>44111</v>
      </c>
      <c r="L9" s="130">
        <f t="shared" si="12"/>
        <v>44117</v>
      </c>
      <c r="M9" s="129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9" s="129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9" s="129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9" s="129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9" s="135">
        <v>5</v>
      </c>
      <c r="T9" s="136">
        <f t="shared" ca="1" si="1"/>
        <v>44077</v>
      </c>
      <c r="U9" s="137">
        <f t="shared" ca="1" si="2"/>
        <v>274.63000499999998</v>
      </c>
      <c r="V9" s="138">
        <f t="shared" ca="1" si="3"/>
        <v>5380.1</v>
      </c>
      <c r="W9" s="137">
        <f t="shared" ca="1" si="4"/>
        <v>281.68485728181645</v>
      </c>
      <c r="X9" s="139">
        <f t="shared" ca="1" si="5"/>
        <v>45.610891926382877</v>
      </c>
      <c r="Y9" s="137">
        <f t="shared" ca="1" si="6"/>
        <v>283.89664135714287</v>
      </c>
      <c r="Z9" s="137">
        <f t="shared" ca="1" si="7"/>
        <v>291.62540050677137</v>
      </c>
      <c r="AA9" s="137">
        <f t="shared" ca="1" si="8"/>
        <v>276.16788220751437</v>
      </c>
      <c r="AB9" s="138" t="str">
        <f t="shared" ca="1" si="10"/>
        <v>09/03</v>
      </c>
      <c r="AC9" s="138">
        <v>70</v>
      </c>
      <c r="AD9" s="140">
        <v>30</v>
      </c>
      <c r="AG9" s="47"/>
    </row>
    <row r="10" spans="2:37" x14ac:dyDescent="0.25">
      <c r="B10" s="129">
        <v>6</v>
      </c>
      <c r="C10" s="129" t="str">
        <f t="shared" si="0"/>
        <v>ORCL</v>
      </c>
      <c r="D10" s="129">
        <f t="shared" ca="1" si="9"/>
        <v>57</v>
      </c>
      <c r="E10" s="129">
        <f>INDEX(tbl_position[], COUNT(tbl_position[Date]), MATCH("Shares_"&amp;C10, pos_header,0))</f>
        <v>100</v>
      </c>
      <c r="F10" s="129">
        <f ca="1">tbl_holdings[[#This Row],[Current Price]]*tbl_holdings[[#This Row],['# Holdings]]</f>
        <v>5700</v>
      </c>
      <c r="J10" s="129">
        <v>6</v>
      </c>
      <c r="K10" s="130">
        <f t="shared" si="11"/>
        <v>44118</v>
      </c>
      <c r="L10" s="130">
        <f t="shared" si="12"/>
        <v>44124</v>
      </c>
      <c r="M10" s="129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10" s="129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10" s="129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10" s="129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10" s="135">
        <v>6</v>
      </c>
      <c r="T10" s="136">
        <f t="shared" ca="1" si="1"/>
        <v>44078</v>
      </c>
      <c r="U10" s="137">
        <f t="shared" ca="1" si="2"/>
        <v>269.66000400000001</v>
      </c>
      <c r="V10" s="138">
        <f t="shared" ca="1" si="3"/>
        <v>5253.5</v>
      </c>
      <c r="W10" s="137">
        <f t="shared" ca="1" si="4"/>
        <v>280.48237195363481</v>
      </c>
      <c r="X10" s="139">
        <f t="shared" ca="1" si="5"/>
        <v>32.218665200259792</v>
      </c>
      <c r="Y10" s="137">
        <f t="shared" ca="1" si="6"/>
        <v>282.67750335714283</v>
      </c>
      <c r="Z10" s="137">
        <f t="shared" ca="1" si="7"/>
        <v>293.31838291706708</v>
      </c>
      <c r="AA10" s="137">
        <f t="shared" ca="1" si="8"/>
        <v>272.03662379721857</v>
      </c>
      <c r="AB10" s="138" t="str">
        <f t="shared" ca="1" si="10"/>
        <v>09/04</v>
      </c>
      <c r="AC10" s="138">
        <v>70</v>
      </c>
      <c r="AD10" s="140">
        <v>30</v>
      </c>
      <c r="AG10" s="47"/>
    </row>
    <row r="11" spans="2:37" x14ac:dyDescent="0.25">
      <c r="S11" s="135">
        <v>7</v>
      </c>
      <c r="T11" s="136">
        <f t="shared" ca="1" si="1"/>
        <v>44082</v>
      </c>
      <c r="U11" s="137">
        <f t="shared" ca="1" si="2"/>
        <v>269.26001000000002</v>
      </c>
      <c r="V11" s="138">
        <f t="shared" ca="1" si="3"/>
        <v>5241.2</v>
      </c>
      <c r="W11" s="137">
        <f t="shared" ca="1" si="4"/>
        <v>279.36013575827133</v>
      </c>
      <c r="X11" s="139">
        <f t="shared" ca="1" si="5"/>
        <v>34.232198484698941</v>
      </c>
      <c r="Y11" s="137">
        <f t="shared" ca="1" si="6"/>
        <v>281.66000807142854</v>
      </c>
      <c r="Z11" s="137">
        <f t="shared" ca="1" si="7"/>
        <v>294.46436249494525</v>
      </c>
      <c r="AA11" s="137">
        <f t="shared" ca="1" si="8"/>
        <v>268.85565364791182</v>
      </c>
      <c r="AB11" s="138" t="str">
        <f t="shared" ca="1" si="10"/>
        <v>09/08</v>
      </c>
      <c r="AC11" s="138">
        <v>70</v>
      </c>
      <c r="AD11" s="140">
        <v>30</v>
      </c>
      <c r="AG11" s="47"/>
    </row>
    <row r="12" spans="2:37" x14ac:dyDescent="0.25">
      <c r="S12" s="135">
        <v>8</v>
      </c>
      <c r="T12" s="136">
        <f t="shared" ca="1" si="1"/>
        <v>44083</v>
      </c>
      <c r="U12" s="137">
        <f t="shared" ca="1" si="2"/>
        <v>277.040009</v>
      </c>
      <c r="V12" s="138">
        <f t="shared" ca="1" si="3"/>
        <v>4754.7</v>
      </c>
      <c r="W12" s="137">
        <f t="shared" ca="1" si="4"/>
        <v>279.12812308244418</v>
      </c>
      <c r="X12" s="139">
        <f t="shared" ca="1" si="5"/>
        <v>45.734024748504304</v>
      </c>
      <c r="Y12" s="137">
        <f t="shared" ca="1" si="6"/>
        <v>281.35028521428563</v>
      </c>
      <c r="Z12" s="137">
        <f t="shared" ca="1" si="7"/>
        <v>294.39179478095946</v>
      </c>
      <c r="AA12" s="137">
        <f t="shared" ca="1" si="8"/>
        <v>268.30877564761181</v>
      </c>
      <c r="AB12" s="138" t="str">
        <f t="shared" ca="1" si="10"/>
        <v>09/09</v>
      </c>
      <c r="AC12" s="138">
        <v>70</v>
      </c>
      <c r="AD12" s="140">
        <v>30</v>
      </c>
      <c r="AG12" s="47"/>
    </row>
    <row r="13" spans="2:37" x14ac:dyDescent="0.25">
      <c r="S13" s="135">
        <v>9</v>
      </c>
      <c r="T13" s="136">
        <f t="shared" ca="1" si="1"/>
        <v>44084</v>
      </c>
      <c r="U13" s="137">
        <f t="shared" ca="1" si="2"/>
        <v>272.70001200000002</v>
      </c>
      <c r="V13" s="138">
        <f t="shared" ca="1" si="3"/>
        <v>3155.8</v>
      </c>
      <c r="W13" s="137">
        <f t="shared" ca="1" si="4"/>
        <v>278.48531197419976</v>
      </c>
      <c r="X13" s="139">
        <f t="shared" ca="1" si="5"/>
        <v>43.860041490677617</v>
      </c>
      <c r="Y13" s="137">
        <f t="shared" ca="1" si="6"/>
        <v>280.88545885714285</v>
      </c>
      <c r="Z13" s="137">
        <f t="shared" ca="1" si="7"/>
        <v>294.69709624703529</v>
      </c>
      <c r="AA13" s="137">
        <f t="shared" ca="1" si="8"/>
        <v>267.07382146725041</v>
      </c>
      <c r="AB13" s="138" t="str">
        <f t="shared" ca="1" si="10"/>
        <v>09/10</v>
      </c>
      <c r="AC13" s="138">
        <v>70</v>
      </c>
      <c r="AD13" s="140">
        <v>30</v>
      </c>
      <c r="AG13" s="47"/>
    </row>
    <row r="14" spans="2:37" ht="15.75" thickBot="1" x14ac:dyDescent="0.3">
      <c r="S14" s="141">
        <v>10</v>
      </c>
      <c r="T14" s="142">
        <f t="shared" ca="1" si="1"/>
        <v>44085</v>
      </c>
      <c r="U14" s="143">
        <f t="shared" ca="1" si="2"/>
        <v>276.32998700000002</v>
      </c>
      <c r="V14" s="144">
        <f t="shared" ca="1" si="3"/>
        <v>3328.7469999999998</v>
      </c>
      <c r="W14" s="143">
        <f t="shared" ca="1" si="4"/>
        <v>278.26977947677977</v>
      </c>
      <c r="X14" s="145">
        <f t="shared" ca="1" si="5"/>
        <v>44.99486613351862</v>
      </c>
      <c r="Y14" s="143">
        <f t="shared" ca="1" si="6"/>
        <v>280.49872707142856</v>
      </c>
      <c r="Z14" s="143">
        <f t="shared" ca="1" si="7"/>
        <v>294.50856192369491</v>
      </c>
      <c r="AA14" s="143">
        <f t="shared" ca="1" si="8"/>
        <v>266.48889221916221</v>
      </c>
      <c r="AB14" s="144" t="str">
        <f t="shared" ca="1" si="10"/>
        <v>09/11</v>
      </c>
      <c r="AC14" s="144">
        <v>70</v>
      </c>
      <c r="AD14" s="146">
        <v>30</v>
      </c>
      <c r="AG14" s="47"/>
    </row>
  </sheetData>
  <sheetProtection sheet="1" objects="1" scenarios="1" selectLockedCells="1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Q11" sqref="Q11"/>
    </sheetView>
  </sheetViews>
  <sheetFormatPr defaultRowHeight="15" x14ac:dyDescent="0.25"/>
  <cols>
    <col min="1" max="1" width="9.7109375" customWidth="1"/>
    <col min="2" max="2" width="15.5703125" customWidth="1"/>
    <col min="3" max="3" width="17.85546875" customWidth="1"/>
    <col min="4" max="4" width="14.140625" customWidth="1"/>
    <col min="5" max="5" width="15.85546875" customWidth="1"/>
    <col min="6" max="6" width="10.28515625" customWidth="1"/>
    <col min="7" max="7" width="17.28515625" customWidth="1"/>
    <col min="8" max="8" width="15" hidden="1" customWidth="1"/>
    <col min="9" max="9" width="13.140625" hidden="1" customWidth="1"/>
    <col min="10" max="10" width="13" hidden="1" customWidth="1"/>
    <col min="11" max="11" width="17.42578125" hidden="1" customWidth="1"/>
    <col min="12" max="12" width="15.5703125" hidden="1" customWidth="1"/>
    <col min="13" max="13" width="15.42578125" hidden="1" customWidth="1"/>
    <col min="14" max="14" width="13.42578125" customWidth="1"/>
    <col min="15" max="15" width="18.42578125" customWidth="1"/>
    <col min="16" max="16" width="19.140625" customWidth="1"/>
    <col min="17" max="17" width="20.42578125" customWidth="1"/>
    <col min="18" max="18" width="18.7109375" customWidth="1"/>
    <col min="19" max="19" width="21" customWidth="1"/>
  </cols>
  <sheetData>
    <row r="1" spans="1:19" ht="21" x14ac:dyDescent="0.35">
      <c r="A1" s="41" t="s">
        <v>15</v>
      </c>
      <c r="B1" s="41"/>
      <c r="C1" s="41"/>
      <c r="D1" s="41"/>
      <c r="E1" s="41"/>
    </row>
    <row r="2" spans="1:19" ht="15.75" x14ac:dyDescent="0.25">
      <c r="A2" t="s">
        <v>112</v>
      </c>
    </row>
    <row r="4" spans="1:19" x14ac:dyDescent="0.25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s="9" t="s">
        <v>55</v>
      </c>
      <c r="O4" t="s">
        <v>56</v>
      </c>
      <c r="P4" t="s">
        <v>57</v>
      </c>
      <c r="Q4" t="s">
        <v>160</v>
      </c>
      <c r="R4" t="s">
        <v>161</v>
      </c>
      <c r="S4" t="s">
        <v>163</v>
      </c>
    </row>
    <row r="5" spans="1:19" x14ac:dyDescent="0.25">
      <c r="A5" t="s">
        <v>16</v>
      </c>
      <c r="B5" t="s">
        <v>17</v>
      </c>
      <c r="C5" t="s">
        <v>18</v>
      </c>
      <c r="D5" t="s">
        <v>19</v>
      </c>
      <c r="F5" s="47">
        <v>100</v>
      </c>
      <c r="G5" s="122">
        <v>120.37</v>
      </c>
      <c r="H5" s="123">
        <f>VALUE(LEFT(tbl_transaction[[#This Row],[Order Date]],FIND("/",tbl_transaction[[#This Row],[Order Date]])-1))</f>
        <v>9</v>
      </c>
      <c r="I5" s="12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5" s="123" t="str">
        <f>MID(tbl_transaction[[#This Row],[Order Date]], FIND("/",tbl_transaction[[#This Row],[Order Date]], FIND("/", tbl_transaction[[#This Row],[Order Date]])+1)+1, 2)</f>
        <v>20</v>
      </c>
      <c r="K5" s="123">
        <f>VALUE(LEFT(tbl_transaction[[#This Row],[Transaction Date]],FIND("/",tbl_transaction[[#This Row],[Transaction Date]])-1))</f>
        <v>9</v>
      </c>
      <c r="L5" s="12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5" s="123" t="str">
        <f>MID(tbl_transaction[[#This Row],[Transaction Date]], FIND("/",tbl_transaction[[#This Row],[Transaction Date]], FIND("/", tbl_transaction[[#This Row],[Transaction Date]])+1)+1, 2)</f>
        <v>20</v>
      </c>
      <c r="N5" s="124">
        <f>DATE(tbl_transaction[[#This Row],[Year_order]]+2000, tbl_transaction[[#This Row],[Month_order]], tbl_transaction[[#This Row],[Date_order]])</f>
        <v>44084</v>
      </c>
      <c r="O5" s="124">
        <f>DATE(tbl_transaction[[#This Row],[Year_Transact]]+2000,tbl_transaction[[#This Row],[Month_Transact]],tbl_transaction[[#This Row],[Date_Transact]])</f>
        <v>44084</v>
      </c>
      <c r="P5" s="125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-12037</v>
      </c>
      <c r="Q5" s="125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12037</v>
      </c>
      <c r="R5" s="125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" s="126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6" spans="1:19" x14ac:dyDescent="0.25">
      <c r="A6" t="s">
        <v>20</v>
      </c>
      <c r="B6" t="s">
        <v>21</v>
      </c>
      <c r="C6" t="s">
        <v>18</v>
      </c>
      <c r="D6" t="s">
        <v>19</v>
      </c>
      <c r="F6" s="47">
        <v>1000</v>
      </c>
      <c r="G6" s="48">
        <v>3.02</v>
      </c>
      <c r="H6">
        <f>VALUE(LEFT(tbl_transaction[[#This Row],[Order Date]],FIND("/",tbl_transaction[[#This Row],[Order Date]])-1))</f>
        <v>9</v>
      </c>
      <c r="I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6" t="str">
        <f>MID(tbl_transaction[[#This Row],[Order Date]], FIND("/",tbl_transaction[[#This Row],[Order Date]], FIND("/", tbl_transaction[[#This Row],[Order Date]])+1)+1, 2)</f>
        <v>20</v>
      </c>
      <c r="K6">
        <f>VALUE(LEFT(tbl_transaction[[#This Row],[Transaction Date]],FIND("/",tbl_transaction[[#This Row],[Transaction Date]])-1))</f>
        <v>9</v>
      </c>
      <c r="L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6" t="str">
        <f>MID(tbl_transaction[[#This Row],[Transaction Date]], FIND("/",tbl_transaction[[#This Row],[Transaction Date]], FIND("/", tbl_transaction[[#This Row],[Transaction Date]])+1)+1, 2)</f>
        <v>20</v>
      </c>
      <c r="N6" s="9">
        <f>DATE(tbl_transaction[[#This Row],[Year_order]]+2000, tbl_transaction[[#This Row],[Month_order]], tbl_transaction[[#This Row],[Date_order]])</f>
        <v>44084</v>
      </c>
      <c r="O6" s="9">
        <f>DATE(tbl_transaction[[#This Row],[Year_Transact]]+2000,tbl_transaction[[#This Row],[Month_Transact]],tbl_transaction[[#This Row],[Date_Transact]])</f>
        <v>44084</v>
      </c>
      <c r="P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-3020</v>
      </c>
      <c r="Q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3020</v>
      </c>
      <c r="R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7" spans="1:19" x14ac:dyDescent="0.25">
      <c r="A7" t="s">
        <v>22</v>
      </c>
      <c r="B7" t="s">
        <v>23</v>
      </c>
      <c r="C7" t="s">
        <v>23</v>
      </c>
      <c r="D7" t="s">
        <v>19</v>
      </c>
      <c r="F7" s="47">
        <v>50</v>
      </c>
      <c r="G7" s="48">
        <v>277.3</v>
      </c>
      <c r="H7">
        <f>VALUE(LEFT(tbl_transaction[[#This Row],[Order Date]],FIND("/",tbl_transaction[[#This Row],[Order Date]])-1))</f>
        <v>9</v>
      </c>
      <c r="I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7" t="str">
        <f>MID(tbl_transaction[[#This Row],[Order Date]], FIND("/",tbl_transaction[[#This Row],[Order Date]], FIND("/", tbl_transaction[[#This Row],[Order Date]])+1)+1, 2)</f>
        <v>20</v>
      </c>
      <c r="K7">
        <f>VALUE(LEFT(tbl_transaction[[#This Row],[Transaction Date]],FIND("/",tbl_transaction[[#This Row],[Transaction Date]])-1))</f>
        <v>9</v>
      </c>
      <c r="L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7" t="str">
        <f>MID(tbl_transaction[[#This Row],[Transaction Date]], FIND("/",tbl_transaction[[#This Row],[Transaction Date]], FIND("/", tbl_transaction[[#This Row],[Transaction Date]])+1)+1, 2)</f>
        <v>20</v>
      </c>
      <c r="N7" s="9">
        <f>DATE(tbl_transaction[[#This Row],[Year_order]]+2000, tbl_transaction[[#This Row],[Month_order]], tbl_transaction[[#This Row],[Date_order]])</f>
        <v>44084</v>
      </c>
      <c r="O7" s="9">
        <f>DATE(tbl_transaction[[#This Row],[Year_Transact]]+2000,tbl_transaction[[#This Row],[Month_Transact]],tbl_transaction[[#This Row],[Date_Transact]])</f>
        <v>44084</v>
      </c>
      <c r="P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-13865</v>
      </c>
      <c r="Q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13865</v>
      </c>
      <c r="R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8" spans="1:19" x14ac:dyDescent="0.25">
      <c r="A8" t="s">
        <v>16</v>
      </c>
      <c r="B8" t="s">
        <v>24</v>
      </c>
      <c r="C8" t="s">
        <v>24</v>
      </c>
      <c r="D8" t="s">
        <v>19</v>
      </c>
      <c r="F8" s="47">
        <v>50</v>
      </c>
      <c r="G8" s="48">
        <v>117.93</v>
      </c>
      <c r="H8">
        <f>VALUE(LEFT(tbl_transaction[[#This Row],[Order Date]],FIND("/",tbl_transaction[[#This Row],[Order Date]])-1))</f>
        <v>9</v>
      </c>
      <c r="I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8" t="str">
        <f>MID(tbl_transaction[[#This Row],[Order Date]], FIND("/",tbl_transaction[[#This Row],[Order Date]], FIND("/", tbl_transaction[[#This Row],[Order Date]])+1)+1, 2)</f>
        <v>20</v>
      </c>
      <c r="K8">
        <f>VALUE(LEFT(tbl_transaction[[#This Row],[Transaction Date]],FIND("/",tbl_transaction[[#This Row],[Transaction Date]])-1))</f>
        <v>9</v>
      </c>
      <c r="L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8" t="str">
        <f>MID(tbl_transaction[[#This Row],[Transaction Date]], FIND("/",tbl_transaction[[#This Row],[Transaction Date]], FIND("/", tbl_transaction[[#This Row],[Transaction Date]])+1)+1, 2)</f>
        <v>20</v>
      </c>
      <c r="N8" s="9">
        <f>DATE(tbl_transaction[[#This Row],[Year_order]]+2000, tbl_transaction[[#This Row],[Month_order]], tbl_transaction[[#This Row],[Date_order]])</f>
        <v>44084</v>
      </c>
      <c r="O8" s="9">
        <f>DATE(tbl_transaction[[#This Row],[Year_Transact]]+2000,tbl_transaction[[#This Row],[Month_Transact]],tbl_transaction[[#This Row],[Date_Transact]])</f>
        <v>44084</v>
      </c>
      <c r="P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-5896.5</v>
      </c>
      <c r="Q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5896.5</v>
      </c>
      <c r="R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9" spans="1:19" x14ac:dyDescent="0.25">
      <c r="A9" t="s">
        <v>20</v>
      </c>
      <c r="B9" t="s">
        <v>25</v>
      </c>
      <c r="C9" t="s">
        <v>25</v>
      </c>
      <c r="D9" t="s">
        <v>26</v>
      </c>
      <c r="F9" s="47">
        <v>1000</v>
      </c>
      <c r="G9" s="48">
        <v>3.04</v>
      </c>
      <c r="H9">
        <f>VALUE(LEFT(tbl_transaction[[#This Row],[Order Date]],FIND("/",tbl_transaction[[#This Row],[Order Date]])-1))</f>
        <v>9</v>
      </c>
      <c r="I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9" t="str">
        <f>MID(tbl_transaction[[#This Row],[Order Date]], FIND("/",tbl_transaction[[#This Row],[Order Date]], FIND("/", tbl_transaction[[#This Row],[Order Date]])+1)+1, 2)</f>
        <v>20</v>
      </c>
      <c r="K9">
        <f>VALUE(LEFT(tbl_transaction[[#This Row],[Transaction Date]],FIND("/",tbl_transaction[[#This Row],[Transaction Date]])-1))</f>
        <v>9</v>
      </c>
      <c r="L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9" t="str">
        <f>MID(tbl_transaction[[#This Row],[Transaction Date]], FIND("/",tbl_transaction[[#This Row],[Transaction Date]], FIND("/", tbl_transaction[[#This Row],[Transaction Date]])+1)+1, 2)</f>
        <v>20</v>
      </c>
      <c r="N9" s="9">
        <f>DATE(tbl_transaction[[#This Row],[Year_order]]+2000, tbl_transaction[[#This Row],[Month_order]], tbl_transaction[[#This Row],[Date_order]])</f>
        <v>44084</v>
      </c>
      <c r="O9" s="9">
        <f>DATE(tbl_transaction[[#This Row],[Year_Transact]]+2000,tbl_transaction[[#This Row],[Month_Transact]],tbl_transaction[[#This Row],[Date_Transact]])</f>
        <v>44084</v>
      </c>
      <c r="P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3040</v>
      </c>
      <c r="Q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-3040</v>
      </c>
      <c r="R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10" spans="1:19" x14ac:dyDescent="0.25">
      <c r="A10" t="s">
        <v>20</v>
      </c>
      <c r="B10" t="s">
        <v>27</v>
      </c>
      <c r="C10" t="s">
        <v>27</v>
      </c>
      <c r="D10" t="s">
        <v>19</v>
      </c>
      <c r="F10" s="47">
        <v>1500</v>
      </c>
      <c r="G10" s="48">
        <v>3</v>
      </c>
      <c r="H10">
        <f>VALUE(LEFT(tbl_transaction[[#This Row],[Order Date]],FIND("/",tbl_transaction[[#This Row],[Order Date]])-1))</f>
        <v>9</v>
      </c>
      <c r="I1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10" t="str">
        <f>MID(tbl_transaction[[#This Row],[Order Date]], FIND("/",tbl_transaction[[#This Row],[Order Date]], FIND("/", tbl_transaction[[#This Row],[Order Date]])+1)+1, 2)</f>
        <v>20</v>
      </c>
      <c r="K10">
        <f>VALUE(LEFT(tbl_transaction[[#This Row],[Transaction Date]],FIND("/",tbl_transaction[[#This Row],[Transaction Date]])-1))</f>
        <v>9</v>
      </c>
      <c r="L1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10" t="str">
        <f>MID(tbl_transaction[[#This Row],[Transaction Date]], FIND("/",tbl_transaction[[#This Row],[Transaction Date]], FIND("/", tbl_transaction[[#This Row],[Transaction Date]])+1)+1, 2)</f>
        <v>20</v>
      </c>
      <c r="N10" s="9">
        <f>DATE(tbl_transaction[[#This Row],[Year_order]]+2000, tbl_transaction[[#This Row],[Month_order]], tbl_transaction[[#This Row],[Date_order]])</f>
        <v>44084</v>
      </c>
      <c r="O10" s="9">
        <f>DATE(tbl_transaction[[#This Row],[Year_Transact]]+2000,tbl_transaction[[#This Row],[Month_Transact]],tbl_transaction[[#This Row],[Date_Transact]])</f>
        <v>44084</v>
      </c>
      <c r="P1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-4500</v>
      </c>
      <c r="Q1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4500</v>
      </c>
      <c r="R1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1500</v>
      </c>
    </row>
    <row r="11" spans="1:19" x14ac:dyDescent="0.25">
      <c r="A11" t="s">
        <v>16</v>
      </c>
      <c r="B11" t="s">
        <v>28</v>
      </c>
      <c r="C11" t="s">
        <v>28</v>
      </c>
      <c r="D11" t="s">
        <v>26</v>
      </c>
      <c r="F11" s="47">
        <v>50</v>
      </c>
      <c r="G11" s="48">
        <v>113.77</v>
      </c>
      <c r="H11">
        <f>VALUE(LEFT(tbl_transaction[[#This Row],[Order Date]],FIND("/",tbl_transaction[[#This Row],[Order Date]])-1))</f>
        <v>9</v>
      </c>
      <c r="I1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1" t="str">
        <f>MID(tbl_transaction[[#This Row],[Order Date]], FIND("/",tbl_transaction[[#This Row],[Order Date]], FIND("/", tbl_transaction[[#This Row],[Order Date]])+1)+1, 2)</f>
        <v>20</v>
      </c>
      <c r="K11">
        <f>VALUE(LEFT(tbl_transaction[[#This Row],[Transaction Date]],FIND("/",tbl_transaction[[#This Row],[Transaction Date]])-1))</f>
        <v>9</v>
      </c>
      <c r="L1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1" t="str">
        <f>MID(tbl_transaction[[#This Row],[Transaction Date]], FIND("/",tbl_transaction[[#This Row],[Transaction Date]], FIND("/", tbl_transaction[[#This Row],[Transaction Date]])+1)+1, 2)</f>
        <v>20</v>
      </c>
      <c r="N11" s="9">
        <f>DATE(tbl_transaction[[#This Row],[Year_order]]+2000, tbl_transaction[[#This Row],[Month_order]], tbl_transaction[[#This Row],[Date_order]])</f>
        <v>44085</v>
      </c>
      <c r="O11" s="9">
        <f>DATE(tbl_transaction[[#This Row],[Year_Transact]]+2000,tbl_transaction[[#This Row],[Month_Transact]],tbl_transaction[[#This Row],[Date_Transact]])</f>
        <v>44085</v>
      </c>
      <c r="P1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5688.5</v>
      </c>
      <c r="Q1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-5688.5</v>
      </c>
      <c r="R1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2" spans="1:19" x14ac:dyDescent="0.25">
      <c r="A12" t="s">
        <v>29</v>
      </c>
      <c r="B12" t="s">
        <v>30</v>
      </c>
      <c r="C12" t="s">
        <v>30</v>
      </c>
      <c r="D12" t="s">
        <v>31</v>
      </c>
      <c r="F12" s="47">
        <v>50</v>
      </c>
      <c r="G12" s="48">
        <v>136.61000000000001</v>
      </c>
      <c r="H12">
        <f>VALUE(LEFT(tbl_transaction[[#This Row],[Order Date]],FIND("/",tbl_transaction[[#This Row],[Order Date]])-1))</f>
        <v>9</v>
      </c>
      <c r="I1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2" t="str">
        <f>MID(tbl_transaction[[#This Row],[Order Date]], FIND("/",tbl_transaction[[#This Row],[Order Date]], FIND("/", tbl_transaction[[#This Row],[Order Date]])+1)+1, 2)</f>
        <v>20</v>
      </c>
      <c r="K12">
        <f>VALUE(LEFT(tbl_transaction[[#This Row],[Transaction Date]],FIND("/",tbl_transaction[[#This Row],[Transaction Date]])-1))</f>
        <v>9</v>
      </c>
      <c r="L1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2" t="str">
        <f>MID(tbl_transaction[[#This Row],[Transaction Date]], FIND("/",tbl_transaction[[#This Row],[Transaction Date]], FIND("/", tbl_transaction[[#This Row],[Transaction Date]])+1)+1, 2)</f>
        <v>20</v>
      </c>
      <c r="N12" s="9">
        <f>DATE(tbl_transaction[[#This Row],[Year_order]]+2000, tbl_transaction[[#This Row],[Month_order]], tbl_transaction[[#This Row],[Date_order]])</f>
        <v>44085</v>
      </c>
      <c r="O12" s="9">
        <f>DATE(tbl_transaction[[#This Row],[Year_Transact]]+2000,tbl_transaction[[#This Row],[Month_Transact]],tbl_transaction[[#This Row],[Date_Transact]])</f>
        <v>44085</v>
      </c>
      <c r="P1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6830.5000000000009</v>
      </c>
      <c r="R1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6830.5000000000009</v>
      </c>
      <c r="S1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3" spans="1:19" x14ac:dyDescent="0.25">
      <c r="A13" t="s">
        <v>20</v>
      </c>
      <c r="B13" t="s">
        <v>32</v>
      </c>
      <c r="C13" t="s">
        <v>32</v>
      </c>
      <c r="D13" t="s">
        <v>26</v>
      </c>
      <c r="F13" s="47">
        <v>500</v>
      </c>
      <c r="G13" s="48">
        <v>2.85</v>
      </c>
      <c r="H13">
        <f>VALUE(LEFT(tbl_transaction[[#This Row],[Order Date]],FIND("/",tbl_transaction[[#This Row],[Order Date]])-1))</f>
        <v>9</v>
      </c>
      <c r="I1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3" t="str">
        <f>MID(tbl_transaction[[#This Row],[Order Date]], FIND("/",tbl_transaction[[#This Row],[Order Date]], FIND("/", tbl_transaction[[#This Row],[Order Date]])+1)+1, 2)</f>
        <v>20</v>
      </c>
      <c r="K13">
        <f>VALUE(LEFT(tbl_transaction[[#This Row],[Transaction Date]],FIND("/",tbl_transaction[[#This Row],[Transaction Date]])-1))</f>
        <v>9</v>
      </c>
      <c r="L1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3" t="str">
        <f>MID(tbl_transaction[[#This Row],[Transaction Date]], FIND("/",tbl_transaction[[#This Row],[Transaction Date]], FIND("/", tbl_transaction[[#This Row],[Transaction Date]])+1)+1, 2)</f>
        <v>20</v>
      </c>
      <c r="N13" s="9">
        <f>DATE(tbl_transaction[[#This Row],[Year_order]]+2000, tbl_transaction[[#This Row],[Month_order]], tbl_transaction[[#This Row],[Date_order]])</f>
        <v>44085</v>
      </c>
      <c r="O13" s="9">
        <f>DATE(tbl_transaction[[#This Row],[Year_Transact]]+2000,tbl_transaction[[#This Row],[Month_Transact]],tbl_transaction[[#This Row],[Date_Transact]])</f>
        <v>44085</v>
      </c>
      <c r="P1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1425</v>
      </c>
      <c r="Q1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-1425</v>
      </c>
      <c r="R1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-500</v>
      </c>
    </row>
    <row r="14" spans="1:19" x14ac:dyDescent="0.25">
      <c r="A14" t="s">
        <v>29</v>
      </c>
      <c r="B14" t="s">
        <v>33</v>
      </c>
      <c r="C14" t="s">
        <v>33</v>
      </c>
      <c r="D14" t="s">
        <v>34</v>
      </c>
      <c r="F14" s="47">
        <v>50</v>
      </c>
      <c r="G14" s="48">
        <v>138.31</v>
      </c>
      <c r="H14">
        <f>VALUE(LEFT(tbl_transaction[[#This Row],[Order Date]],FIND("/",tbl_transaction[[#This Row],[Order Date]])-1))</f>
        <v>9</v>
      </c>
      <c r="I1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4" t="str">
        <f>MID(tbl_transaction[[#This Row],[Order Date]], FIND("/",tbl_transaction[[#This Row],[Order Date]], FIND("/", tbl_transaction[[#This Row],[Order Date]])+1)+1, 2)</f>
        <v>20</v>
      </c>
      <c r="K14">
        <f>VALUE(LEFT(tbl_transaction[[#This Row],[Transaction Date]],FIND("/",tbl_transaction[[#This Row],[Transaction Date]])-1))</f>
        <v>9</v>
      </c>
      <c r="L1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4" t="str">
        <f>MID(tbl_transaction[[#This Row],[Transaction Date]], FIND("/",tbl_transaction[[#This Row],[Transaction Date]], FIND("/", tbl_transaction[[#This Row],[Transaction Date]])+1)+1, 2)</f>
        <v>20</v>
      </c>
      <c r="N14" s="9">
        <f>DATE(tbl_transaction[[#This Row],[Year_order]]+2000, tbl_transaction[[#This Row],[Month_order]], tbl_transaction[[#This Row],[Date_order]])</f>
        <v>44085</v>
      </c>
      <c r="O14" s="9">
        <f>DATE(tbl_transaction[[#This Row],[Year_Transact]]+2000,tbl_transaction[[#This Row],[Month_Transact]],tbl_transaction[[#This Row],[Date_Transact]])</f>
        <v>44085</v>
      </c>
      <c r="P1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-6915.5</v>
      </c>
      <c r="R1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-6915.5</v>
      </c>
      <c r="S1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5" spans="1:19" x14ac:dyDescent="0.25">
      <c r="A15" t="s">
        <v>35</v>
      </c>
      <c r="B15" t="s">
        <v>36</v>
      </c>
      <c r="C15" t="s">
        <v>36</v>
      </c>
      <c r="D15" t="s">
        <v>31</v>
      </c>
      <c r="F15" s="47">
        <v>50</v>
      </c>
      <c r="G15" s="48">
        <v>58.47</v>
      </c>
      <c r="H15">
        <f>VALUE(LEFT(tbl_transaction[[#This Row],[Order Date]],FIND("/",tbl_transaction[[#This Row],[Order Date]])-1))</f>
        <v>9</v>
      </c>
      <c r="I1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5" t="str">
        <f>MID(tbl_transaction[[#This Row],[Order Date]], FIND("/",tbl_transaction[[#This Row],[Order Date]], FIND("/", tbl_transaction[[#This Row],[Order Date]])+1)+1, 2)</f>
        <v>20</v>
      </c>
      <c r="K15">
        <f>VALUE(LEFT(tbl_transaction[[#This Row],[Transaction Date]],FIND("/",tbl_transaction[[#This Row],[Transaction Date]])-1))</f>
        <v>9</v>
      </c>
      <c r="L1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5" t="str">
        <f>MID(tbl_transaction[[#This Row],[Transaction Date]], FIND("/",tbl_transaction[[#This Row],[Transaction Date]], FIND("/", tbl_transaction[[#This Row],[Transaction Date]])+1)+1, 2)</f>
        <v>20</v>
      </c>
      <c r="N15" s="9">
        <f>DATE(tbl_transaction[[#This Row],[Year_order]]+2000, tbl_transaction[[#This Row],[Month_order]], tbl_transaction[[#This Row],[Date_order]])</f>
        <v>44085</v>
      </c>
      <c r="O15" s="9">
        <f>DATE(tbl_transaction[[#This Row],[Year_Transact]]+2000,tbl_transaction[[#This Row],[Month_Transact]],tbl_transaction[[#This Row],[Date_Transact]])</f>
        <v>44085</v>
      </c>
      <c r="P1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2923.5</v>
      </c>
      <c r="R1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2923.5</v>
      </c>
      <c r="S1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6" spans="1:19" x14ac:dyDescent="0.25">
      <c r="A16" t="s">
        <v>37</v>
      </c>
      <c r="B16" t="s">
        <v>38</v>
      </c>
      <c r="C16" t="s">
        <v>38</v>
      </c>
      <c r="D16" t="s">
        <v>31</v>
      </c>
      <c r="F16" s="47">
        <v>50</v>
      </c>
      <c r="G16" s="48">
        <v>120.99</v>
      </c>
      <c r="H16">
        <f>VALUE(LEFT(tbl_transaction[[#This Row],[Order Date]],FIND("/",tbl_transaction[[#This Row],[Order Date]])-1))</f>
        <v>9</v>
      </c>
      <c r="I1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6" t="str">
        <f>MID(tbl_transaction[[#This Row],[Order Date]], FIND("/",tbl_transaction[[#This Row],[Order Date]], FIND("/", tbl_transaction[[#This Row],[Order Date]])+1)+1, 2)</f>
        <v>20</v>
      </c>
      <c r="K16">
        <f>VALUE(LEFT(tbl_transaction[[#This Row],[Transaction Date]],FIND("/",tbl_transaction[[#This Row],[Transaction Date]])-1))</f>
        <v>9</v>
      </c>
      <c r="L1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6" t="str">
        <f>MID(tbl_transaction[[#This Row],[Transaction Date]], FIND("/",tbl_transaction[[#This Row],[Transaction Date]], FIND("/", tbl_transaction[[#This Row],[Transaction Date]])+1)+1, 2)</f>
        <v>20</v>
      </c>
      <c r="N16" s="9">
        <f>DATE(tbl_transaction[[#This Row],[Year_order]]+2000, tbl_transaction[[#This Row],[Month_order]], tbl_transaction[[#This Row],[Date_order]])</f>
        <v>44085</v>
      </c>
      <c r="O16" s="9">
        <f>DATE(tbl_transaction[[#This Row],[Year_Transact]]+2000,tbl_transaction[[#This Row],[Month_Transact]],tbl_transaction[[#This Row],[Date_Transact]])</f>
        <v>44085</v>
      </c>
      <c r="P1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6049.5</v>
      </c>
      <c r="R1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6049.5</v>
      </c>
      <c r="S1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7" spans="1:19" x14ac:dyDescent="0.25">
      <c r="A17" t="s">
        <v>35</v>
      </c>
      <c r="B17" t="s">
        <v>39</v>
      </c>
      <c r="C17" t="s">
        <v>39</v>
      </c>
      <c r="D17" t="s">
        <v>34</v>
      </c>
      <c r="F17" s="47">
        <v>50</v>
      </c>
      <c r="G17" s="48">
        <v>57.36</v>
      </c>
      <c r="H17">
        <f>VALUE(LEFT(tbl_transaction[[#This Row],[Order Date]],FIND("/",tbl_transaction[[#This Row],[Order Date]])-1))</f>
        <v>9</v>
      </c>
      <c r="I1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7" t="str">
        <f>MID(tbl_transaction[[#This Row],[Order Date]], FIND("/",tbl_transaction[[#This Row],[Order Date]], FIND("/", tbl_transaction[[#This Row],[Order Date]])+1)+1, 2)</f>
        <v>20</v>
      </c>
      <c r="K17">
        <f>VALUE(LEFT(tbl_transaction[[#This Row],[Transaction Date]],FIND("/",tbl_transaction[[#This Row],[Transaction Date]])-1))</f>
        <v>9</v>
      </c>
      <c r="L1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7" t="str">
        <f>MID(tbl_transaction[[#This Row],[Transaction Date]], FIND("/",tbl_transaction[[#This Row],[Transaction Date]], FIND("/", tbl_transaction[[#This Row],[Transaction Date]])+1)+1, 2)</f>
        <v>20</v>
      </c>
      <c r="N17" s="9">
        <f>DATE(tbl_transaction[[#This Row],[Year_order]]+2000, tbl_transaction[[#This Row],[Month_order]], tbl_transaction[[#This Row],[Date_order]])</f>
        <v>44085</v>
      </c>
      <c r="O17" s="9">
        <f>DATE(tbl_transaction[[#This Row],[Year_Transact]]+2000,tbl_transaction[[#This Row],[Month_Transact]],tbl_transaction[[#This Row],[Date_Transact]])</f>
        <v>44085</v>
      </c>
      <c r="P1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-2868</v>
      </c>
      <c r="R1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-2868</v>
      </c>
      <c r="S1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8" spans="1:19" x14ac:dyDescent="0.25">
      <c r="A18" t="s">
        <v>37</v>
      </c>
      <c r="B18" t="s">
        <v>40</v>
      </c>
      <c r="C18" t="s">
        <v>40</v>
      </c>
      <c r="D18" t="s">
        <v>34</v>
      </c>
      <c r="F18" s="47">
        <v>50</v>
      </c>
      <c r="G18" s="48">
        <v>121.08</v>
      </c>
      <c r="H18">
        <f>VALUE(LEFT(tbl_transaction[[#This Row],[Order Date]],FIND("/",tbl_transaction[[#This Row],[Order Date]])-1))</f>
        <v>9</v>
      </c>
      <c r="I1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8" t="str">
        <f>MID(tbl_transaction[[#This Row],[Order Date]], FIND("/",tbl_transaction[[#This Row],[Order Date]], FIND("/", tbl_transaction[[#This Row],[Order Date]])+1)+1, 2)</f>
        <v>20</v>
      </c>
      <c r="K18">
        <f>VALUE(LEFT(tbl_transaction[[#This Row],[Transaction Date]],FIND("/",tbl_transaction[[#This Row],[Transaction Date]])-1))</f>
        <v>9</v>
      </c>
      <c r="L1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8" t="str">
        <f>MID(tbl_transaction[[#This Row],[Transaction Date]], FIND("/",tbl_transaction[[#This Row],[Transaction Date]], FIND("/", tbl_transaction[[#This Row],[Transaction Date]])+1)+1, 2)</f>
        <v>20</v>
      </c>
      <c r="N18" s="9">
        <f>DATE(tbl_transaction[[#This Row],[Year_order]]+2000, tbl_transaction[[#This Row],[Month_order]], tbl_transaction[[#This Row],[Date_order]])</f>
        <v>44085</v>
      </c>
      <c r="O18" s="9">
        <f>DATE(tbl_transaction[[#This Row],[Year_Transact]]+2000,tbl_transaction[[#This Row],[Month_Transact]],tbl_transaction[[#This Row],[Date_Transact]])</f>
        <v>44085</v>
      </c>
      <c r="P1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-6054</v>
      </c>
      <c r="R1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-6054</v>
      </c>
      <c r="S1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9" spans="1:19" x14ac:dyDescent="0.25">
      <c r="A19" t="s">
        <v>35</v>
      </c>
      <c r="B19" t="s">
        <v>41</v>
      </c>
      <c r="C19" t="s">
        <v>41</v>
      </c>
      <c r="D19" t="s">
        <v>19</v>
      </c>
      <c r="F19" s="47">
        <v>100</v>
      </c>
      <c r="G19" s="48">
        <v>57.01</v>
      </c>
      <c r="H19">
        <f>VALUE(LEFT(tbl_transaction[[#This Row],[Order Date]],FIND("/",tbl_transaction[[#This Row],[Order Date]])-1))</f>
        <v>9</v>
      </c>
      <c r="I1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9" t="str">
        <f>MID(tbl_transaction[[#This Row],[Order Date]], FIND("/",tbl_transaction[[#This Row],[Order Date]], FIND("/", tbl_transaction[[#This Row],[Order Date]])+1)+1, 2)</f>
        <v>20</v>
      </c>
      <c r="K19">
        <f>VALUE(LEFT(tbl_transaction[[#This Row],[Transaction Date]],FIND("/",tbl_transaction[[#This Row],[Transaction Date]])-1))</f>
        <v>9</v>
      </c>
      <c r="L1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9" t="str">
        <f>MID(tbl_transaction[[#This Row],[Transaction Date]], FIND("/",tbl_transaction[[#This Row],[Transaction Date]], FIND("/", tbl_transaction[[#This Row],[Transaction Date]])+1)+1, 2)</f>
        <v>20</v>
      </c>
      <c r="N19" s="9">
        <f>DATE(tbl_transaction[[#This Row],[Year_order]]+2000, tbl_transaction[[#This Row],[Month_order]], tbl_transaction[[#This Row],[Date_order]])</f>
        <v>44085</v>
      </c>
      <c r="O19" s="9">
        <f>DATE(tbl_transaction[[#This Row],[Year_Transact]]+2000,tbl_transaction[[#This Row],[Month_Transact]],tbl_transaction[[#This Row],[Date_Transact]])</f>
        <v>44085</v>
      </c>
      <c r="P1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-5701</v>
      </c>
      <c r="Q1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5701</v>
      </c>
      <c r="R1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0" spans="1:19" x14ac:dyDescent="0.25">
      <c r="A20" t="s">
        <v>162</v>
      </c>
      <c r="P20" s="11">
        <f>SUBTOTAL(109,tbl_transaction[Net_Cash_Change])</f>
        <v>-34866</v>
      </c>
      <c r="S20" s="47">
        <f>SUBTOTAL(109,tbl_transaction[Stock Holding Change])</f>
        <v>1250</v>
      </c>
    </row>
  </sheetData>
  <sheetProtection sheet="1" objects="1" scenarios="1"/>
  <dataValidations count="3">
    <dataValidation type="list" allowBlank="1" showInputMessage="1" showErrorMessage="1" sqref="D5:D19">
      <formula1>Transactions</formula1>
    </dataValidation>
    <dataValidation type="list" allowBlank="1" showInputMessage="1" showErrorMessage="1" sqref="A5:A19">
      <formula1>Symbol</formula1>
    </dataValidation>
    <dataValidation type="whole" allowBlank="1" showInputMessage="1" showErrorMessage="1" sqref="F5:F19">
      <formula1>1</formula1>
      <formula2>1000000</formula2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"/>
  <sheetViews>
    <sheetView workbookViewId="0">
      <selection activeCell="D8" sqref="D8"/>
    </sheetView>
  </sheetViews>
  <sheetFormatPr defaultRowHeight="15" x14ac:dyDescent="0.25"/>
  <cols>
    <col min="1" max="1" width="10.42578125" customWidth="1"/>
    <col min="3" max="3" width="15.42578125" customWidth="1"/>
    <col min="5" max="5" width="11.7109375" customWidth="1"/>
    <col min="8" max="8" width="12" customWidth="1"/>
  </cols>
  <sheetData>
    <row r="3" spans="1:9" ht="15.75" x14ac:dyDescent="0.25">
      <c r="A3" s="7" t="s">
        <v>42</v>
      </c>
      <c r="C3" s="7" t="s">
        <v>45</v>
      </c>
      <c r="E3" s="1" t="s">
        <v>150</v>
      </c>
      <c r="H3" s="1" t="s">
        <v>81</v>
      </c>
      <c r="I3">
        <v>0.9</v>
      </c>
    </row>
    <row r="4" spans="1:9" x14ac:dyDescent="0.25">
      <c r="A4" t="s">
        <v>16</v>
      </c>
      <c r="C4" t="s">
        <v>19</v>
      </c>
      <c r="E4" t="s">
        <v>84</v>
      </c>
      <c r="H4" s="1" t="s">
        <v>82</v>
      </c>
      <c r="I4">
        <v>14</v>
      </c>
    </row>
    <row r="5" spans="1:9" x14ac:dyDescent="0.25">
      <c r="A5" t="s">
        <v>20</v>
      </c>
      <c r="C5" t="s">
        <v>26</v>
      </c>
      <c r="E5" t="s">
        <v>85</v>
      </c>
      <c r="H5" s="1" t="s">
        <v>83</v>
      </c>
      <c r="I5">
        <v>14</v>
      </c>
    </row>
    <row r="6" spans="1:9" x14ac:dyDescent="0.25">
      <c r="A6" t="s">
        <v>22</v>
      </c>
      <c r="C6" t="s">
        <v>31</v>
      </c>
      <c r="E6" t="s">
        <v>86</v>
      </c>
      <c r="H6" s="1" t="s">
        <v>144</v>
      </c>
      <c r="I6">
        <v>2</v>
      </c>
    </row>
    <row r="7" spans="1:9" x14ac:dyDescent="0.25">
      <c r="A7" t="s">
        <v>29</v>
      </c>
      <c r="C7" t="s">
        <v>34</v>
      </c>
    </row>
    <row r="8" spans="1:9" x14ac:dyDescent="0.25">
      <c r="A8" t="s">
        <v>37</v>
      </c>
    </row>
    <row r="9" spans="1:9" x14ac:dyDescent="0.25">
      <c r="A9" t="s">
        <v>35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opLeftCell="C1" workbookViewId="0">
      <selection activeCell="H24" sqref="H24"/>
    </sheetView>
  </sheetViews>
  <sheetFormatPr defaultRowHeight="15" x14ac:dyDescent="0.25"/>
  <cols>
    <col min="1" max="1" width="9.7109375" bestFit="1" customWidth="1"/>
    <col min="2" max="2" width="14" customWidth="1"/>
    <col min="3" max="4" width="12.7109375" customWidth="1"/>
    <col min="5" max="5" width="13.42578125" customWidth="1"/>
    <col min="6" max="6" width="12.140625" customWidth="1"/>
    <col min="7" max="7" width="13.140625" customWidth="1"/>
    <col min="8" max="8" width="14.5703125" customWidth="1"/>
    <col min="9" max="9" width="15.5703125" customWidth="1"/>
    <col min="10" max="10" width="12.5703125" customWidth="1"/>
    <col min="11" max="11" width="16.7109375" customWidth="1"/>
    <col min="12" max="12" width="15.5703125" customWidth="1"/>
    <col min="13" max="13" width="16.42578125" customWidth="1"/>
    <col min="14" max="14" width="16.85546875" customWidth="1"/>
    <col min="15" max="15" width="15.42578125" customWidth="1"/>
    <col min="16" max="16" width="15.85546875" customWidth="1"/>
    <col min="17" max="17" width="17.42578125" customWidth="1"/>
  </cols>
  <sheetData>
    <row r="1" spans="1:17" ht="21" x14ac:dyDescent="0.35">
      <c r="A1" s="41" t="s">
        <v>126</v>
      </c>
      <c r="B1" s="41"/>
      <c r="C1" s="41"/>
      <c r="D1" s="41"/>
      <c r="E1" s="41"/>
    </row>
    <row r="2" spans="1:17" ht="15.75" x14ac:dyDescent="0.25">
      <c r="A2" t="s">
        <v>127</v>
      </c>
    </row>
    <row r="4" spans="1:17" x14ac:dyDescent="0.25">
      <c r="A4" t="s">
        <v>58</v>
      </c>
      <c r="B4" t="s">
        <v>59</v>
      </c>
      <c r="C4" t="s">
        <v>60</v>
      </c>
      <c r="D4" s="46" t="s">
        <v>61</v>
      </c>
      <c r="E4" t="s">
        <v>62</v>
      </c>
      <c r="F4" t="s">
        <v>63</v>
      </c>
      <c r="G4" t="s">
        <v>64</v>
      </c>
      <c r="H4" t="s">
        <v>65</v>
      </c>
      <c r="I4" t="s">
        <v>66</v>
      </c>
      <c r="J4" t="s">
        <v>67</v>
      </c>
      <c r="K4" t="s">
        <v>68</v>
      </c>
      <c r="L4" t="s">
        <v>69</v>
      </c>
      <c r="M4" t="s">
        <v>70</v>
      </c>
      <c r="N4" t="s">
        <v>71</v>
      </c>
      <c r="O4" t="s">
        <v>72</v>
      </c>
      <c r="P4" t="s">
        <v>165</v>
      </c>
      <c r="Q4" t="s">
        <v>167</v>
      </c>
    </row>
    <row r="5" spans="1:17" x14ac:dyDescent="0.25">
      <c r="A5" s="9">
        <v>44084</v>
      </c>
      <c r="B5" s="10">
        <f>VLOOKUP(tbl_position[[#This Row],[Date]], tbl_AAPL[], 5, 0)</f>
        <v>113.489998</v>
      </c>
      <c r="C5" s="10">
        <f>VLOOKUP(tbl_position[[#This Row],[Date]], tbl_RIOT[], 5, 0)</f>
        <v>2.81</v>
      </c>
      <c r="D5" s="10">
        <f>VLOOKUP(tbl_position[[#This Row],[Date]], tbl_HD[], 5, 0)</f>
        <v>272.70001200000002</v>
      </c>
      <c r="E5" s="10">
        <f>VLOOKUP(tbl_position[[#This Row],[Date]], tbl_WMT[], 5, 0)</f>
        <v>264.60998499999999</v>
      </c>
      <c r="F5" s="10">
        <f>VLOOKUP(tbl_position[[#This Row],[Date]], tbl_IBM[], 5, 0)</f>
        <v>120.55999799999999</v>
      </c>
      <c r="G5" s="10">
        <f>VLOOKUP(tbl_position[[#This Row],[Date]], tbl_ORCL[], 5, 0)</f>
        <v>57.330002</v>
      </c>
      <c r="H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$H4)</f>
        <v>150</v>
      </c>
      <c r="I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$I4)</f>
        <v>1500</v>
      </c>
      <c r="J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$J4)</f>
        <v>50</v>
      </c>
      <c r="K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$K4)</f>
        <v>0</v>
      </c>
      <c r="L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$L4)</f>
        <v>0</v>
      </c>
      <c r="M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$M4)</f>
        <v>0</v>
      </c>
      <c r="N5" s="10">
        <f ca="1" xml:space="preserve"> SUMPRODUCT(INDIRECT(ADDRESS(ROW(N5), 2)):INDIRECT(ADDRESS(ROW(N5), MATCH("Shares_AAPL", pos_header,0)-1)), INDIRECT(ADDRESS(ROW(N5), MATCH("Shares_AAPL", pos_header,0))): INDIRECT(ADDRESS(ROW(N5), MATCH("Shares_Holding", pos_header,0)-1)))</f>
        <v>34873.5003</v>
      </c>
      <c r="O5" s="10">
        <f>SUMIFS(tbl_transaction[Net_Cash_Change], tbl_transaction[Transaction_Date],tbl_position[[#This Row],[Date]])+IF(tbl_position[[#This Row],[Date]]=$A$5, 100000, $O4)</f>
        <v>63721.5</v>
      </c>
      <c r="P5" s="11">
        <f>SUMIFS(tbl_transaction[Net_Debt_Change], tbl_transaction[Transaction_Date],tbl_position[[#This Row],[Date]])+IF(tbl_position[[#This Row],[Date]]=$A$5, 0, $P4)</f>
        <v>0</v>
      </c>
      <c r="Q5" s="48">
        <f ca="1">tbl_position[[#This Row],[Shares_Holding]]+tbl_position[[#This Row],[Cash_Holding]]-tbl_position[[#This Row],[Liabilities_Holding]]</f>
        <v>98595.0003</v>
      </c>
    </row>
    <row r="6" spans="1:17" x14ac:dyDescent="0.25">
      <c r="A6" s="9">
        <f>A5+1</f>
        <v>44085</v>
      </c>
      <c r="B6" s="10">
        <f>VLOOKUP(tbl_position[[#This Row],[Date]], tbl_AAPL[], 5, 0)</f>
        <v>112</v>
      </c>
      <c r="C6" s="10">
        <f>VLOOKUP(tbl_position[[#This Row],[Date]], tbl_RIOT[], 5, 0)</f>
        <v>2.91</v>
      </c>
      <c r="D6" s="10">
        <f>VLOOKUP(tbl_position[[#This Row],[Date]], tbl_HD[], 5, 0)</f>
        <v>276.32998700000002</v>
      </c>
      <c r="E6" s="10">
        <f>VLOOKUP(tbl_position[[#This Row],[Date]], tbl_WMT[], 5, 0)</f>
        <v>252.279999</v>
      </c>
      <c r="F6" s="10">
        <f>VLOOKUP(tbl_position[[#This Row],[Date]], tbl_IBM[], 5, 0)</f>
        <v>121.459999</v>
      </c>
      <c r="G6" s="10">
        <f>VLOOKUP(tbl_position[[#This Row],[Date]], tbl_ORCL[], 5, 0)</f>
        <v>57</v>
      </c>
      <c r="H6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$H5)</f>
        <v>100</v>
      </c>
      <c r="I6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$I5)</f>
        <v>1000</v>
      </c>
      <c r="J6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$J5)</f>
        <v>50</v>
      </c>
      <c r="K6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$K5)</f>
        <v>0</v>
      </c>
      <c r="L6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$L5)</f>
        <v>0</v>
      </c>
      <c r="M6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$M5)</f>
        <v>100</v>
      </c>
      <c r="N6" s="10">
        <f ca="1" xml:space="preserve"> SUMPRODUCT(INDIRECT(ADDRESS(ROW(N6), 2)):INDIRECT(ADDRESS(ROW(N6), MATCH("Shares_AAPL", pos_header,0)-1)), INDIRECT(ADDRESS(ROW(N6), MATCH("Shares_AAPL", pos_header,0))): INDIRECT(ADDRESS(ROW(N6), MATCH("Shares_Holding", pos_header,0)-1)))</f>
        <v>33626.499349999998</v>
      </c>
      <c r="O6" s="10">
        <f>SUMIFS(tbl_transaction[Net_Cash_Change], tbl_transaction[Transaction_Date],tbl_position[[#This Row],[Date]])+IF(tbl_position[[#This Row],[Date]]=$A$5, 100000, $O5)</f>
        <v>65134</v>
      </c>
      <c r="P6" s="11">
        <f>SUMIFS(tbl_transaction[Net_Debt_Change], tbl_transaction[Transaction_Date],tbl_position[[#This Row],[Date]])+IF(tbl_position[[#This Row],[Date]]=$A$5, 0, $P5)</f>
        <v>-34</v>
      </c>
      <c r="Q6" s="48">
        <f ca="1">tbl_position[[#This Row],[Shares_Holding]]+tbl_position[[#This Row],[Cash_Holding]]-tbl_position[[#This Row],[Liabilities_Holding]]</f>
        <v>98794.499349999998</v>
      </c>
    </row>
    <row r="7" spans="1:17" x14ac:dyDescent="0.25">
      <c r="A7" t="s">
        <v>162</v>
      </c>
      <c r="D7" s="46"/>
      <c r="O7" s="49"/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S5" sqref="S5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8" max="8" width="11.140625" customWidth="1"/>
    <col min="10" max="10" width="11.5703125" customWidth="1"/>
    <col min="11" max="11" width="12" customWidth="1"/>
    <col min="12" max="12" width="11.85546875" customWidth="1"/>
    <col min="13" max="13" width="9.85546875" bestFit="1" customWidth="1"/>
    <col min="15" max="15" width="11.7109375" customWidth="1"/>
    <col min="16" max="16" width="13.28515625" customWidth="1"/>
  </cols>
  <sheetData>
    <row r="1" spans="1:19" ht="21" x14ac:dyDescent="0.35">
      <c r="A1" s="41" t="s">
        <v>74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152">
        <v>44053</v>
      </c>
      <c r="B5" s="153">
        <v>272.42001299999998</v>
      </c>
      <c r="C5" s="153">
        <v>275</v>
      </c>
      <c r="D5" s="153">
        <v>271.79998799999998</v>
      </c>
      <c r="E5" s="153">
        <v>274.73001099999999</v>
      </c>
      <c r="F5" s="153">
        <v>273.28881799999999</v>
      </c>
      <c r="G5" s="154">
        <v>2393100</v>
      </c>
      <c r="H5" s="155">
        <f>IF(tbl_HD[[#This Row],[Date]]=$A$5, $F5, EMA_Beta*$H4 + (1-EMA_Beta)*$F5)</f>
        <v>273.28881799999999</v>
      </c>
      <c r="I5" s="156" t="str">
        <f ca="1">IF(tbl_HD[[#This Row],[RS]]= "", "", 100-(100/(1+tbl_HD[[#This Row],[RS]])))</f>
        <v/>
      </c>
      <c r="J5" s="155" t="str">
        <f ca="1">IF(ROW($N5)-4&lt;BB_Periods, "", AVERAGE(INDIRECT(ADDRESS(ROW($F5)-RSI_Periods +1, MATCH("Adj Close", Price_Header,0))): INDIRECT(ADDRESS(ROW($F5),MATCH("Adj Close", Price_Header,0)))))</f>
        <v/>
      </c>
      <c r="K5" s="155" t="str">
        <f ca="1">IF(tbl_HD[[#This Row],[BB_Mean]]="", "", tbl_HD[[#This Row],[BB_Mean]]+(2*tbl_HD[[#This Row],[BB_Stdev]]))</f>
        <v/>
      </c>
      <c r="L5" s="155" t="str">
        <f ca="1">IF(tbl_HD[[#This Row],[BB_Mean]]="", "", tbl_HD[[#This Row],[BB_Mean]]-(2*tbl_HD[[#This Row],[BB_Stdev]]))</f>
        <v/>
      </c>
      <c r="M5" s="156">
        <f>IF(ROW(tbl_HD[[#This Row],[Adj Close]])=5, 0, $F5-$F4)</f>
        <v>0</v>
      </c>
      <c r="N5" s="156">
        <f>MAX(tbl_HD[[#This Row],[Move]],0)</f>
        <v>0</v>
      </c>
      <c r="O5" s="156">
        <f>MAX(-tbl_HD[[#This Row],[Move]],0)</f>
        <v>0</v>
      </c>
      <c r="P5" s="156" t="str">
        <f ca="1">IF(ROW($N5)-5&lt;RSI_Periods, "", AVERAGE(INDIRECT(ADDRESS(ROW($N5)-RSI_Periods +1, MATCH("Upmove", Price_Header,0))): INDIRECT(ADDRESS(ROW($N5),MATCH("Upmove", Price_Header,0)))))</f>
        <v/>
      </c>
      <c r="Q5" s="156" t="str">
        <f ca="1">IF(ROW($O5)-5&lt;RSI_Periods, "", AVERAGE(INDIRECT(ADDRESS(ROW($O5)-RSI_Periods +1, MATCH("Downmove", Price_Header,0))): INDIRECT(ADDRESS(ROW($O5),MATCH("Downmove", Price_Header,0)))))</f>
        <v/>
      </c>
      <c r="R5" s="156" t="str">
        <f ca="1">IF(tbl_HD[[#This Row],[Avg_Upmove]]="", "", tbl_HD[[#This Row],[Avg_Upmove]]/tbl_HD[[#This Row],[Avg_Downmove]])</f>
        <v/>
      </c>
      <c r="S5" s="155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277.69000199999999</v>
      </c>
      <c r="C6" s="48">
        <v>279.36999500000002</v>
      </c>
      <c r="D6" s="48">
        <v>274.41000400000001</v>
      </c>
      <c r="E6" s="48">
        <v>274.92001299999998</v>
      </c>
      <c r="F6" s="48">
        <v>273.47781400000002</v>
      </c>
      <c r="G6">
        <v>3321300</v>
      </c>
      <c r="H6" s="10">
        <f>IF(tbl_HD[[#This Row],[Date]]=$A$5, $F6, EMA_Beta*$H5 + (1-EMA_Beta)*$F6)</f>
        <v>273.30771759999999</v>
      </c>
      <c r="I6" s="46" t="str">
        <f ca="1">IF(tbl_HD[[#This Row],[RS]]= "", "", 100-(100/(1+tbl_HD[[#This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IF(tbl_HD[[#This Row],[BB_Mean]]="", "", tbl_HD[[#This Row],[BB_Mean]]+(2*tbl_HD[[#This Row],[BB_Stdev]]))</f>
        <v/>
      </c>
      <c r="L6" s="10" t="str">
        <f ca="1">IF(tbl_HD[[#This Row],[BB_Mean]]="", "", tbl_HD[[#This Row],[BB_Mean]]-(2*tbl_HD[[#This Row],[BB_Stdev]]))</f>
        <v/>
      </c>
      <c r="M6" s="46">
        <f>IF(ROW(tbl_HD[[#This Row],[Adj Close]])=5, 0, $F6-$F5)</f>
        <v>0.18899600000003147</v>
      </c>
      <c r="N6" s="46">
        <f>MAX(tbl_HD[[#This Row],[Move]],0)</f>
        <v>0.18899600000003147</v>
      </c>
      <c r="O6" s="46">
        <f>MAX(-tbl_HD[[#This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IF(tbl_HD[[#This Row],[Avg_Upmove]]="", "", tbl_HD[[#This Row],[Avg_Upmove]]/tbl_HD[[#This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279.75</v>
      </c>
      <c r="C7" s="48">
        <v>282.97000100000002</v>
      </c>
      <c r="D7" s="48">
        <v>276.959991</v>
      </c>
      <c r="E7" s="48">
        <v>281.57998700000002</v>
      </c>
      <c r="F7" s="48">
        <v>280.102844</v>
      </c>
      <c r="G7">
        <v>3870000</v>
      </c>
      <c r="H7" s="10">
        <f>IF(tbl_HD[[#This Row],[Date]]=$A$5, $F7, EMA_Beta*$H6 + (1-EMA_Beta)*$F7)</f>
        <v>273.98723023999997</v>
      </c>
      <c r="I7" s="46" t="str">
        <f ca="1">IF(tbl_HD[[#This Row],[RS]]= "", "", 100-(100/(1+tbl_HD[[#This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IF(tbl_HD[[#This Row],[BB_Mean]]="", "", tbl_HD[[#This Row],[BB_Mean]]+(2*tbl_HD[[#This Row],[BB_Stdev]]))</f>
        <v/>
      </c>
      <c r="L7" s="10" t="str">
        <f ca="1">IF(tbl_HD[[#This Row],[BB_Mean]]="", "", tbl_HD[[#This Row],[BB_Mean]]-(2*tbl_HD[[#This Row],[BB_Stdev]]))</f>
        <v/>
      </c>
      <c r="M7" s="46">
        <f>IF(ROW(tbl_HD[[#This Row],[Adj Close]])=5, 0, $F7-$F6)</f>
        <v>6.6250299999999811</v>
      </c>
      <c r="N7" s="46">
        <f>MAX(tbl_HD[[#This Row],[Move]],0)</f>
        <v>6.6250299999999811</v>
      </c>
      <c r="O7" s="46">
        <f>MAX(-tbl_HD[[#This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IF(tbl_HD[[#This Row],[Avg_Upmove]]="", "", tbl_HD[[#This Row],[Avg_Upmove]]/tbl_HD[[#This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281.16000400000001</v>
      </c>
      <c r="C8" s="48">
        <v>282.64999399999999</v>
      </c>
      <c r="D8" s="48">
        <v>279.73998999999998</v>
      </c>
      <c r="E8" s="48">
        <v>281.66000400000001</v>
      </c>
      <c r="F8" s="48">
        <v>280.18246499999998</v>
      </c>
      <c r="G8">
        <v>2202400</v>
      </c>
      <c r="H8" s="10">
        <f>IF(tbl_HD[[#This Row],[Date]]=$A$5, $F8, EMA_Beta*$H7 + (1-EMA_Beta)*$F8)</f>
        <v>274.60675371599996</v>
      </c>
      <c r="I8" s="46" t="str">
        <f ca="1">IF(tbl_HD[[#This Row],[RS]]= "", "", 100-(100/(1+tbl_HD[[#This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IF(tbl_HD[[#This Row],[BB_Mean]]="", "", tbl_HD[[#This Row],[BB_Mean]]+(2*tbl_HD[[#This Row],[BB_Stdev]]))</f>
        <v/>
      </c>
      <c r="L8" s="10" t="str">
        <f ca="1">IF(tbl_HD[[#This Row],[BB_Mean]]="", "", tbl_HD[[#This Row],[BB_Mean]]-(2*tbl_HD[[#This Row],[BB_Stdev]]))</f>
        <v/>
      </c>
      <c r="M8" s="46">
        <f>IF(ROW(tbl_HD[[#This Row],[Adj Close]])=5, 0, $F8-$F7)</f>
        <v>7.9620999999974629E-2</v>
      </c>
      <c r="N8" s="46">
        <f>MAX(tbl_HD[[#This Row],[Move]],0)</f>
        <v>7.9620999999974629E-2</v>
      </c>
      <c r="O8" s="46">
        <f>MAX(-tbl_HD[[#This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IF(tbl_HD[[#This Row],[Avg_Upmove]]="", "", tbl_HD[[#This Row],[Avg_Upmove]]/tbl_HD[[#This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281.14001500000001</v>
      </c>
      <c r="C9" s="48">
        <v>282</v>
      </c>
      <c r="D9" s="48">
        <v>279.19000199999999</v>
      </c>
      <c r="E9" s="48">
        <v>280.54998799999998</v>
      </c>
      <c r="F9" s="48">
        <v>279.07824699999998</v>
      </c>
      <c r="G9">
        <v>2490400</v>
      </c>
      <c r="H9" s="10">
        <f>IF(tbl_HD[[#This Row],[Date]]=$A$5, $F9, EMA_Beta*$H8 + (1-EMA_Beta)*$F9)</f>
        <v>275.05390304439993</v>
      </c>
      <c r="I9" s="46" t="str">
        <f ca="1">IF(tbl_HD[[#This Row],[RS]]= "", "", 100-(100/(1+tbl_HD[[#This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IF(tbl_HD[[#This Row],[BB_Mean]]="", "", tbl_HD[[#This Row],[BB_Mean]]+(2*tbl_HD[[#This Row],[BB_Stdev]]))</f>
        <v/>
      </c>
      <c r="L9" s="10" t="str">
        <f ca="1">IF(tbl_HD[[#This Row],[BB_Mean]]="", "", tbl_HD[[#This Row],[BB_Mean]]-(2*tbl_HD[[#This Row],[BB_Stdev]]))</f>
        <v/>
      </c>
      <c r="M9" s="46">
        <f>IF(ROW(tbl_HD[[#This Row],[Adj Close]])=5, 0, $F9-$F8)</f>
        <v>-1.104218000000003</v>
      </c>
      <c r="N9" s="46">
        <f>MAX(tbl_HD[[#This Row],[Move]],0)</f>
        <v>0</v>
      </c>
      <c r="O9" s="46">
        <f>MAX(-tbl_HD[[#This Row],[Move]],0)</f>
        <v>1.104218000000003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IF(tbl_HD[[#This Row],[Avg_Upmove]]="", "", tbl_HD[[#This Row],[Avg_Upmove]]/tbl_HD[[#This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284.39999399999999</v>
      </c>
      <c r="C10" s="48">
        <v>289.22000100000002</v>
      </c>
      <c r="D10" s="48">
        <v>283.57000699999998</v>
      </c>
      <c r="E10" s="48">
        <v>288.23998999999998</v>
      </c>
      <c r="F10" s="48">
        <v>286.727936</v>
      </c>
      <c r="G10">
        <v>5584400</v>
      </c>
      <c r="H10" s="10">
        <f>IF(tbl_HD[[#This Row],[Date]]=$A$5, $F10, EMA_Beta*$H9 + (1-EMA_Beta)*$F10)</f>
        <v>276.22130633995994</v>
      </c>
      <c r="I10" s="46" t="str">
        <f ca="1">IF(tbl_HD[[#This Row],[RS]]= "", "", 100-(100/(1+tbl_HD[[#This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IF(tbl_HD[[#This Row],[BB_Mean]]="", "", tbl_HD[[#This Row],[BB_Mean]]+(2*tbl_HD[[#This Row],[BB_Stdev]]))</f>
        <v/>
      </c>
      <c r="L10" s="10" t="str">
        <f ca="1">IF(tbl_HD[[#This Row],[BB_Mean]]="", "", tbl_HD[[#This Row],[BB_Mean]]-(2*tbl_HD[[#This Row],[BB_Stdev]]))</f>
        <v/>
      </c>
      <c r="M10" s="46">
        <f>IF(ROW(tbl_HD[[#This Row],[Adj Close]])=5, 0, $F10-$F9)</f>
        <v>7.6496890000000235</v>
      </c>
      <c r="N10" s="46">
        <f>MAX(tbl_HD[[#This Row],[Move]],0)</f>
        <v>7.6496890000000235</v>
      </c>
      <c r="O10" s="46">
        <f>MAX(-tbl_HD[[#This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IF(tbl_HD[[#This Row],[Avg_Upmove]]="", "", tbl_HD[[#This Row],[Avg_Upmove]]/tbl_HD[[#This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288.89999399999999</v>
      </c>
      <c r="C11" s="48">
        <v>290.57998700000002</v>
      </c>
      <c r="D11" s="48">
        <v>283.040009</v>
      </c>
      <c r="E11" s="48">
        <v>285</v>
      </c>
      <c r="F11" s="48">
        <v>283.50494400000002</v>
      </c>
      <c r="G11">
        <v>6934300</v>
      </c>
      <c r="H11" s="10">
        <f>IF(tbl_HD[[#This Row],[Date]]=$A$5, $F11, EMA_Beta*$H10 + (1-EMA_Beta)*$F11)</f>
        <v>276.94967010596395</v>
      </c>
      <c r="I11" s="46" t="str">
        <f ca="1">IF(tbl_HD[[#This Row],[RS]]= "", "", 100-(100/(1+tbl_HD[[#This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IF(tbl_HD[[#This Row],[BB_Mean]]="", "", tbl_HD[[#This Row],[BB_Mean]]+(2*tbl_HD[[#This Row],[BB_Stdev]]))</f>
        <v/>
      </c>
      <c r="L11" s="10" t="str">
        <f ca="1">IF(tbl_HD[[#This Row],[BB_Mean]]="", "", tbl_HD[[#This Row],[BB_Mean]]-(2*tbl_HD[[#This Row],[BB_Stdev]]))</f>
        <v/>
      </c>
      <c r="M11" s="46">
        <f>IF(ROW(tbl_HD[[#This Row],[Adj Close]])=5, 0, $F11-$F10)</f>
        <v>-3.2229919999999765</v>
      </c>
      <c r="N11" s="46">
        <f>MAX(tbl_HD[[#This Row],[Move]],0)</f>
        <v>0</v>
      </c>
      <c r="O11" s="46">
        <f>MAX(-tbl_HD[[#This Row],[Move]],0)</f>
        <v>3.2229919999999765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IF(tbl_HD[[#This Row],[Avg_Upmove]]="", "", tbl_HD[[#This Row],[Avg_Upmove]]/tbl_HD[[#This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287.459991</v>
      </c>
      <c r="C12" s="48">
        <v>287.97000100000002</v>
      </c>
      <c r="D12" s="48">
        <v>281.92999300000002</v>
      </c>
      <c r="E12" s="48">
        <v>282.85998499999999</v>
      </c>
      <c r="F12" s="48">
        <v>281.37612899999999</v>
      </c>
      <c r="G12">
        <v>4986800</v>
      </c>
      <c r="H12" s="10">
        <f>IF(tbl_HD[[#This Row],[Date]]=$A$5, $F12, EMA_Beta*$H11 + (1-EMA_Beta)*$F12)</f>
        <v>277.39231599536754</v>
      </c>
      <c r="I12" s="46" t="str">
        <f ca="1">IF(tbl_HD[[#This Row],[RS]]= "", "", 100-(100/(1+tbl_HD[[#This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IF(tbl_HD[[#This Row],[BB_Mean]]="", "", tbl_HD[[#This Row],[BB_Mean]]+(2*tbl_HD[[#This Row],[BB_Stdev]]))</f>
        <v/>
      </c>
      <c r="L12" s="10" t="str">
        <f ca="1">IF(tbl_HD[[#This Row],[BB_Mean]]="", "", tbl_HD[[#This Row],[BB_Mean]]-(2*tbl_HD[[#This Row],[BB_Stdev]]))</f>
        <v/>
      </c>
      <c r="M12" s="46">
        <f>IF(ROW(tbl_HD[[#This Row],[Adj Close]])=5, 0, $F12-$F11)</f>
        <v>-2.1288150000000314</v>
      </c>
      <c r="N12" s="46">
        <f>MAX(tbl_HD[[#This Row],[Move]],0)</f>
        <v>0</v>
      </c>
      <c r="O12" s="46">
        <f>MAX(-tbl_HD[[#This Row],[Move]],0)</f>
        <v>2.1288150000000314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IF(tbl_HD[[#This Row],[Avg_Upmove]]="", "", tbl_HD[[#This Row],[Avg_Upmove]]/tbl_HD[[#This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280.540009</v>
      </c>
      <c r="C13" s="48">
        <v>281.91000400000001</v>
      </c>
      <c r="D13" s="48">
        <v>279.44000199999999</v>
      </c>
      <c r="E13" s="48">
        <v>280.67999300000002</v>
      </c>
      <c r="F13" s="48">
        <v>279.207581</v>
      </c>
      <c r="G13">
        <v>3530000</v>
      </c>
      <c r="H13" s="10">
        <f>IF(tbl_HD[[#This Row],[Date]]=$A$5, $F13, EMA_Beta*$H12 + (1-EMA_Beta)*$F13)</f>
        <v>277.57384249583077</v>
      </c>
      <c r="I13" s="46" t="str">
        <f ca="1">IF(tbl_HD[[#This Row],[RS]]= "", "", 100-(100/(1+tbl_HD[[#This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IF(tbl_HD[[#This Row],[BB_Mean]]="", "", tbl_HD[[#This Row],[BB_Mean]]+(2*tbl_HD[[#This Row],[BB_Stdev]]))</f>
        <v/>
      </c>
      <c r="L13" s="10" t="str">
        <f ca="1">IF(tbl_HD[[#This Row],[BB_Mean]]="", "", tbl_HD[[#This Row],[BB_Mean]]-(2*tbl_HD[[#This Row],[BB_Stdev]]))</f>
        <v/>
      </c>
      <c r="M13" s="46">
        <f>IF(ROW(tbl_HD[[#This Row],[Adj Close]])=5, 0, $F13-$F12)</f>
        <v>-2.168547999999987</v>
      </c>
      <c r="N13" s="46">
        <f>MAX(tbl_HD[[#This Row],[Move]],0)</f>
        <v>0</v>
      </c>
      <c r="O13" s="46">
        <f>MAX(-tbl_HD[[#This Row],[Move]],0)</f>
        <v>2.168547999999987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IF(tbl_HD[[#This Row],[Avg_Upmove]]="", "", tbl_HD[[#This Row],[Avg_Upmove]]/tbl_HD[[#This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279.97000100000002</v>
      </c>
      <c r="C14" s="48">
        <v>283.54998799999998</v>
      </c>
      <c r="D14" s="48">
        <v>278.42001299999998</v>
      </c>
      <c r="E14" s="48">
        <v>283.23001099999999</v>
      </c>
      <c r="F14" s="48">
        <v>281.74423200000001</v>
      </c>
      <c r="G14">
        <v>5519100</v>
      </c>
      <c r="H14" s="10">
        <f>IF(tbl_HD[[#This Row],[Date]]=$A$5, $F14, EMA_Beta*$H13 + (1-EMA_Beta)*$F14)</f>
        <v>277.99088144624767</v>
      </c>
      <c r="I14" s="46" t="str">
        <f ca="1">IF(tbl_HD[[#This Row],[RS]]= "", "", 100-(100/(1+tbl_HD[[#This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IF(tbl_HD[[#This Row],[BB_Mean]]="", "", tbl_HD[[#This Row],[BB_Mean]]+(2*tbl_HD[[#This Row],[BB_Stdev]]))</f>
        <v/>
      </c>
      <c r="L14" s="10" t="str">
        <f ca="1">IF(tbl_HD[[#This Row],[BB_Mean]]="", "", tbl_HD[[#This Row],[BB_Mean]]-(2*tbl_HD[[#This Row],[BB_Stdev]]))</f>
        <v/>
      </c>
      <c r="M14" s="46">
        <f>IF(ROW(tbl_HD[[#This Row],[Adj Close]])=5, 0, $F14-$F13)</f>
        <v>2.5366510000000062</v>
      </c>
      <c r="N14" s="46">
        <f>MAX(tbl_HD[[#This Row],[Move]],0)</f>
        <v>2.5366510000000062</v>
      </c>
      <c r="O14" s="46">
        <f>MAX(-tbl_HD[[#This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IF(tbl_HD[[#This Row],[Avg_Upmove]]="", "", tbl_HD[[#This Row],[Avg_Upmove]]/tbl_HD[[#This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284.98998999999998</v>
      </c>
      <c r="C15" s="48">
        <v>286.85000600000001</v>
      </c>
      <c r="D15" s="48">
        <v>281.92001299999998</v>
      </c>
      <c r="E15" s="48">
        <v>286.75</v>
      </c>
      <c r="F15" s="48">
        <v>285.24575800000002</v>
      </c>
      <c r="G15">
        <v>4430900</v>
      </c>
      <c r="H15" s="10">
        <f>IF(tbl_HD[[#This Row],[Date]]=$A$5, $F15, EMA_Beta*$H14 + (1-EMA_Beta)*$F15)</f>
        <v>278.71636910162289</v>
      </c>
      <c r="I15" s="46" t="str">
        <f ca="1">IF(tbl_HD[[#This Row],[RS]]= "", "", 100-(100/(1+tbl_HD[[#This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IF(tbl_HD[[#This Row],[BB_Mean]]="", "", tbl_HD[[#This Row],[BB_Mean]]+(2*tbl_HD[[#This Row],[BB_Stdev]]))</f>
        <v/>
      </c>
      <c r="L15" s="10" t="str">
        <f ca="1">IF(tbl_HD[[#This Row],[BB_Mean]]="", "", tbl_HD[[#This Row],[BB_Mean]]-(2*tbl_HD[[#This Row],[BB_Stdev]]))</f>
        <v/>
      </c>
      <c r="M15" s="46">
        <f>IF(ROW(tbl_HD[[#This Row],[Adj Close]])=5, 0, $F15-$F14)</f>
        <v>3.5015260000000126</v>
      </c>
      <c r="N15" s="46">
        <f>MAX(tbl_HD[[#This Row],[Move]],0)</f>
        <v>3.5015260000000126</v>
      </c>
      <c r="O15" s="46">
        <f>MAX(-tbl_HD[[#This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IF(tbl_HD[[#This Row],[Avg_Upmove]]="", "", tbl_HD[[#This Row],[Avg_Upmove]]/tbl_HD[[#This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287.26998900000001</v>
      </c>
      <c r="C16" s="48">
        <v>287.48001099999999</v>
      </c>
      <c r="D16" s="48">
        <v>283.89001500000001</v>
      </c>
      <c r="E16" s="48">
        <v>286.13000499999998</v>
      </c>
      <c r="F16" s="48">
        <v>284.62899800000002</v>
      </c>
      <c r="G16">
        <v>2854500</v>
      </c>
      <c r="H16" s="10">
        <f>IF(tbl_HD[[#This Row],[Date]]=$A$5, $F16, EMA_Beta*$H15 + (1-EMA_Beta)*$F16)</f>
        <v>279.3076319914606</v>
      </c>
      <c r="I16" s="46" t="str">
        <f ca="1">IF(tbl_HD[[#This Row],[RS]]= "", "", 100-(100/(1+tbl_HD[[#This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IF(tbl_HD[[#This Row],[BB_Mean]]="", "", tbl_HD[[#This Row],[BB_Mean]]+(2*tbl_HD[[#This Row],[BB_Stdev]]))</f>
        <v/>
      </c>
      <c r="L16" s="10" t="str">
        <f ca="1">IF(tbl_HD[[#This Row],[BB_Mean]]="", "", tbl_HD[[#This Row],[BB_Mean]]-(2*tbl_HD[[#This Row],[BB_Stdev]]))</f>
        <v/>
      </c>
      <c r="M16" s="46">
        <f>IF(ROW(tbl_HD[[#This Row],[Adj Close]])=5, 0, $F16-$F15)</f>
        <v>-0.61675999999999931</v>
      </c>
      <c r="N16" s="46">
        <f>MAX(tbl_HD[[#This Row],[Move]],0)</f>
        <v>0</v>
      </c>
      <c r="O16" s="46">
        <f>MAX(-tbl_HD[[#This Row],[Move]],0)</f>
        <v>0.61675999999999931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IF(tbl_HD[[#This Row],[Avg_Upmove]]="", "", tbl_HD[[#This Row],[Avg_Upmove]]/tbl_HD[[#This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287.73001099999999</v>
      </c>
      <c r="C17" s="48">
        <v>292.11999500000002</v>
      </c>
      <c r="D17" s="48">
        <v>286.26998900000001</v>
      </c>
      <c r="E17" s="48">
        <v>291.92999300000002</v>
      </c>
      <c r="F17" s="48">
        <v>290.39855999999997</v>
      </c>
      <c r="G17">
        <v>4001900</v>
      </c>
      <c r="H17" s="10">
        <f>IF(tbl_HD[[#This Row],[Date]]=$A$5, $F17, EMA_Beta*$H16 + (1-EMA_Beta)*$F17)</f>
        <v>280.41672479231454</v>
      </c>
      <c r="I17" s="46" t="str">
        <f ca="1">IF(tbl_HD[[#This Row],[RS]]= "", "", 100-(100/(1+tbl_HD[[#This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IF(tbl_HD[[#This Row],[BB_Mean]]="", "", tbl_HD[[#This Row],[BB_Mean]]+(2*tbl_HD[[#This Row],[BB_Stdev]]))</f>
        <v/>
      </c>
      <c r="L17" s="10" t="str">
        <f ca="1">IF(tbl_HD[[#This Row],[BB_Mean]]="", "", tbl_HD[[#This Row],[BB_Mean]]-(2*tbl_HD[[#This Row],[BB_Stdev]]))</f>
        <v/>
      </c>
      <c r="M17" s="46">
        <f>IF(ROW(tbl_HD[[#This Row],[Adj Close]])=5, 0, $F17-$F16)</f>
        <v>5.7695619999999508</v>
      </c>
      <c r="N17" s="46">
        <f>MAX(tbl_HD[[#This Row],[Move]],0)</f>
        <v>5.7695619999999508</v>
      </c>
      <c r="O17" s="46">
        <f>MAX(-tbl_HD[[#This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IF(tbl_HD[[#This Row],[Avg_Upmove]]="", "", tbl_HD[[#This Row],[Avg_Upmove]]/tbl_HD[[#This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292.22000100000002</v>
      </c>
      <c r="C18" s="48">
        <v>292.95001200000002</v>
      </c>
      <c r="D18" s="48">
        <v>286.55999800000001</v>
      </c>
      <c r="E18" s="48">
        <v>288.63000499999998</v>
      </c>
      <c r="F18" s="48">
        <v>287.115906</v>
      </c>
      <c r="G18">
        <v>3430900</v>
      </c>
      <c r="H18" s="10">
        <f>IF(tbl_HD[[#This Row],[Date]]=$A$5, $F18, EMA_Beta*$H17 + (1-EMA_Beta)*$F18)</f>
        <v>281.0866429130831</v>
      </c>
      <c r="I18" s="46" t="str">
        <f ca="1">IF(tbl_HD[[#This Row],[RS]]= "", "", 100-(100/(1+tbl_HD[[#This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281.86287371428574</v>
      </c>
      <c r="K18" s="10">
        <f ca="1">IF(tbl_HD[[#This Row],[BB_Mean]]="", "", tbl_HD[[#This Row],[BB_Mean]]+(2*tbl_HD[[#This Row],[BB_Stdev]]))</f>
        <v>291.64061486510343</v>
      </c>
      <c r="L18" s="10">
        <f ca="1">IF(tbl_HD[[#This Row],[BB_Mean]]="", "", tbl_HD[[#This Row],[BB_Mean]]-(2*tbl_HD[[#This Row],[BB_Stdev]]))</f>
        <v>272.08513256346805</v>
      </c>
      <c r="M18" s="46">
        <f>IF(ROW(tbl_HD[[#This Row],[Adj Close]])=5, 0, $F18-$F17)</f>
        <v>-3.2826539999999795</v>
      </c>
      <c r="N18" s="46">
        <f>MAX(tbl_HD[[#This Row],[Move]],0)</f>
        <v>0</v>
      </c>
      <c r="O18" s="46">
        <f>MAX(-tbl_HD[[#This Row],[Move]],0)</f>
        <v>3.2826539999999795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IF(tbl_HD[[#This Row],[Avg_Upmove]]="", "", tbl_HD[[#This Row],[Avg_Upmove]]/tbl_HD[[#This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4.8888705754088404</v>
      </c>
    </row>
    <row r="19" spans="1:19" x14ac:dyDescent="0.25">
      <c r="A19" s="8">
        <v>44071</v>
      </c>
      <c r="B19" s="48">
        <v>288.30999800000001</v>
      </c>
      <c r="C19" s="48">
        <v>288.82998700000002</v>
      </c>
      <c r="D19" s="48">
        <v>284.76998900000001</v>
      </c>
      <c r="E19" s="48">
        <v>286.290009</v>
      </c>
      <c r="F19" s="48">
        <v>284.78817700000002</v>
      </c>
      <c r="G19">
        <v>3100100</v>
      </c>
      <c r="H19" s="10">
        <f>IF(tbl_HD[[#This Row],[Date]]=$A$5, $F19, EMA_Beta*$H18 + (1-EMA_Beta)*$F19)</f>
        <v>281.45679632177479</v>
      </c>
      <c r="I19" s="46">
        <f ca="1">IF(tbl_HD[[#This Row],[RS]]= "", "", 100-(100/(1+tbl_HD[[#This Row],[RS]])))</f>
        <v>63.954587445302003</v>
      </c>
      <c r="J19" s="10">
        <f ca="1">IF(ROW($N19)-4&lt;BB_Periods, "", AVERAGE(INDIRECT(ADDRESS(ROW($F19)-RSI_Periods +1, MATCH("Adj Close", Price_Header,0))): INDIRECT(ADDRESS(ROW($F19),MATCH("Adj Close", Price_Header,0)))))</f>
        <v>282.6842565</v>
      </c>
      <c r="K19" s="10">
        <f ca="1">IF(tbl_HD[[#This Row],[BB_Mean]]="", "", tbl_HD[[#This Row],[BB_Mean]]+(2*tbl_HD[[#This Row],[BB_Stdev]]))</f>
        <v>291.21134120215601</v>
      </c>
      <c r="L19" s="10">
        <f ca="1">IF(tbl_HD[[#This Row],[BB_Mean]]="", "", tbl_HD[[#This Row],[BB_Mean]]-(2*tbl_HD[[#This Row],[BB_Stdev]]))</f>
        <v>274.157171797844</v>
      </c>
      <c r="M19" s="46">
        <f>IF(ROW(tbl_HD[[#This Row],[Adj Close]])=5, 0, $F19-$F18)</f>
        <v>-2.3277289999999766</v>
      </c>
      <c r="N19" s="46">
        <f>MAX(tbl_HD[[#This Row],[Move]],0)</f>
        <v>0</v>
      </c>
      <c r="O19" s="46">
        <f>MAX(-tbl_HD[[#This Row],[Move]],0)</f>
        <v>2.3277289999999766</v>
      </c>
      <c r="P19" s="46">
        <f ca="1">IF(ROW($N19)-5&lt;RSI_Periods, "", AVERAGE(INDIRECT(ADDRESS(ROW($N19)-RSI_Periods +1, MATCH("Upmove", Price_Header,0))): INDIRECT(ADDRESS(ROW($N19),MATCH("Upmove", Price_Header,0)))))</f>
        <v>1.8822196428571414</v>
      </c>
      <c r="Q19" s="46">
        <f ca="1">IF(ROW($O19)-5&lt;RSI_Periods, "", AVERAGE(INDIRECT(ADDRESS(ROW($O19)-RSI_Periods +1, MATCH("Downmove", Price_Header,0))): INDIRECT(ADDRESS(ROW($O19),MATCH("Downmove", Price_Header,0)))))</f>
        <v>1.0608368571428539</v>
      </c>
      <c r="R19" s="46">
        <f ca="1">IF(tbl_HD[[#This Row],[Avg_Upmove]]="", "", tbl_HD[[#This Row],[Avg_Upmove]]/tbl_HD[[#This Row],[Avg_Downmove]])</f>
        <v>1.7742781372873047</v>
      </c>
      <c r="S19" s="10">
        <f ca="1">IF(ROW($N19)-4&lt;BB_Periods, "", _xlfn.STDEV.S(INDIRECT(ADDRESS(ROW($F19)-RSI_Periods +1, MATCH("Adj Close", Price_Header,0))): INDIRECT(ADDRESS(ROW($F19),MATCH("Adj Close", Price_Header,0)))))</f>
        <v>4.2635423510780077</v>
      </c>
    </row>
    <row r="20" spans="1:19" x14ac:dyDescent="0.25">
      <c r="A20" s="8">
        <v>44074</v>
      </c>
      <c r="B20" s="48">
        <v>285</v>
      </c>
      <c r="C20" s="48">
        <v>286.69000199999999</v>
      </c>
      <c r="D20" s="48">
        <v>282.86999500000002</v>
      </c>
      <c r="E20" s="48">
        <v>285.040009</v>
      </c>
      <c r="F20" s="48">
        <v>283.54473899999999</v>
      </c>
      <c r="G20">
        <v>4105400</v>
      </c>
      <c r="H20" s="10">
        <f>IF(tbl_HD[[#This Row],[Date]]=$A$5, $F20, EMA_Beta*$H19 + (1-EMA_Beta)*$F20)</f>
        <v>281.66559058959734</v>
      </c>
      <c r="I20" s="46">
        <f ca="1">IF(tbl_HD[[#This Row],[RS]]= "", "", 100-(100/(1+tbl_HD[[#This Row],[RS]])))</f>
        <v>61.911481520808508</v>
      </c>
      <c r="J20" s="10">
        <f ca="1">IF(ROW($N20)-4&lt;BB_Periods, "", AVERAGE(INDIRECT(ADDRESS(ROW($F20)-RSI_Periods +1, MATCH("Adj Close", Price_Header,0))): INDIRECT(ADDRESS(ROW($F20),MATCH("Adj Close", Price_Header,0)))))</f>
        <v>283.40332257142859</v>
      </c>
      <c r="K20" s="10">
        <f ca="1">IF(tbl_HD[[#This Row],[BB_Mean]]="", "", tbl_HD[[#This Row],[BB_Mean]]+(2*tbl_HD[[#This Row],[BB_Stdev]]))</f>
        <v>290.08404976235278</v>
      </c>
      <c r="L20" s="10">
        <f ca="1">IF(tbl_HD[[#This Row],[BB_Mean]]="", "", tbl_HD[[#This Row],[BB_Mean]]-(2*tbl_HD[[#This Row],[BB_Stdev]]))</f>
        <v>276.7225953805044</v>
      </c>
      <c r="M20" s="46">
        <f>IF(ROW(tbl_HD[[#This Row],[Adj Close]])=5, 0, $F20-$F19)</f>
        <v>-1.243438000000026</v>
      </c>
      <c r="N20" s="46">
        <f>MAX(tbl_HD[[#This Row],[Move]],0)</f>
        <v>0</v>
      </c>
      <c r="O20" s="46">
        <f>MAX(-tbl_HD[[#This Row],[Move]],0)</f>
        <v>1.243438000000026</v>
      </c>
      <c r="P20" s="46">
        <f ca="1">IF(ROW($N20)-5&lt;RSI_Periods, "", AVERAGE(INDIRECT(ADDRESS(ROW($N20)-RSI_Periods +1, MATCH("Upmove", Price_Header,0))): INDIRECT(ADDRESS(ROW($N20),MATCH("Upmove", Price_Header,0)))))</f>
        <v>1.8687199285714249</v>
      </c>
      <c r="Q20" s="46">
        <f ca="1">IF(ROW($O20)-5&lt;RSI_Periods, "", AVERAGE(INDIRECT(ADDRESS(ROW($O20)-RSI_Periods +1, MATCH("Downmove", Price_Header,0))): INDIRECT(ADDRESS(ROW($O20),MATCH("Downmove", Price_Header,0)))))</f>
        <v>1.1496538571428556</v>
      </c>
      <c r="R20" s="46">
        <f ca="1">IF(tbl_HD[[#This Row],[Avg_Upmove]]="", "", tbl_HD[[#This Row],[Avg_Upmove]]/tbl_HD[[#This Row],[Avg_Downmove]])</f>
        <v>1.6254631052303061</v>
      </c>
      <c r="S20" s="10">
        <f ca="1">IF(ROW($N20)-4&lt;BB_Periods, "", _xlfn.STDEV.S(INDIRECT(ADDRESS(ROW($F20)-RSI_Periods +1, MATCH("Adj Close", Price_Header,0))): INDIRECT(ADDRESS(ROW($F20),MATCH("Adj Close", Price_Header,0)))))</f>
        <v>3.3403635954620903</v>
      </c>
    </row>
    <row r="21" spans="1:19" x14ac:dyDescent="0.25">
      <c r="A21" s="8">
        <v>44075</v>
      </c>
      <c r="B21" s="48">
        <v>284.02999899999998</v>
      </c>
      <c r="C21" s="48">
        <v>286.67999300000002</v>
      </c>
      <c r="D21" s="48">
        <v>283.5</v>
      </c>
      <c r="E21" s="48">
        <v>285.94000199999999</v>
      </c>
      <c r="F21" s="48">
        <v>284.44000199999999</v>
      </c>
      <c r="G21">
        <v>3238100</v>
      </c>
      <c r="H21" s="10">
        <f>IF(tbl_HD[[#This Row],[Date]]=$A$5, $F21, EMA_Beta*$H20 + (1-EMA_Beta)*$F21)</f>
        <v>281.94303173063759</v>
      </c>
      <c r="I21" s="46">
        <f ca="1">IF(tbl_HD[[#This Row],[RS]]= "", "", 100-(100/(1+tbl_HD[[#This Row],[RS]])))</f>
        <v>55.936844893647965</v>
      </c>
      <c r="J21" s="10">
        <f ca="1">IF(ROW($N21)-4&lt;BB_Periods, "", AVERAGE(INDIRECT(ADDRESS(ROW($F21)-RSI_Periods +1, MATCH("Adj Close", Price_Header,0))): INDIRECT(ADDRESS(ROW($F21),MATCH("Adj Close", Price_Header,0)))))</f>
        <v>283.71311957142859</v>
      </c>
      <c r="K21" s="10">
        <f ca="1">IF(tbl_HD[[#This Row],[BB_Mean]]="", "", tbl_HD[[#This Row],[BB_Mean]]+(2*tbl_HD[[#This Row],[BB_Stdev]]))</f>
        <v>290.13165722536593</v>
      </c>
      <c r="L21" s="10">
        <f ca="1">IF(tbl_HD[[#This Row],[BB_Mean]]="", "", tbl_HD[[#This Row],[BB_Mean]]-(2*tbl_HD[[#This Row],[BB_Stdev]]))</f>
        <v>277.29458191749126</v>
      </c>
      <c r="M21" s="46">
        <f>IF(ROW(tbl_HD[[#This Row],[Adj Close]])=5, 0, $F21-$F20)</f>
        <v>0.89526299999999992</v>
      </c>
      <c r="N21" s="46">
        <f>MAX(tbl_HD[[#This Row],[Move]],0)</f>
        <v>0.89526299999999992</v>
      </c>
      <c r="O21" s="46">
        <f>MAX(-tbl_HD[[#This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1.4594508571428548</v>
      </c>
      <c r="Q21" s="46">
        <f ca="1">IF(ROW($O21)-5&lt;RSI_Periods, "", AVERAGE(INDIRECT(ADDRESS(ROW($O21)-RSI_Periods +1, MATCH("Downmove", Price_Header,0))): INDIRECT(ADDRESS(ROW($O21),MATCH("Downmove", Price_Header,0)))))</f>
        <v>1.1496538571428556</v>
      </c>
      <c r="R21" s="46">
        <f ca="1">IF(tbl_HD[[#This Row],[Avg_Upmove]]="", "", tbl_HD[[#This Row],[Avg_Upmove]]/tbl_HD[[#This Row],[Avg_Downmove]])</f>
        <v>1.2694698043895694</v>
      </c>
      <c r="S21" s="10">
        <f ca="1">IF(ROW($N21)-4&lt;BB_Periods, "", _xlfn.STDEV.S(INDIRECT(ADDRESS(ROW($F21)-RSI_Periods +1, MATCH("Adj Close", Price_Header,0))): INDIRECT(ADDRESS(ROW($F21),MATCH("Adj Close", Price_Header,0)))))</f>
        <v>3.2092688269686738</v>
      </c>
    </row>
    <row r="22" spans="1:19" x14ac:dyDescent="0.25">
      <c r="A22" s="8">
        <v>44076</v>
      </c>
      <c r="B22" s="48">
        <v>284.85000600000001</v>
      </c>
      <c r="C22" s="48">
        <v>288.040009</v>
      </c>
      <c r="D22" s="48">
        <v>283.60000600000001</v>
      </c>
      <c r="E22" s="48">
        <v>287.20001200000002</v>
      </c>
      <c r="F22" s="48">
        <v>287.20001200000002</v>
      </c>
      <c r="G22">
        <v>3464600</v>
      </c>
      <c r="H22" s="10">
        <f>IF(tbl_HD[[#This Row],[Date]]=$A$5, $F22, EMA_Beta*$H21 + (1-EMA_Beta)*$F22)</f>
        <v>282.46872975757384</v>
      </c>
      <c r="I22" s="46">
        <f ca="1">IF(tbl_HD[[#This Row],[RS]]= "", "", 100-(100/(1+tbl_HD[[#This Row],[RS]])))</f>
        <v>58.949159549789243</v>
      </c>
      <c r="J22" s="10">
        <f ca="1">IF(ROW($N22)-4&lt;BB_Periods, "", AVERAGE(INDIRECT(ADDRESS(ROW($F22)-RSI_Periods +1, MATCH("Adj Close", Price_Header,0))): INDIRECT(ADDRESS(ROW($F22),MATCH("Adj Close", Price_Header,0)))))</f>
        <v>284.21437292857138</v>
      </c>
      <c r="K22" s="10">
        <f ca="1">IF(tbl_HD[[#This Row],[BB_Mean]]="", "", tbl_HD[[#This Row],[BB_Mean]]+(2*tbl_HD[[#This Row],[BB_Stdev]]))</f>
        <v>290.54057269588361</v>
      </c>
      <c r="L22" s="10">
        <f ca="1">IF(tbl_HD[[#This Row],[BB_Mean]]="", "", tbl_HD[[#This Row],[BB_Mean]]-(2*tbl_HD[[#This Row],[BB_Stdev]]))</f>
        <v>277.88817316125915</v>
      </c>
      <c r="M22" s="46">
        <f>IF(ROW(tbl_HD[[#This Row],[Adj Close]])=5, 0, $F22-$F21)</f>
        <v>2.7600100000000225</v>
      </c>
      <c r="N22" s="46">
        <f>MAX(tbl_HD[[#This Row],[Move]],0)</f>
        <v>2.7600100000000225</v>
      </c>
      <c r="O22" s="46">
        <f>MAX(-tbl_HD[[#This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1.6509072142857153</v>
      </c>
      <c r="Q22" s="46">
        <f ca="1">IF(ROW($O22)-5&lt;RSI_Periods, "", AVERAGE(INDIRECT(ADDRESS(ROW($O22)-RSI_Periods +1, MATCH("Downmove", Price_Header,0))): INDIRECT(ADDRESS(ROW($O22),MATCH("Downmove", Price_Header,0)))))</f>
        <v>1.1496538571428556</v>
      </c>
      <c r="R22" s="46">
        <f ca="1">IF(tbl_HD[[#This Row],[Avg_Upmove]]="", "", tbl_HD[[#This Row],[Avg_Upmove]]/tbl_HD[[#This Row],[Avg_Downmove]])</f>
        <v>1.4360037188833388</v>
      </c>
      <c r="S22" s="10">
        <f ca="1">IF(ROW($N22)-4&lt;BB_Periods, "", _xlfn.STDEV.S(INDIRECT(ADDRESS(ROW($F22)-RSI_Periods +1, MATCH("Adj Close", Price_Header,0))): INDIRECT(ADDRESS(ROW($F22),MATCH("Adj Close", Price_Header,0)))))</f>
        <v>3.1630998836561104</v>
      </c>
    </row>
    <row r="23" spans="1:19" x14ac:dyDescent="0.25">
      <c r="A23" s="8">
        <v>44077</v>
      </c>
      <c r="B23" s="48">
        <v>287.29998799999998</v>
      </c>
      <c r="C23" s="48">
        <v>287.70001200000002</v>
      </c>
      <c r="D23" s="48">
        <v>272.17001299999998</v>
      </c>
      <c r="E23" s="48">
        <v>274.63000499999998</v>
      </c>
      <c r="F23" s="48">
        <v>274.63000499999998</v>
      </c>
      <c r="G23">
        <v>5380100</v>
      </c>
      <c r="H23" s="10">
        <f>IF(tbl_HD[[#This Row],[Date]]=$A$5, $F23, EMA_Beta*$H22 + (1-EMA_Beta)*$F23)</f>
        <v>281.68485728181645</v>
      </c>
      <c r="I23" s="46">
        <f ca="1">IF(tbl_HD[[#This Row],[RS]]= "", "", 100-(100/(1+tbl_HD[[#This Row],[RS]])))</f>
        <v>45.610891926382877</v>
      </c>
      <c r="J23" s="10">
        <f ca="1">IF(ROW($N23)-4&lt;BB_Periods, "", AVERAGE(INDIRECT(ADDRESS(ROW($F23)-RSI_Periods +1, MATCH("Adj Close", Price_Header,0))): INDIRECT(ADDRESS(ROW($F23),MATCH("Adj Close", Price_Header,0)))))</f>
        <v>283.89664135714287</v>
      </c>
      <c r="K23" s="10">
        <f ca="1">IF(tbl_HD[[#This Row],[BB_Mean]]="", "", tbl_HD[[#This Row],[BB_Mean]]+(2*tbl_HD[[#This Row],[BB_Stdev]]))</f>
        <v>291.62540050677137</v>
      </c>
      <c r="L23" s="10">
        <f ca="1">IF(tbl_HD[[#This Row],[BB_Mean]]="", "", tbl_HD[[#This Row],[BB_Mean]]-(2*tbl_HD[[#This Row],[BB_Stdev]]))</f>
        <v>276.16788220751437</v>
      </c>
      <c r="M23" s="46">
        <f>IF(ROW(tbl_HD[[#This Row],[Adj Close]])=5, 0, $F23-$F22)</f>
        <v>-12.570007000000032</v>
      </c>
      <c r="N23" s="46">
        <f>MAX(tbl_HD[[#This Row],[Move]],0)</f>
        <v>0</v>
      </c>
      <c r="O23" s="46">
        <f>MAX(-tbl_HD[[#This Row],[Move]],0)</f>
        <v>12.570007000000032</v>
      </c>
      <c r="P23" s="46">
        <f ca="1">IF(ROW($N23)-5&lt;RSI_Periods, "", AVERAGE(INDIRECT(ADDRESS(ROW($N23)-RSI_Periods +1, MATCH("Upmove", Price_Header,0))): INDIRECT(ADDRESS(ROW($N23),MATCH("Upmove", Price_Header,0)))))</f>
        <v>1.6509072142857153</v>
      </c>
      <c r="Q23" s="46">
        <f ca="1">IF(ROW($O23)-5&lt;RSI_Periods, "", AVERAGE(INDIRECT(ADDRESS(ROW($O23)-RSI_Periods +1, MATCH("Downmove", Price_Header,0))): INDIRECT(ADDRESS(ROW($O23),MATCH("Downmove", Price_Header,0)))))</f>
        <v>1.9686387857142864</v>
      </c>
      <c r="R23" s="46">
        <f ca="1">IF(tbl_HD[[#This Row],[Avg_Upmove]]="", "", tbl_HD[[#This Row],[Avg_Upmove]]/tbl_HD[[#This Row],[Avg_Downmove]])</f>
        <v>0.838603417887407</v>
      </c>
      <c r="S23" s="10">
        <f ca="1">IF(ROW($N23)-4&lt;BB_Periods, "", _xlfn.STDEV.S(INDIRECT(ADDRESS(ROW($F23)-RSI_Periods +1, MATCH("Adj Close", Price_Header,0))): INDIRECT(ADDRESS(ROW($F23),MATCH("Adj Close", Price_Header,0)))))</f>
        <v>3.8643795748142402</v>
      </c>
    </row>
    <row r="24" spans="1:19" x14ac:dyDescent="0.25">
      <c r="A24" s="8">
        <v>44078</v>
      </c>
      <c r="B24" s="48">
        <v>275.54998799999998</v>
      </c>
      <c r="C24" s="48">
        <v>276.76998900000001</v>
      </c>
      <c r="D24" s="48">
        <v>264.67001299999998</v>
      </c>
      <c r="E24" s="48">
        <v>269.66000400000001</v>
      </c>
      <c r="F24" s="48">
        <v>269.66000400000001</v>
      </c>
      <c r="G24">
        <v>5253500</v>
      </c>
      <c r="H24" s="10">
        <f>IF(tbl_HD[[#This Row],[Date]]=$A$5, $F24, EMA_Beta*$H23 + (1-EMA_Beta)*$F24)</f>
        <v>280.48237195363481</v>
      </c>
      <c r="I24" s="46">
        <f ca="1">IF(tbl_HD[[#This Row],[RS]]= "", "", 100-(100/(1+tbl_HD[[#This Row],[RS]])))</f>
        <v>32.218665200259792</v>
      </c>
      <c r="J24" s="10">
        <f ca="1">IF(ROW($N24)-4&lt;BB_Periods, "", AVERAGE(INDIRECT(ADDRESS(ROW($F24)-RSI_Periods +1, MATCH("Adj Close", Price_Header,0))): INDIRECT(ADDRESS(ROW($F24),MATCH("Adj Close", Price_Header,0)))))</f>
        <v>282.67750335714283</v>
      </c>
      <c r="K24" s="10">
        <f ca="1">IF(tbl_HD[[#This Row],[BB_Mean]]="", "", tbl_HD[[#This Row],[BB_Mean]]+(2*tbl_HD[[#This Row],[BB_Stdev]]))</f>
        <v>293.31838291706708</v>
      </c>
      <c r="L24" s="10">
        <f ca="1">IF(tbl_HD[[#This Row],[BB_Mean]]="", "", tbl_HD[[#This Row],[BB_Mean]]-(2*tbl_HD[[#This Row],[BB_Stdev]]))</f>
        <v>272.03662379721857</v>
      </c>
      <c r="M24" s="46">
        <f>IF(ROW(tbl_HD[[#This Row],[Adj Close]])=5, 0, $F24-$F23)</f>
        <v>-4.9700009999999679</v>
      </c>
      <c r="N24" s="46">
        <f>MAX(tbl_HD[[#This Row],[Move]],0)</f>
        <v>0</v>
      </c>
      <c r="O24" s="46">
        <f>MAX(-tbl_HD[[#This Row],[Move]],0)</f>
        <v>4.9700009999999679</v>
      </c>
      <c r="P24" s="46">
        <f ca="1">IF(ROW($N24)-5&lt;RSI_Periods, "", AVERAGE(INDIRECT(ADDRESS(ROW($N24)-RSI_Periods +1, MATCH("Upmove", Price_Header,0))): INDIRECT(ADDRESS(ROW($N24),MATCH("Upmove", Price_Header,0)))))</f>
        <v>1.1045008571428565</v>
      </c>
      <c r="Q24" s="46">
        <f ca="1">IF(ROW($O24)-5&lt;RSI_Periods, "", AVERAGE(INDIRECT(ADDRESS(ROW($O24)-RSI_Periods +1, MATCH("Downmove", Price_Header,0))): INDIRECT(ADDRESS(ROW($O24),MATCH("Downmove", Price_Header,0)))))</f>
        <v>2.3236388571428557</v>
      </c>
      <c r="R24" s="46">
        <f ca="1">IF(tbl_HD[[#This Row],[Avg_Upmove]]="", "", tbl_HD[[#This Row],[Avg_Upmove]]/tbl_HD[[#This Row],[Avg_Downmove]])</f>
        <v>0.47533240965893891</v>
      </c>
      <c r="S24" s="10">
        <f ca="1">IF(ROW($N24)-4&lt;BB_Periods, "", _xlfn.STDEV.S(INDIRECT(ADDRESS(ROW($F24)-RSI_Periods +1, MATCH("Adj Close", Price_Header,0))): INDIRECT(ADDRESS(ROW($F24),MATCH("Adj Close", Price_Header,0)))))</f>
        <v>5.3204397799621432</v>
      </c>
    </row>
    <row r="25" spans="1:19" x14ac:dyDescent="0.25">
      <c r="A25" s="8">
        <v>44082</v>
      </c>
      <c r="B25" s="48">
        <v>267.10998499999999</v>
      </c>
      <c r="C25" s="48">
        <v>271.040009</v>
      </c>
      <c r="D25" s="48">
        <v>262.80999800000001</v>
      </c>
      <c r="E25" s="48">
        <v>269.26001000000002</v>
      </c>
      <c r="F25" s="48">
        <v>269.26001000000002</v>
      </c>
      <c r="G25">
        <v>5241200</v>
      </c>
      <c r="H25" s="10">
        <f>IF(tbl_HD[[#This Row],[Date]]=$A$5, $F25, EMA_Beta*$H24 + (1-EMA_Beta)*$F25)</f>
        <v>279.36013575827133</v>
      </c>
      <c r="I25" s="46">
        <f ca="1">IF(tbl_HD[[#This Row],[RS]]= "", "", 100-(100/(1+tbl_HD[[#This Row],[RS]])))</f>
        <v>34.232198484698941</v>
      </c>
      <c r="J25" s="10">
        <f ca="1">IF(ROW($N25)-4&lt;BB_Periods, "", AVERAGE(INDIRECT(ADDRESS(ROW($F25)-RSI_Periods +1, MATCH("Adj Close", Price_Header,0))): INDIRECT(ADDRESS(ROW($F25),MATCH("Adj Close", Price_Header,0)))))</f>
        <v>281.66000807142854</v>
      </c>
      <c r="K25" s="10">
        <f ca="1">IF(tbl_HD[[#This Row],[BB_Mean]]="", "", tbl_HD[[#This Row],[BB_Mean]]+(2*tbl_HD[[#This Row],[BB_Stdev]]))</f>
        <v>294.46436249494525</v>
      </c>
      <c r="L25" s="10">
        <f ca="1">IF(tbl_HD[[#This Row],[BB_Mean]]="", "", tbl_HD[[#This Row],[BB_Mean]]-(2*tbl_HD[[#This Row],[BB_Stdev]]))</f>
        <v>268.85565364791182</v>
      </c>
      <c r="M25" s="46">
        <f>IF(ROW(tbl_HD[[#This Row],[Adj Close]])=5, 0, $F25-$F24)</f>
        <v>-0.39999399999999241</v>
      </c>
      <c r="N25" s="46">
        <f>MAX(tbl_HD[[#This Row],[Move]],0)</f>
        <v>0</v>
      </c>
      <c r="O25" s="46">
        <f>MAX(-tbl_HD[[#This Row],[Move]],0)</f>
        <v>0.39999399999999241</v>
      </c>
      <c r="P25" s="46">
        <f ca="1">IF(ROW($N25)-5&lt;RSI_Periods, "", AVERAGE(INDIRECT(ADDRESS(ROW($N25)-RSI_Periods +1, MATCH("Upmove", Price_Header,0))): INDIRECT(ADDRESS(ROW($N25),MATCH("Upmove", Price_Header,0)))))</f>
        <v>1.1045008571428565</v>
      </c>
      <c r="Q25" s="46">
        <f ca="1">IF(ROW($O25)-5&lt;RSI_Periods, "", AVERAGE(INDIRECT(ADDRESS(ROW($O25)-RSI_Periods +1, MATCH("Downmove", Price_Header,0))): INDIRECT(ADDRESS(ROW($O25),MATCH("Downmove", Price_Header,0)))))</f>
        <v>2.1219961428571423</v>
      </c>
      <c r="R25" s="46">
        <f ca="1">IF(tbl_HD[[#This Row],[Avg_Upmove]]="", "", tbl_HD[[#This Row],[Avg_Upmove]]/tbl_HD[[#This Row],[Avg_Downmove]])</f>
        <v>0.52050087878845597</v>
      </c>
      <c r="S25" s="10">
        <f ca="1">IF(ROW($N25)-4&lt;BB_Periods, "", _xlfn.STDEV.S(INDIRECT(ADDRESS(ROW($F25)-RSI_Periods +1, MATCH("Adj Close", Price_Header,0))): INDIRECT(ADDRESS(ROW($F25),MATCH("Adj Close", Price_Header,0)))))</f>
        <v>6.40217721175837</v>
      </c>
    </row>
    <row r="26" spans="1:19" x14ac:dyDescent="0.25">
      <c r="A26" s="8">
        <v>44083</v>
      </c>
      <c r="B26" s="48">
        <v>272.459991</v>
      </c>
      <c r="C26" s="48">
        <v>279.73998999999998</v>
      </c>
      <c r="D26" s="48">
        <v>271.75</v>
      </c>
      <c r="E26" s="48">
        <v>277.040009</v>
      </c>
      <c r="F26" s="48">
        <v>277.040009</v>
      </c>
      <c r="G26">
        <v>4754700</v>
      </c>
      <c r="H26" s="10">
        <f>IF(tbl_HD[[#This Row],[Date]]=$A$5, $F26, EMA_Beta*$H25 + (1-EMA_Beta)*$F26)</f>
        <v>279.12812308244418</v>
      </c>
      <c r="I26" s="46">
        <f ca="1">IF(tbl_HD[[#This Row],[RS]]= "", "", 100-(100/(1+tbl_HD[[#This Row],[RS]])))</f>
        <v>45.734024748504304</v>
      </c>
      <c r="J26" s="10">
        <f ca="1">IF(ROW($N26)-4&lt;BB_Periods, "", AVERAGE(INDIRECT(ADDRESS(ROW($F26)-RSI_Periods +1, MATCH("Adj Close", Price_Header,0))): INDIRECT(ADDRESS(ROW($F26),MATCH("Adj Close", Price_Header,0)))))</f>
        <v>281.35028521428563</v>
      </c>
      <c r="K26" s="10">
        <f ca="1">IF(tbl_HD[[#This Row],[BB_Mean]]="", "", tbl_HD[[#This Row],[BB_Mean]]+(2*tbl_HD[[#This Row],[BB_Stdev]]))</f>
        <v>294.39179478095946</v>
      </c>
      <c r="L26" s="10">
        <f ca="1">IF(tbl_HD[[#This Row],[BB_Mean]]="", "", tbl_HD[[#This Row],[BB_Mean]]-(2*tbl_HD[[#This Row],[BB_Stdev]]))</f>
        <v>268.30877564761181</v>
      </c>
      <c r="M26" s="46">
        <f>IF(ROW(tbl_HD[[#This Row],[Adj Close]])=5, 0, $F26-$F25)</f>
        <v>7.7799989999999752</v>
      </c>
      <c r="N26" s="46">
        <f>MAX(tbl_HD[[#This Row],[Move]],0)</f>
        <v>7.7799989999999752</v>
      </c>
      <c r="O26" s="46">
        <f>MAX(-tbl_HD[[#This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1.6602150714285691</v>
      </c>
      <c r="Q26" s="46">
        <f ca="1">IF(ROW($O26)-5&lt;RSI_Periods, "", AVERAGE(INDIRECT(ADDRESS(ROW($O26)-RSI_Periods +1, MATCH("Downmove", Price_Header,0))): INDIRECT(ADDRESS(ROW($O26),MATCH("Downmove", Price_Header,0)))))</f>
        <v>1.9699379285714258</v>
      </c>
      <c r="R26" s="46">
        <f ca="1">IF(tbl_HD[[#This Row],[Avg_Upmove]]="", "", tbl_HD[[#This Row],[Avg_Upmove]]/tbl_HD[[#This Row],[Avg_Downmove]])</f>
        <v>0.84277532167347835</v>
      </c>
      <c r="S26" s="10">
        <f ca="1">IF(ROW($N26)-4&lt;BB_Periods, "", _xlfn.STDEV.S(INDIRECT(ADDRESS(ROW($F26)-RSI_Periods +1, MATCH("Adj Close", Price_Header,0))): INDIRECT(ADDRESS(ROW($F26),MATCH("Adj Close", Price_Header,0)))))</f>
        <v>6.5207547833369235</v>
      </c>
    </row>
    <row r="27" spans="1:19" x14ac:dyDescent="0.25">
      <c r="A27" s="8">
        <v>44084</v>
      </c>
      <c r="B27" s="48">
        <v>278.01001000000002</v>
      </c>
      <c r="C27" s="48">
        <v>280.98001099999999</v>
      </c>
      <c r="D27" s="48">
        <v>271.17001299999998</v>
      </c>
      <c r="E27" s="48">
        <v>272.70001200000002</v>
      </c>
      <c r="F27" s="48">
        <v>272.70001200000002</v>
      </c>
      <c r="G27">
        <v>3155800</v>
      </c>
      <c r="H27" s="10">
        <f>IF(tbl_HD[[#This Row],[Date]]=$A$5, $F27, EMA_Beta*$H26 + (1-EMA_Beta)*$F27)</f>
        <v>278.48531197419976</v>
      </c>
      <c r="I27" s="46">
        <f ca="1">IF(tbl_HD[[#This Row],[RS]]= "", "", 100-(100/(1+tbl_HD[[#This Row],[RS]])))</f>
        <v>43.860041490677617</v>
      </c>
      <c r="J27" s="10">
        <f ca="1">IF(ROW($N27)-4&lt;BB_Periods, "", AVERAGE(INDIRECT(ADDRESS(ROW($F27)-RSI_Periods +1, MATCH("Adj Close", Price_Header,0))): INDIRECT(ADDRESS(ROW($F27),MATCH("Adj Close", Price_Header,0)))))</f>
        <v>280.88545885714285</v>
      </c>
      <c r="K27" s="10">
        <f ca="1">IF(tbl_HD[[#This Row],[BB_Mean]]="", "", tbl_HD[[#This Row],[BB_Mean]]+(2*tbl_HD[[#This Row],[BB_Stdev]]))</f>
        <v>294.69709624703529</v>
      </c>
      <c r="L27" s="10">
        <f ca="1">IF(tbl_HD[[#This Row],[BB_Mean]]="", "", tbl_HD[[#This Row],[BB_Mean]]-(2*tbl_HD[[#This Row],[BB_Stdev]]))</f>
        <v>267.07382146725041</v>
      </c>
      <c r="M27" s="46">
        <f>IF(ROW(tbl_HD[[#This Row],[Adj Close]])=5, 0, $F27-$F26)</f>
        <v>-4.3399969999999826</v>
      </c>
      <c r="N27" s="46">
        <f>MAX(tbl_HD[[#This Row],[Move]],0)</f>
        <v>0</v>
      </c>
      <c r="O27" s="46">
        <f>MAX(-tbl_HD[[#This Row],[Move]],0)</f>
        <v>4.3399969999999826</v>
      </c>
      <c r="P27" s="46">
        <f ca="1">IF(ROW($N27)-5&lt;RSI_Periods, "", AVERAGE(INDIRECT(ADDRESS(ROW($N27)-RSI_Periods +1, MATCH("Upmove", Price_Header,0))): INDIRECT(ADDRESS(ROW($N27),MATCH("Upmove", Price_Header,0)))))</f>
        <v>1.6602150714285691</v>
      </c>
      <c r="Q27" s="46">
        <f ca="1">IF(ROW($O27)-5&lt;RSI_Periods, "", AVERAGE(INDIRECT(ADDRESS(ROW($O27)-RSI_Periods +1, MATCH("Downmove", Price_Header,0))): INDIRECT(ADDRESS(ROW($O27),MATCH("Downmove", Price_Header,0)))))</f>
        <v>2.1250414285714254</v>
      </c>
      <c r="R27" s="46">
        <f ca="1">IF(tbl_HD[[#This Row],[Avg_Upmove]]="", "", tbl_HD[[#This Row],[Avg_Upmove]]/tbl_HD[[#This Row],[Avg_Downmove]])</f>
        <v>0.78126244933712219</v>
      </c>
      <c r="S27" s="10">
        <f ca="1">IF(ROW($N27)-4&lt;BB_Periods, "", _xlfn.STDEV.S(INDIRECT(ADDRESS(ROW($F27)-RSI_Periods +1, MATCH("Adj Close", Price_Header,0))): INDIRECT(ADDRESS(ROW($F27),MATCH("Adj Close", Price_Header,0)))))</f>
        <v>6.9058186949462179</v>
      </c>
    </row>
    <row r="28" spans="1:19" x14ac:dyDescent="0.25">
      <c r="A28" s="8">
        <v>44085</v>
      </c>
      <c r="B28" s="48">
        <v>273.98001099999999</v>
      </c>
      <c r="C28" s="48">
        <v>277.98001099999999</v>
      </c>
      <c r="D28" s="48">
        <v>273.459991</v>
      </c>
      <c r="E28" s="48">
        <v>276.32998700000002</v>
      </c>
      <c r="F28" s="48">
        <v>276.32998700000002</v>
      </c>
      <c r="G28">
        <v>3328747</v>
      </c>
      <c r="H28" s="10">
        <f>IF(tbl_HD[[#This Row],[Date]]=$A$5, $F28, EMA_Beta*$H27 + (1-EMA_Beta)*$F28)</f>
        <v>278.26977947677977</v>
      </c>
      <c r="I28" s="46">
        <f ca="1">IF(tbl_HD[[#This Row],[RS]]= "", "", 100-(100/(1+tbl_HD[[#This Row],[RS]])))</f>
        <v>44.99486613351862</v>
      </c>
      <c r="J28" s="10">
        <f ca="1">IF(ROW($N28)-4&lt;BB_Periods, "", AVERAGE(INDIRECT(ADDRESS(ROW($F28)-RSI_Periods +1, MATCH("Adj Close", Price_Header,0))): INDIRECT(ADDRESS(ROW($F28),MATCH("Adj Close", Price_Header,0)))))</f>
        <v>280.49872707142856</v>
      </c>
      <c r="K28" s="10">
        <f ca="1">IF(tbl_HD[[#This Row],[BB_Mean]]="", "", tbl_HD[[#This Row],[BB_Mean]]+(2*tbl_HD[[#This Row],[BB_Stdev]]))</f>
        <v>294.50856192369491</v>
      </c>
      <c r="L28" s="10">
        <f ca="1">IF(tbl_HD[[#This Row],[BB_Mean]]="", "", tbl_HD[[#This Row],[BB_Mean]]-(2*tbl_HD[[#This Row],[BB_Stdev]]))</f>
        <v>266.48889221916221</v>
      </c>
      <c r="M28" s="46">
        <f>IF(ROW(tbl_HD[[#This Row],[Adj Close]])=5, 0, $F28-$F27)</f>
        <v>3.6299750000000017</v>
      </c>
      <c r="N28" s="46">
        <f>MAX(tbl_HD[[#This Row],[Move]],0)</f>
        <v>3.6299750000000017</v>
      </c>
      <c r="O28" s="46">
        <f>MAX(-tbl_HD[[#This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1.7383096428571403</v>
      </c>
      <c r="Q28" s="46">
        <f ca="1">IF(ROW($O28)-5&lt;RSI_Periods, "", AVERAGE(INDIRECT(ADDRESS(ROW($O28)-RSI_Periods +1, MATCH("Downmove", Price_Header,0))): INDIRECT(ADDRESS(ROW($O28),MATCH("Downmove", Price_Header,0)))))</f>
        <v>2.1250414285714254</v>
      </c>
      <c r="R28" s="46">
        <f ca="1">IF(tbl_HD[[#This Row],[Avg_Upmove]]="", "", tbl_HD[[#This Row],[Avg_Upmove]]/tbl_HD[[#This Row],[Avg_Downmove]])</f>
        <v>0.81801211942758767</v>
      </c>
      <c r="S28" s="10">
        <f ca="1">IF(ROW($N28)-4&lt;BB_Periods, "", _xlfn.STDEV.S(INDIRECT(ADDRESS(ROW($F28)-RSI_Periods +1, MATCH("Adj Close", Price_Header,0))): INDIRECT(ADDRESS(ROW($F28),MATCH("Adj Close", Price_Header,0)))))</f>
        <v>7.004917426133181</v>
      </c>
    </row>
  </sheetData>
  <sheetProtection sheet="1" objects="1" scenarios="1" selectLockedCells="1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I8" sqref="I8"/>
    </sheetView>
  </sheetViews>
  <sheetFormatPr defaultRowHeight="15" x14ac:dyDescent="0.25"/>
  <cols>
    <col min="1" max="1" width="9.7109375" bestFit="1" customWidth="1"/>
    <col min="6" max="6" width="11.42578125" customWidth="1"/>
    <col min="7" max="7" width="12" customWidth="1"/>
    <col min="11" max="11" width="11.140625" customWidth="1"/>
    <col min="12" max="12" width="12.28515625" customWidth="1"/>
    <col min="14" max="14" width="10.7109375" customWidth="1"/>
    <col min="15" max="15" width="9.7109375" customWidth="1"/>
    <col min="16" max="16" width="11.140625" customWidth="1"/>
    <col min="17" max="17" width="10.5703125" customWidth="1"/>
    <col min="19" max="19" width="10.42578125" customWidth="1"/>
  </cols>
  <sheetData>
    <row r="1" spans="1:19" ht="21" x14ac:dyDescent="0.35">
      <c r="A1" s="41" t="s">
        <v>166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s="129" t="s">
        <v>58</v>
      </c>
      <c r="B4" s="129" t="s">
        <v>75</v>
      </c>
      <c r="C4" s="129" t="s">
        <v>76</v>
      </c>
      <c r="D4" s="129" t="s">
        <v>77</v>
      </c>
      <c r="E4" s="129" t="s">
        <v>78</v>
      </c>
      <c r="F4" s="129" t="s">
        <v>79</v>
      </c>
      <c r="G4" s="129" t="s">
        <v>80</v>
      </c>
      <c r="H4" s="129" t="s">
        <v>84</v>
      </c>
      <c r="I4" s="129" t="s">
        <v>85</v>
      </c>
      <c r="J4" s="129" t="s">
        <v>129</v>
      </c>
      <c r="K4" s="129" t="s">
        <v>130</v>
      </c>
      <c r="L4" s="129" t="s">
        <v>131</v>
      </c>
      <c r="M4" s="129" t="s">
        <v>172</v>
      </c>
      <c r="N4" s="129" t="s">
        <v>173</v>
      </c>
      <c r="O4" s="129" t="s">
        <v>174</v>
      </c>
      <c r="P4" s="129" t="s">
        <v>175</v>
      </c>
      <c r="Q4" s="129" t="s">
        <v>176</v>
      </c>
      <c r="R4" s="129" t="s">
        <v>177</v>
      </c>
      <c r="S4" s="129" t="s">
        <v>178</v>
      </c>
    </row>
    <row r="5" spans="1:19" x14ac:dyDescent="0.25">
      <c r="A5" s="130">
        <v>44053</v>
      </c>
      <c r="B5" s="147">
        <v>112.599998</v>
      </c>
      <c r="C5" s="147">
        <v>113.775002</v>
      </c>
      <c r="D5" s="147">
        <v>110</v>
      </c>
      <c r="E5" s="147">
        <v>112.727501</v>
      </c>
      <c r="F5" s="147">
        <v>112.727501</v>
      </c>
      <c r="G5" s="129">
        <v>212403600</v>
      </c>
      <c r="H5" s="147">
        <f>IF(tbl_AAPL[[#This Row],[Date]]=$A$5, $F5, EMA_Beta*$H4 + (1-EMA_Beta)*$F5)</f>
        <v>112.727501</v>
      </c>
      <c r="I5" s="151" t="str">
        <f ca="1">IF(tbl_AAPL[[#This Row],[RS]]= "", "", 100-(100/(1+tbl_AAPL[[#This Row],[RS]])))</f>
        <v/>
      </c>
      <c r="J5" s="147" t="str">
        <f ca="1">IF(ROW($N5)-4&lt;BB_Periods, "", AVERAGE(INDIRECT(ADDRESS(ROW($F5)-RSI_Periods +1, MATCH("Adj Close", Price_Header,0))): INDIRECT(ADDRESS(ROW($F5),MATCH("Adj Close", Price_Header,0)))))</f>
        <v/>
      </c>
      <c r="K5" s="147" t="str">
        <f ca="1">IF(tbl_AAPL[[#This Row],[BB_Mean]]="", "", tbl_AAPL[[#This Row],[BB_Mean]]+(2*tbl_AAPL[[#This Row],[BB_Stdev]]))</f>
        <v/>
      </c>
      <c r="L5" s="147" t="str">
        <f ca="1">IF(tbl_AAPL[[#This Row],[BB_Mean]]="", "", tbl_AAPL[[#This Row],[BB_Mean]]-(2*tbl_AAPL[[#This Row],[BB_Stdev]]))</f>
        <v/>
      </c>
      <c r="M5" s="151">
        <f>IF(ROW(tbl_AAPL[[#This Row],[Adj Close]])=5, 0, $F5-$F4)</f>
        <v>0</v>
      </c>
      <c r="N5" s="151">
        <f>MAX(tbl_AAPL[[#This Row],[Move]],0)</f>
        <v>0</v>
      </c>
      <c r="O5" s="151">
        <f>MAX(-tbl_AAPL[[#This Row],[Move]],0)</f>
        <v>0</v>
      </c>
      <c r="P5" s="151" t="str">
        <f ca="1">IF(ROW($N5)-5&lt;RSI_Periods, "", AVERAGE(INDIRECT(ADDRESS(ROW($N5)-RSI_Periods +1, MATCH("Upmove", Price_Header,0))): INDIRECT(ADDRESS(ROW($N5),MATCH("Upmove", Price_Header,0)))))</f>
        <v/>
      </c>
      <c r="Q5" s="151" t="str">
        <f ca="1">IF(ROW($O5)-5&lt;RSI_Periods, "", AVERAGE(INDIRECT(ADDRESS(ROW($O5)-RSI_Periods +1, MATCH("Downmove", Price_Header,0))): INDIRECT(ADDRESS(ROW($O5),MATCH("Downmove", Price_Header,0)))))</f>
        <v/>
      </c>
      <c r="R5" s="151" t="str">
        <f ca="1">IF(tbl_AAPL[[#This Row],[Avg_Upmove]]="", "", tbl_AAPL[[#This Row],[Avg_Upmove]]/tbl_AAPL[[#This Row],[Avg_Downmove]])</f>
        <v/>
      </c>
      <c r="S5" s="151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130">
        <v>44054</v>
      </c>
      <c r="B6" s="147">
        <v>111.970001</v>
      </c>
      <c r="C6" s="147">
        <v>112.48249800000001</v>
      </c>
      <c r="D6" s="147">
        <v>109.10749800000001</v>
      </c>
      <c r="E6" s="147">
        <v>109.375</v>
      </c>
      <c r="F6" s="147">
        <v>109.375</v>
      </c>
      <c r="G6" s="129">
        <v>187902400</v>
      </c>
      <c r="H6" s="147">
        <f>IF(tbl_AAPL[[#This Row],[Date]]=$A$5, $F6, EMA_Beta*$H5 + (1-EMA_Beta)*$F6)</f>
        <v>112.39225090000001</v>
      </c>
      <c r="I6" s="151" t="str">
        <f ca="1">IF(tbl_AAPL[[#This Row],[RS]]= "", "", 100-(100/(1+tbl_AAPL[[#This Row],[RS]])))</f>
        <v/>
      </c>
      <c r="J6" s="147" t="str">
        <f ca="1">IF(ROW($N6)-4&lt;BB_Periods, "", AVERAGE(INDIRECT(ADDRESS(ROW($F6)-RSI_Periods +1, MATCH("Adj Close", Price_Header,0))): INDIRECT(ADDRESS(ROW($F6),MATCH("Adj Close", Price_Header,0)))))</f>
        <v/>
      </c>
      <c r="K6" s="147" t="str">
        <f ca="1">IF(tbl_AAPL[[#This Row],[BB_Mean]]="", "", tbl_AAPL[[#This Row],[BB_Mean]]+(2*tbl_AAPL[[#This Row],[BB_Stdev]]))</f>
        <v/>
      </c>
      <c r="L6" s="147" t="str">
        <f ca="1">IF(tbl_AAPL[[#This Row],[BB_Mean]]="", "", tbl_AAPL[[#This Row],[BB_Mean]]-(2*tbl_AAPL[[#This Row],[BB_Stdev]]))</f>
        <v/>
      </c>
      <c r="M6" s="151">
        <f>IF(ROW(tbl_AAPL[[#This Row],[Adj Close]])=5, 0, $F6-$F5)</f>
        <v>-3.3525010000000037</v>
      </c>
      <c r="N6" s="151">
        <f>MAX(tbl_AAPL[[#This Row],[Move]],0)</f>
        <v>0</v>
      </c>
      <c r="O6" s="151">
        <f>MAX(-tbl_AAPL[[#This Row],[Move]],0)</f>
        <v>3.3525010000000037</v>
      </c>
      <c r="P6" s="151" t="str">
        <f ca="1">IF(ROW($N6)-5&lt;RSI_Periods, "", AVERAGE(INDIRECT(ADDRESS(ROW($N6)-RSI_Periods +1, MATCH("Upmove", Price_Header,0))): INDIRECT(ADDRESS(ROW($N6),MATCH("Upmove", Price_Header,0)))))</f>
        <v/>
      </c>
      <c r="Q6" s="151" t="str">
        <f ca="1">IF(ROW($O6)-5&lt;RSI_Periods, "", AVERAGE(INDIRECT(ADDRESS(ROW($O6)-RSI_Periods +1, MATCH("Downmove", Price_Header,0))): INDIRECT(ADDRESS(ROW($O6),MATCH("Downmove", Price_Header,0)))))</f>
        <v/>
      </c>
      <c r="R6" s="151" t="str">
        <f ca="1">IF(tbl_AAPL[[#This Row],[Avg_Upmove]]="", "", tbl_AAPL[[#This Row],[Avg_Upmove]]/tbl_AAPL[[#This Row],[Avg_Downmove]])</f>
        <v/>
      </c>
      <c r="S6" s="151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130">
        <v>44055</v>
      </c>
      <c r="B7" s="147">
        <v>110.49749799999999</v>
      </c>
      <c r="C7" s="147">
        <v>113.275002</v>
      </c>
      <c r="D7" s="147">
        <v>110.297501</v>
      </c>
      <c r="E7" s="147">
        <v>113.010002</v>
      </c>
      <c r="F7" s="147">
        <v>113.010002</v>
      </c>
      <c r="G7" s="129">
        <v>165944800</v>
      </c>
      <c r="H7" s="147">
        <f>IF(tbl_AAPL[[#This Row],[Date]]=$A$5, $F7, EMA_Beta*$H6 + (1-EMA_Beta)*$F7)</f>
        <v>112.45402601000001</v>
      </c>
      <c r="I7" s="151" t="str">
        <f ca="1">IF(tbl_AAPL[[#This Row],[RS]]= "", "", 100-(100/(1+tbl_AAPL[[#This Row],[RS]])))</f>
        <v/>
      </c>
      <c r="J7" s="147" t="str">
        <f ca="1">IF(ROW($N7)-4&lt;BB_Periods, "", AVERAGE(INDIRECT(ADDRESS(ROW($F7)-RSI_Periods +1, MATCH("Adj Close", Price_Header,0))): INDIRECT(ADDRESS(ROW($F7),MATCH("Adj Close", Price_Header,0)))))</f>
        <v/>
      </c>
      <c r="K7" s="147" t="str">
        <f ca="1">IF(tbl_AAPL[[#This Row],[BB_Mean]]="", "", tbl_AAPL[[#This Row],[BB_Mean]]+(2*tbl_AAPL[[#This Row],[BB_Stdev]]))</f>
        <v/>
      </c>
      <c r="L7" s="147" t="str">
        <f ca="1">IF(tbl_AAPL[[#This Row],[BB_Mean]]="", "", tbl_AAPL[[#This Row],[BB_Mean]]-(2*tbl_AAPL[[#This Row],[BB_Stdev]]))</f>
        <v/>
      </c>
      <c r="M7" s="151">
        <f>IF(ROW(tbl_AAPL[[#This Row],[Adj Close]])=5, 0, $F7-$F6)</f>
        <v>3.6350020000000001</v>
      </c>
      <c r="N7" s="151">
        <f>MAX(tbl_AAPL[[#This Row],[Move]],0)</f>
        <v>3.6350020000000001</v>
      </c>
      <c r="O7" s="151">
        <f>MAX(-tbl_AAPL[[#This Row],[Move]],0)</f>
        <v>0</v>
      </c>
      <c r="P7" s="151" t="str">
        <f ca="1">IF(ROW($N7)-5&lt;RSI_Periods, "", AVERAGE(INDIRECT(ADDRESS(ROW($N7)-RSI_Periods +1, MATCH("Upmove", Price_Header,0))): INDIRECT(ADDRESS(ROW($N7),MATCH("Upmove", Price_Header,0)))))</f>
        <v/>
      </c>
      <c r="Q7" s="151" t="str">
        <f ca="1">IF(ROW($O7)-5&lt;RSI_Periods, "", AVERAGE(INDIRECT(ADDRESS(ROW($O7)-RSI_Periods +1, MATCH("Downmove", Price_Header,0))): INDIRECT(ADDRESS(ROW($O7),MATCH("Downmove", Price_Header,0)))))</f>
        <v/>
      </c>
      <c r="R7" s="151" t="str">
        <f ca="1">IF(tbl_AAPL[[#This Row],[Avg_Upmove]]="", "", tbl_AAPL[[#This Row],[Avg_Upmove]]/tbl_AAPL[[#This Row],[Avg_Downmove]])</f>
        <v/>
      </c>
      <c r="S7" s="151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130">
        <v>44056</v>
      </c>
      <c r="B8" s="147">
        <v>114.43</v>
      </c>
      <c r="C8" s="147">
        <v>116.042503</v>
      </c>
      <c r="D8" s="147">
        <v>113.927498</v>
      </c>
      <c r="E8" s="147">
        <v>115.010002</v>
      </c>
      <c r="F8" s="147">
        <v>115.010002</v>
      </c>
      <c r="G8" s="129">
        <v>210082000</v>
      </c>
      <c r="H8" s="147">
        <f>IF(tbl_AAPL[[#This Row],[Date]]=$A$5, $F8, EMA_Beta*$H7 + (1-EMA_Beta)*$F8)</f>
        <v>112.709623609</v>
      </c>
      <c r="I8" s="151" t="str">
        <f ca="1">IF(tbl_AAPL[[#This Row],[RS]]= "", "", 100-(100/(1+tbl_AAPL[[#This Row],[RS]])))</f>
        <v/>
      </c>
      <c r="J8" s="147" t="str">
        <f ca="1">IF(ROW($N8)-4&lt;BB_Periods, "", AVERAGE(INDIRECT(ADDRESS(ROW($F8)-RSI_Periods +1, MATCH("Adj Close", Price_Header,0))): INDIRECT(ADDRESS(ROW($F8),MATCH("Adj Close", Price_Header,0)))))</f>
        <v/>
      </c>
      <c r="K8" s="147" t="str">
        <f ca="1">IF(tbl_AAPL[[#This Row],[BB_Mean]]="", "", tbl_AAPL[[#This Row],[BB_Mean]]+(2*tbl_AAPL[[#This Row],[BB_Stdev]]))</f>
        <v/>
      </c>
      <c r="L8" s="147" t="str">
        <f ca="1">IF(tbl_AAPL[[#This Row],[BB_Mean]]="", "", tbl_AAPL[[#This Row],[BB_Mean]]-(2*tbl_AAPL[[#This Row],[BB_Stdev]]))</f>
        <v/>
      </c>
      <c r="M8" s="151">
        <f>IF(ROW(tbl_AAPL[[#This Row],[Adj Close]])=5, 0, $F8-$F7)</f>
        <v>2</v>
      </c>
      <c r="N8" s="151">
        <f>MAX(tbl_AAPL[[#This Row],[Move]],0)</f>
        <v>2</v>
      </c>
      <c r="O8" s="151">
        <f>MAX(-tbl_AAPL[[#This Row],[Move]],0)</f>
        <v>0</v>
      </c>
      <c r="P8" s="151" t="str">
        <f ca="1">IF(ROW($N8)-5&lt;RSI_Periods, "", AVERAGE(INDIRECT(ADDRESS(ROW($N8)-RSI_Periods +1, MATCH("Upmove", Price_Header,0))): INDIRECT(ADDRESS(ROW($N8),MATCH("Upmove", Price_Header,0)))))</f>
        <v/>
      </c>
      <c r="Q8" s="151" t="str">
        <f ca="1">IF(ROW($O8)-5&lt;RSI_Periods, "", AVERAGE(INDIRECT(ADDRESS(ROW($O8)-RSI_Periods +1, MATCH("Downmove", Price_Header,0))): INDIRECT(ADDRESS(ROW($O8),MATCH("Downmove", Price_Header,0)))))</f>
        <v/>
      </c>
      <c r="R8" s="151" t="str">
        <f ca="1">IF(tbl_AAPL[[#This Row],[Avg_Upmove]]="", "", tbl_AAPL[[#This Row],[Avg_Upmove]]/tbl_AAPL[[#This Row],[Avg_Downmove]])</f>
        <v/>
      </c>
      <c r="S8" s="151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130">
        <v>44057</v>
      </c>
      <c r="B9" s="147">
        <v>114.83000199999999</v>
      </c>
      <c r="C9" s="147">
        <v>115</v>
      </c>
      <c r="D9" s="147">
        <v>113.04499800000001</v>
      </c>
      <c r="E9" s="147">
        <v>114.907501</v>
      </c>
      <c r="F9" s="147">
        <v>114.907501</v>
      </c>
      <c r="G9" s="129">
        <v>165565200</v>
      </c>
      <c r="H9" s="147">
        <f>IF(tbl_AAPL[[#This Row],[Date]]=$A$5, $F9, EMA_Beta*$H8 + (1-EMA_Beta)*$F9)</f>
        <v>112.9294113481</v>
      </c>
      <c r="I9" s="151" t="str">
        <f ca="1">IF(tbl_AAPL[[#This Row],[RS]]= "", "", 100-(100/(1+tbl_AAPL[[#This Row],[RS]])))</f>
        <v/>
      </c>
      <c r="J9" s="147" t="str">
        <f ca="1">IF(ROW($N9)-4&lt;BB_Periods, "", AVERAGE(INDIRECT(ADDRESS(ROW($F9)-RSI_Periods +1, MATCH("Adj Close", Price_Header,0))): INDIRECT(ADDRESS(ROW($F9),MATCH("Adj Close", Price_Header,0)))))</f>
        <v/>
      </c>
      <c r="K9" s="147" t="str">
        <f ca="1">IF(tbl_AAPL[[#This Row],[BB_Mean]]="", "", tbl_AAPL[[#This Row],[BB_Mean]]+(2*tbl_AAPL[[#This Row],[BB_Stdev]]))</f>
        <v/>
      </c>
      <c r="L9" s="147" t="str">
        <f ca="1">IF(tbl_AAPL[[#This Row],[BB_Mean]]="", "", tbl_AAPL[[#This Row],[BB_Mean]]-(2*tbl_AAPL[[#This Row],[BB_Stdev]]))</f>
        <v/>
      </c>
      <c r="M9" s="151">
        <f>IF(ROW(tbl_AAPL[[#This Row],[Adj Close]])=5, 0, $F9-$F8)</f>
        <v>-0.10250100000000373</v>
      </c>
      <c r="N9" s="151">
        <f>MAX(tbl_AAPL[[#This Row],[Move]],0)</f>
        <v>0</v>
      </c>
      <c r="O9" s="151">
        <f>MAX(-tbl_AAPL[[#This Row],[Move]],0)</f>
        <v>0.10250100000000373</v>
      </c>
      <c r="P9" s="151" t="str">
        <f ca="1">IF(ROW($N9)-5&lt;RSI_Periods, "", AVERAGE(INDIRECT(ADDRESS(ROW($N9)-RSI_Periods +1, MATCH("Upmove", Price_Header,0))): INDIRECT(ADDRESS(ROW($N9),MATCH("Upmove", Price_Header,0)))))</f>
        <v/>
      </c>
      <c r="Q9" s="151" t="str">
        <f ca="1">IF(ROW($O9)-5&lt;RSI_Periods, "", AVERAGE(INDIRECT(ADDRESS(ROW($O9)-RSI_Periods +1, MATCH("Downmove", Price_Header,0))): INDIRECT(ADDRESS(ROW($O9),MATCH("Downmove", Price_Header,0)))))</f>
        <v/>
      </c>
      <c r="R9" s="151" t="str">
        <f ca="1">IF(tbl_AAPL[[#This Row],[Avg_Upmove]]="", "", tbl_AAPL[[#This Row],[Avg_Upmove]]/tbl_AAPL[[#This Row],[Avg_Downmove]])</f>
        <v/>
      </c>
      <c r="S9" s="151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130">
        <v>44060</v>
      </c>
      <c r="B10" s="147">
        <v>116.0625</v>
      </c>
      <c r="C10" s="147">
        <v>116.087502</v>
      </c>
      <c r="D10" s="147">
        <v>113.962502</v>
      </c>
      <c r="E10" s="147">
        <v>114.60749800000001</v>
      </c>
      <c r="F10" s="147">
        <v>114.60749800000001</v>
      </c>
      <c r="G10" s="129">
        <v>119561600</v>
      </c>
      <c r="H10" s="147">
        <f>IF(tbl_AAPL[[#This Row],[Date]]=$A$5, $F10, EMA_Beta*$H9 + (1-EMA_Beta)*$F10)</f>
        <v>113.09722001329001</v>
      </c>
      <c r="I10" s="151" t="str">
        <f ca="1">IF(tbl_AAPL[[#This Row],[RS]]= "", "", 100-(100/(1+tbl_AAPL[[#This Row],[RS]])))</f>
        <v/>
      </c>
      <c r="J10" s="147" t="str">
        <f ca="1">IF(ROW($N10)-4&lt;BB_Periods, "", AVERAGE(INDIRECT(ADDRESS(ROW($F10)-RSI_Periods +1, MATCH("Adj Close", Price_Header,0))): INDIRECT(ADDRESS(ROW($F10),MATCH("Adj Close", Price_Header,0)))))</f>
        <v/>
      </c>
      <c r="K10" s="147" t="str">
        <f ca="1">IF(tbl_AAPL[[#This Row],[BB_Mean]]="", "", tbl_AAPL[[#This Row],[BB_Mean]]+(2*tbl_AAPL[[#This Row],[BB_Stdev]]))</f>
        <v/>
      </c>
      <c r="L10" s="147" t="str">
        <f ca="1">IF(tbl_AAPL[[#This Row],[BB_Mean]]="", "", tbl_AAPL[[#This Row],[BB_Mean]]-(2*tbl_AAPL[[#This Row],[BB_Stdev]]))</f>
        <v/>
      </c>
      <c r="M10" s="151">
        <f>IF(ROW(tbl_AAPL[[#This Row],[Adj Close]])=5, 0, $F10-$F9)</f>
        <v>-0.30000299999998958</v>
      </c>
      <c r="N10" s="151">
        <f>MAX(tbl_AAPL[[#This Row],[Move]],0)</f>
        <v>0</v>
      </c>
      <c r="O10" s="151">
        <f>MAX(-tbl_AAPL[[#This Row],[Move]],0)</f>
        <v>0.30000299999998958</v>
      </c>
      <c r="P10" s="151" t="str">
        <f ca="1">IF(ROW($N10)-5&lt;RSI_Periods, "", AVERAGE(INDIRECT(ADDRESS(ROW($N10)-RSI_Periods +1, MATCH("Upmove", Price_Header,0))): INDIRECT(ADDRESS(ROW($N10),MATCH("Upmove", Price_Header,0)))))</f>
        <v/>
      </c>
      <c r="Q10" s="151" t="str">
        <f ca="1">IF(ROW($O10)-5&lt;RSI_Periods, "", AVERAGE(INDIRECT(ADDRESS(ROW($O10)-RSI_Periods +1, MATCH("Downmove", Price_Header,0))): INDIRECT(ADDRESS(ROW($O10),MATCH("Downmove", Price_Header,0)))))</f>
        <v/>
      </c>
      <c r="R10" s="151" t="str">
        <f ca="1">IF(tbl_AAPL[[#This Row],[Avg_Upmove]]="", "", tbl_AAPL[[#This Row],[Avg_Upmove]]/tbl_AAPL[[#This Row],[Avg_Downmove]])</f>
        <v/>
      </c>
      <c r="S10" s="151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130">
        <v>44061</v>
      </c>
      <c r="B11" s="147">
        <v>114.352501</v>
      </c>
      <c r="C11" s="147">
        <v>116</v>
      </c>
      <c r="D11" s="147">
        <v>114.00749999999999</v>
      </c>
      <c r="E11" s="147">
        <v>115.5625</v>
      </c>
      <c r="F11" s="147">
        <v>115.5625</v>
      </c>
      <c r="G11" s="129">
        <v>105633600</v>
      </c>
      <c r="H11" s="147">
        <f>IF(tbl_AAPL[[#This Row],[Date]]=$A$5, $F11, EMA_Beta*$H10 + (1-EMA_Beta)*$F11)</f>
        <v>113.34374801196101</v>
      </c>
      <c r="I11" s="151" t="str">
        <f ca="1">IF(tbl_AAPL[[#This Row],[RS]]= "", "", 100-(100/(1+tbl_AAPL[[#This Row],[RS]])))</f>
        <v/>
      </c>
      <c r="J11" s="147" t="str">
        <f ca="1">IF(ROW($N11)-4&lt;BB_Periods, "", AVERAGE(INDIRECT(ADDRESS(ROW($F11)-RSI_Periods +1, MATCH("Adj Close", Price_Header,0))): INDIRECT(ADDRESS(ROW($F11),MATCH("Adj Close", Price_Header,0)))))</f>
        <v/>
      </c>
      <c r="K11" s="147" t="str">
        <f ca="1">IF(tbl_AAPL[[#This Row],[BB_Mean]]="", "", tbl_AAPL[[#This Row],[BB_Mean]]+(2*tbl_AAPL[[#This Row],[BB_Stdev]]))</f>
        <v/>
      </c>
      <c r="L11" s="147" t="str">
        <f ca="1">IF(tbl_AAPL[[#This Row],[BB_Mean]]="", "", tbl_AAPL[[#This Row],[BB_Mean]]-(2*tbl_AAPL[[#This Row],[BB_Stdev]]))</f>
        <v/>
      </c>
      <c r="M11" s="151">
        <f>IF(ROW(tbl_AAPL[[#This Row],[Adj Close]])=5, 0, $F11-$F10)</f>
        <v>0.95500199999999325</v>
      </c>
      <c r="N11" s="151">
        <f>MAX(tbl_AAPL[[#This Row],[Move]],0)</f>
        <v>0.95500199999999325</v>
      </c>
      <c r="O11" s="151">
        <f>MAX(-tbl_AAPL[[#This Row],[Move]],0)</f>
        <v>0</v>
      </c>
      <c r="P11" s="151" t="str">
        <f ca="1">IF(ROW($N11)-5&lt;RSI_Periods, "", AVERAGE(INDIRECT(ADDRESS(ROW($N11)-RSI_Periods +1, MATCH("Upmove", Price_Header,0))): INDIRECT(ADDRESS(ROW($N11),MATCH("Upmove", Price_Header,0)))))</f>
        <v/>
      </c>
      <c r="Q11" s="151" t="str">
        <f ca="1">IF(ROW($O11)-5&lt;RSI_Periods, "", AVERAGE(INDIRECT(ADDRESS(ROW($O11)-RSI_Periods +1, MATCH("Downmove", Price_Header,0))): INDIRECT(ADDRESS(ROW($O11),MATCH("Downmove", Price_Header,0)))))</f>
        <v/>
      </c>
      <c r="R11" s="151" t="str">
        <f ca="1">IF(tbl_AAPL[[#This Row],[Avg_Upmove]]="", "", tbl_AAPL[[#This Row],[Avg_Upmove]]/tbl_AAPL[[#This Row],[Avg_Downmove]])</f>
        <v/>
      </c>
      <c r="S11" s="151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130">
        <v>44062</v>
      </c>
      <c r="B12" s="147">
        <v>115.98249800000001</v>
      </c>
      <c r="C12" s="147">
        <v>117.162498</v>
      </c>
      <c r="D12" s="147">
        <v>115.610001</v>
      </c>
      <c r="E12" s="147">
        <v>115.707497</v>
      </c>
      <c r="F12" s="147">
        <v>115.707497</v>
      </c>
      <c r="G12" s="129">
        <v>145538000</v>
      </c>
      <c r="H12" s="147">
        <f>IF(tbl_AAPL[[#This Row],[Date]]=$A$5, $F12, EMA_Beta*$H11 + (1-EMA_Beta)*$F12)</f>
        <v>113.5801229107649</v>
      </c>
      <c r="I12" s="151" t="str">
        <f ca="1">IF(tbl_AAPL[[#This Row],[RS]]= "", "", 100-(100/(1+tbl_AAPL[[#This Row],[RS]])))</f>
        <v/>
      </c>
      <c r="J12" s="147" t="str">
        <f ca="1">IF(ROW($N12)-4&lt;BB_Periods, "", AVERAGE(INDIRECT(ADDRESS(ROW($F12)-RSI_Periods +1, MATCH("Adj Close", Price_Header,0))): INDIRECT(ADDRESS(ROW($F12),MATCH("Adj Close", Price_Header,0)))))</f>
        <v/>
      </c>
      <c r="K12" s="147" t="str">
        <f ca="1">IF(tbl_AAPL[[#This Row],[BB_Mean]]="", "", tbl_AAPL[[#This Row],[BB_Mean]]+(2*tbl_AAPL[[#This Row],[BB_Stdev]]))</f>
        <v/>
      </c>
      <c r="L12" s="147" t="str">
        <f ca="1">IF(tbl_AAPL[[#This Row],[BB_Mean]]="", "", tbl_AAPL[[#This Row],[BB_Mean]]-(2*tbl_AAPL[[#This Row],[BB_Stdev]]))</f>
        <v/>
      </c>
      <c r="M12" s="151">
        <f>IF(ROW(tbl_AAPL[[#This Row],[Adj Close]])=5, 0, $F12-$F11)</f>
        <v>0.1449970000000036</v>
      </c>
      <c r="N12" s="151">
        <f>MAX(tbl_AAPL[[#This Row],[Move]],0)</f>
        <v>0.1449970000000036</v>
      </c>
      <c r="O12" s="151">
        <f>MAX(-tbl_AAPL[[#This Row],[Move]],0)</f>
        <v>0</v>
      </c>
      <c r="P12" s="151" t="str">
        <f ca="1">IF(ROW($N12)-5&lt;RSI_Periods, "", AVERAGE(INDIRECT(ADDRESS(ROW($N12)-RSI_Periods +1, MATCH("Upmove", Price_Header,0))): INDIRECT(ADDRESS(ROW($N12),MATCH("Upmove", Price_Header,0)))))</f>
        <v/>
      </c>
      <c r="Q12" s="151" t="str">
        <f ca="1">IF(ROW($O12)-5&lt;RSI_Periods, "", AVERAGE(INDIRECT(ADDRESS(ROW($O12)-RSI_Periods +1, MATCH("Downmove", Price_Header,0))): INDIRECT(ADDRESS(ROW($O12),MATCH("Downmove", Price_Header,0)))))</f>
        <v/>
      </c>
      <c r="R12" s="151" t="str">
        <f ca="1">IF(tbl_AAPL[[#This Row],[Avg_Upmove]]="", "", tbl_AAPL[[#This Row],[Avg_Upmove]]/tbl_AAPL[[#This Row],[Avg_Downmove]])</f>
        <v/>
      </c>
      <c r="S12" s="151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130">
        <v>44063</v>
      </c>
      <c r="B13" s="147">
        <v>115.75</v>
      </c>
      <c r="C13" s="147">
        <v>118.39250199999999</v>
      </c>
      <c r="D13" s="147">
        <v>115.73249800000001</v>
      </c>
      <c r="E13" s="147">
        <v>118.275002</v>
      </c>
      <c r="F13" s="147">
        <v>118.275002</v>
      </c>
      <c r="G13" s="129">
        <v>126907200</v>
      </c>
      <c r="H13" s="147">
        <f>IF(tbl_AAPL[[#This Row],[Date]]=$A$5, $F13, EMA_Beta*$H12 + (1-EMA_Beta)*$F13)</f>
        <v>114.04961081968841</v>
      </c>
      <c r="I13" s="151" t="str">
        <f ca="1">IF(tbl_AAPL[[#This Row],[RS]]= "", "", 100-(100/(1+tbl_AAPL[[#This Row],[RS]])))</f>
        <v/>
      </c>
      <c r="J13" s="147" t="str">
        <f ca="1">IF(ROW($N13)-4&lt;BB_Periods, "", AVERAGE(INDIRECT(ADDRESS(ROW($F13)-RSI_Periods +1, MATCH("Adj Close", Price_Header,0))): INDIRECT(ADDRESS(ROW($F13),MATCH("Adj Close", Price_Header,0)))))</f>
        <v/>
      </c>
      <c r="K13" s="147" t="str">
        <f ca="1">IF(tbl_AAPL[[#This Row],[BB_Mean]]="", "", tbl_AAPL[[#This Row],[BB_Mean]]+(2*tbl_AAPL[[#This Row],[BB_Stdev]]))</f>
        <v/>
      </c>
      <c r="L13" s="147" t="str">
        <f ca="1">IF(tbl_AAPL[[#This Row],[BB_Mean]]="", "", tbl_AAPL[[#This Row],[BB_Mean]]-(2*tbl_AAPL[[#This Row],[BB_Stdev]]))</f>
        <v/>
      </c>
      <c r="M13" s="151">
        <f>IF(ROW(tbl_AAPL[[#This Row],[Adj Close]])=5, 0, $F13-$F12)</f>
        <v>2.567504999999997</v>
      </c>
      <c r="N13" s="151">
        <f>MAX(tbl_AAPL[[#This Row],[Move]],0)</f>
        <v>2.567504999999997</v>
      </c>
      <c r="O13" s="151">
        <f>MAX(-tbl_AAPL[[#This Row],[Move]],0)</f>
        <v>0</v>
      </c>
      <c r="P13" s="151" t="str">
        <f ca="1">IF(ROW($N13)-5&lt;RSI_Periods, "", AVERAGE(INDIRECT(ADDRESS(ROW($N13)-RSI_Periods +1, MATCH("Upmove", Price_Header,0))): INDIRECT(ADDRESS(ROW($N13),MATCH("Upmove", Price_Header,0)))))</f>
        <v/>
      </c>
      <c r="Q13" s="151" t="str">
        <f ca="1">IF(ROW($O13)-5&lt;RSI_Periods, "", AVERAGE(INDIRECT(ADDRESS(ROW($O13)-RSI_Periods +1, MATCH("Downmove", Price_Header,0))): INDIRECT(ADDRESS(ROW($O13),MATCH("Downmove", Price_Header,0)))))</f>
        <v/>
      </c>
      <c r="R13" s="151" t="str">
        <f ca="1">IF(tbl_AAPL[[#This Row],[Avg_Upmove]]="", "", tbl_AAPL[[#This Row],[Avg_Upmove]]/tbl_AAPL[[#This Row],[Avg_Downmove]])</f>
        <v/>
      </c>
      <c r="S13" s="151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130">
        <v>44064</v>
      </c>
      <c r="B14" s="147">
        <v>119.262497</v>
      </c>
      <c r="C14" s="147">
        <v>124.86750000000001</v>
      </c>
      <c r="D14" s="147">
        <v>119.25</v>
      </c>
      <c r="E14" s="147">
        <v>124.370003</v>
      </c>
      <c r="F14" s="147">
        <v>124.370003</v>
      </c>
      <c r="G14" s="129">
        <v>338054800</v>
      </c>
      <c r="H14" s="147">
        <f>IF(tbl_AAPL[[#This Row],[Date]]=$A$5, $F14, EMA_Beta*$H13 + (1-EMA_Beta)*$F14)</f>
        <v>115.08165003771957</v>
      </c>
      <c r="I14" s="151" t="str">
        <f ca="1">IF(tbl_AAPL[[#This Row],[RS]]= "", "", 100-(100/(1+tbl_AAPL[[#This Row],[RS]])))</f>
        <v/>
      </c>
      <c r="J14" s="147" t="str">
        <f ca="1">IF(ROW($N14)-4&lt;BB_Periods, "", AVERAGE(INDIRECT(ADDRESS(ROW($F14)-RSI_Periods +1, MATCH("Adj Close", Price_Header,0))): INDIRECT(ADDRESS(ROW($F14),MATCH("Adj Close", Price_Header,0)))))</f>
        <v/>
      </c>
      <c r="K14" s="147" t="str">
        <f ca="1">IF(tbl_AAPL[[#This Row],[BB_Mean]]="", "", tbl_AAPL[[#This Row],[BB_Mean]]+(2*tbl_AAPL[[#This Row],[BB_Stdev]]))</f>
        <v/>
      </c>
      <c r="L14" s="147" t="str">
        <f ca="1">IF(tbl_AAPL[[#This Row],[BB_Mean]]="", "", tbl_AAPL[[#This Row],[BB_Mean]]-(2*tbl_AAPL[[#This Row],[BB_Stdev]]))</f>
        <v/>
      </c>
      <c r="M14" s="151">
        <f>IF(ROW(tbl_AAPL[[#This Row],[Adj Close]])=5, 0, $F14-$F13)</f>
        <v>6.0950009999999963</v>
      </c>
      <c r="N14" s="151">
        <f>MAX(tbl_AAPL[[#This Row],[Move]],0)</f>
        <v>6.0950009999999963</v>
      </c>
      <c r="O14" s="151">
        <f>MAX(-tbl_AAPL[[#This Row],[Move]],0)</f>
        <v>0</v>
      </c>
      <c r="P14" s="151" t="str">
        <f ca="1">IF(ROW($N14)-5&lt;RSI_Periods, "", AVERAGE(INDIRECT(ADDRESS(ROW($N14)-RSI_Periods +1, MATCH("Upmove", Price_Header,0))): INDIRECT(ADDRESS(ROW($N14),MATCH("Upmove", Price_Header,0)))))</f>
        <v/>
      </c>
      <c r="Q14" s="151" t="str">
        <f ca="1">IF(ROW($O14)-5&lt;RSI_Periods, "", AVERAGE(INDIRECT(ADDRESS(ROW($O14)-RSI_Periods +1, MATCH("Downmove", Price_Header,0))): INDIRECT(ADDRESS(ROW($O14),MATCH("Downmove", Price_Header,0)))))</f>
        <v/>
      </c>
      <c r="R14" s="151" t="str">
        <f ca="1">IF(tbl_AAPL[[#This Row],[Avg_Upmove]]="", "", tbl_AAPL[[#This Row],[Avg_Upmove]]/tbl_AAPL[[#This Row],[Avg_Downmove]])</f>
        <v/>
      </c>
      <c r="S14" s="151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130">
        <v>44067</v>
      </c>
      <c r="B15" s="147">
        <v>128.697495</v>
      </c>
      <c r="C15" s="147">
        <v>128.78500399999999</v>
      </c>
      <c r="D15" s="147">
        <v>123.9375</v>
      </c>
      <c r="E15" s="147">
        <v>125.85749800000001</v>
      </c>
      <c r="F15" s="147">
        <v>125.85749800000001</v>
      </c>
      <c r="G15" s="129">
        <v>345937600</v>
      </c>
      <c r="H15" s="147">
        <f>IF(tbl_AAPL[[#This Row],[Date]]=$A$5, $F15, EMA_Beta*$H14 + (1-EMA_Beta)*$F15)</f>
        <v>116.15923483394762</v>
      </c>
      <c r="I15" s="151" t="str">
        <f ca="1">IF(tbl_AAPL[[#This Row],[RS]]= "", "", 100-(100/(1+tbl_AAPL[[#This Row],[RS]])))</f>
        <v/>
      </c>
      <c r="J15" s="147" t="str">
        <f ca="1">IF(ROW($N15)-4&lt;BB_Periods, "", AVERAGE(INDIRECT(ADDRESS(ROW($F15)-RSI_Periods +1, MATCH("Adj Close", Price_Header,0))): INDIRECT(ADDRESS(ROW($F15),MATCH("Adj Close", Price_Header,0)))))</f>
        <v/>
      </c>
      <c r="K15" s="147" t="str">
        <f ca="1">IF(tbl_AAPL[[#This Row],[BB_Mean]]="", "", tbl_AAPL[[#This Row],[BB_Mean]]+(2*tbl_AAPL[[#This Row],[BB_Stdev]]))</f>
        <v/>
      </c>
      <c r="L15" s="147" t="str">
        <f ca="1">IF(tbl_AAPL[[#This Row],[BB_Mean]]="", "", tbl_AAPL[[#This Row],[BB_Mean]]-(2*tbl_AAPL[[#This Row],[BB_Stdev]]))</f>
        <v/>
      </c>
      <c r="M15" s="151">
        <f>IF(ROW(tbl_AAPL[[#This Row],[Adj Close]])=5, 0, $F15-$F14)</f>
        <v>1.4874950000000098</v>
      </c>
      <c r="N15" s="151">
        <f>MAX(tbl_AAPL[[#This Row],[Move]],0)</f>
        <v>1.4874950000000098</v>
      </c>
      <c r="O15" s="151">
        <f>MAX(-tbl_AAPL[[#This Row],[Move]],0)</f>
        <v>0</v>
      </c>
      <c r="P15" s="151" t="str">
        <f ca="1">IF(ROW($N15)-5&lt;RSI_Periods, "", AVERAGE(INDIRECT(ADDRESS(ROW($N15)-RSI_Periods +1, MATCH("Upmove", Price_Header,0))): INDIRECT(ADDRESS(ROW($N15),MATCH("Upmove", Price_Header,0)))))</f>
        <v/>
      </c>
      <c r="Q15" s="151" t="str">
        <f ca="1">IF(ROW($O15)-5&lt;RSI_Periods, "", AVERAGE(INDIRECT(ADDRESS(ROW($O15)-RSI_Periods +1, MATCH("Downmove", Price_Header,0))): INDIRECT(ADDRESS(ROW($O15),MATCH("Downmove", Price_Header,0)))))</f>
        <v/>
      </c>
      <c r="R15" s="151" t="str">
        <f ca="1">IF(tbl_AAPL[[#This Row],[Avg_Upmove]]="", "", tbl_AAPL[[#This Row],[Avg_Upmove]]/tbl_AAPL[[#This Row],[Avg_Downmove]])</f>
        <v/>
      </c>
      <c r="S15" s="151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130">
        <v>44068</v>
      </c>
      <c r="B16" s="147">
        <v>124.697502</v>
      </c>
      <c r="C16" s="147">
        <v>125.18</v>
      </c>
      <c r="D16" s="147">
        <v>123.052498</v>
      </c>
      <c r="E16" s="147">
        <v>124.824997</v>
      </c>
      <c r="F16" s="147">
        <v>124.824997</v>
      </c>
      <c r="G16" s="129">
        <v>211495600</v>
      </c>
      <c r="H16" s="147">
        <f>IF(tbl_AAPL[[#This Row],[Date]]=$A$5, $F16, EMA_Beta*$H15 + (1-EMA_Beta)*$F16)</f>
        <v>117.02581105055285</v>
      </c>
      <c r="I16" s="151" t="str">
        <f ca="1">IF(tbl_AAPL[[#This Row],[RS]]= "", "", 100-(100/(1+tbl_AAPL[[#This Row],[RS]])))</f>
        <v/>
      </c>
      <c r="J16" s="147" t="str">
        <f ca="1">IF(ROW($N16)-4&lt;BB_Periods, "", AVERAGE(INDIRECT(ADDRESS(ROW($F16)-RSI_Periods +1, MATCH("Adj Close", Price_Header,0))): INDIRECT(ADDRESS(ROW($F16),MATCH("Adj Close", Price_Header,0)))))</f>
        <v/>
      </c>
      <c r="K16" s="147" t="str">
        <f ca="1">IF(tbl_AAPL[[#This Row],[BB_Mean]]="", "", tbl_AAPL[[#This Row],[BB_Mean]]+(2*tbl_AAPL[[#This Row],[BB_Stdev]]))</f>
        <v/>
      </c>
      <c r="L16" s="147" t="str">
        <f ca="1">IF(tbl_AAPL[[#This Row],[BB_Mean]]="", "", tbl_AAPL[[#This Row],[BB_Mean]]-(2*tbl_AAPL[[#This Row],[BB_Stdev]]))</f>
        <v/>
      </c>
      <c r="M16" s="151">
        <f>IF(ROW(tbl_AAPL[[#This Row],[Adj Close]])=5, 0, $F16-$F15)</f>
        <v>-1.0325010000000105</v>
      </c>
      <c r="N16" s="151">
        <f>MAX(tbl_AAPL[[#This Row],[Move]],0)</f>
        <v>0</v>
      </c>
      <c r="O16" s="151">
        <f>MAX(-tbl_AAPL[[#This Row],[Move]],0)</f>
        <v>1.0325010000000105</v>
      </c>
      <c r="P16" s="151" t="str">
        <f ca="1">IF(ROW($N16)-5&lt;RSI_Periods, "", AVERAGE(INDIRECT(ADDRESS(ROW($N16)-RSI_Periods +1, MATCH("Upmove", Price_Header,0))): INDIRECT(ADDRESS(ROW($N16),MATCH("Upmove", Price_Header,0)))))</f>
        <v/>
      </c>
      <c r="Q16" s="151" t="str">
        <f ca="1">IF(ROW($O16)-5&lt;RSI_Periods, "", AVERAGE(INDIRECT(ADDRESS(ROW($O16)-RSI_Periods +1, MATCH("Downmove", Price_Header,0))): INDIRECT(ADDRESS(ROW($O16),MATCH("Downmove", Price_Header,0)))))</f>
        <v/>
      </c>
      <c r="R16" s="151" t="str">
        <f ca="1">IF(tbl_AAPL[[#This Row],[Avg_Upmove]]="", "", tbl_AAPL[[#This Row],[Avg_Upmove]]/tbl_AAPL[[#This Row],[Avg_Downmove]])</f>
        <v/>
      </c>
      <c r="S16" s="151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130">
        <v>44069</v>
      </c>
      <c r="B17" s="147">
        <v>126.18</v>
      </c>
      <c r="C17" s="147">
        <v>126.99250000000001</v>
      </c>
      <c r="D17" s="147">
        <v>125.082497</v>
      </c>
      <c r="E17" s="147">
        <v>126.522499</v>
      </c>
      <c r="F17" s="147">
        <v>126.522499</v>
      </c>
      <c r="G17" s="129">
        <v>163022400</v>
      </c>
      <c r="H17" s="147">
        <f>IF(tbl_AAPL[[#This Row],[Date]]=$A$5, $F17, EMA_Beta*$H16 + (1-EMA_Beta)*$F17)</f>
        <v>117.97547984549756</v>
      </c>
      <c r="I17" s="151" t="str">
        <f ca="1">IF(tbl_AAPL[[#This Row],[RS]]= "", "", 100-(100/(1+tbl_AAPL[[#This Row],[RS]])))</f>
        <v/>
      </c>
      <c r="J17" s="147" t="str">
        <f ca="1">IF(ROW($N17)-4&lt;BB_Periods, "", AVERAGE(INDIRECT(ADDRESS(ROW($F17)-RSI_Periods +1, MATCH("Adj Close", Price_Header,0))): INDIRECT(ADDRESS(ROW($F17),MATCH("Adj Close", Price_Header,0)))))</f>
        <v/>
      </c>
      <c r="K17" s="147" t="str">
        <f ca="1">IF(tbl_AAPL[[#This Row],[BB_Mean]]="", "", tbl_AAPL[[#This Row],[BB_Mean]]+(2*tbl_AAPL[[#This Row],[BB_Stdev]]))</f>
        <v/>
      </c>
      <c r="L17" s="147" t="str">
        <f ca="1">IF(tbl_AAPL[[#This Row],[BB_Mean]]="", "", tbl_AAPL[[#This Row],[BB_Mean]]-(2*tbl_AAPL[[#This Row],[BB_Stdev]]))</f>
        <v/>
      </c>
      <c r="M17" s="151">
        <f>IF(ROW(tbl_AAPL[[#This Row],[Adj Close]])=5, 0, $F17-$F16)</f>
        <v>1.6975020000000001</v>
      </c>
      <c r="N17" s="151">
        <f>MAX(tbl_AAPL[[#This Row],[Move]],0)</f>
        <v>1.6975020000000001</v>
      </c>
      <c r="O17" s="151">
        <f>MAX(-tbl_AAPL[[#This Row],[Move]],0)</f>
        <v>0</v>
      </c>
      <c r="P17" s="151" t="str">
        <f ca="1">IF(ROW($N17)-5&lt;RSI_Periods, "", AVERAGE(INDIRECT(ADDRESS(ROW($N17)-RSI_Periods +1, MATCH("Upmove", Price_Header,0))): INDIRECT(ADDRESS(ROW($N17),MATCH("Upmove", Price_Header,0)))))</f>
        <v/>
      </c>
      <c r="Q17" s="151" t="str">
        <f ca="1">IF(ROW($O17)-5&lt;RSI_Periods, "", AVERAGE(INDIRECT(ADDRESS(ROW($O17)-RSI_Periods +1, MATCH("Downmove", Price_Header,0))): INDIRECT(ADDRESS(ROW($O17),MATCH("Downmove", Price_Header,0)))))</f>
        <v/>
      </c>
      <c r="R17" s="151" t="str">
        <f ca="1">IF(tbl_AAPL[[#This Row],[Avg_Upmove]]="", "", tbl_AAPL[[#This Row],[Avg_Upmove]]/tbl_AAPL[[#This Row],[Avg_Downmove]])</f>
        <v/>
      </c>
      <c r="S17" s="151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130">
        <v>44070</v>
      </c>
      <c r="B18" s="147">
        <v>127.14250199999999</v>
      </c>
      <c r="C18" s="147">
        <v>127.485001</v>
      </c>
      <c r="D18" s="147">
        <v>123.832497</v>
      </c>
      <c r="E18" s="147">
        <v>125.010002</v>
      </c>
      <c r="F18" s="147">
        <v>125.010002</v>
      </c>
      <c r="G18" s="129">
        <v>155552400</v>
      </c>
      <c r="H18" s="147">
        <f>IF(tbl_AAPL[[#This Row],[Date]]=$A$5, $F18, EMA_Beta*$H17 + (1-EMA_Beta)*$F18)</f>
        <v>118.6789320609478</v>
      </c>
      <c r="I18" s="151" t="str">
        <f ca="1">IF(tbl_AAPL[[#This Row],[RS]]= "", "", 100-(100/(1+tbl_AAPL[[#This Row],[RS]])))</f>
        <v/>
      </c>
      <c r="J18" s="147">
        <f ca="1">IF(ROW($N18)-4&lt;BB_Periods, "", AVERAGE(INDIRECT(ADDRESS(ROW($F18)-RSI_Periods +1, MATCH("Adj Close", Price_Header,0))): INDIRECT(ADDRESS(ROW($F18),MATCH("Adj Close", Price_Header,0)))))</f>
        <v>118.26910728571428</v>
      </c>
      <c r="K18" s="147">
        <f ca="1">IF(tbl_AAPL[[#This Row],[BB_Mean]]="", "", tbl_AAPL[[#This Row],[BB_Mean]]+(2*tbl_AAPL[[#This Row],[BB_Stdev]]))</f>
        <v>129.87855056558726</v>
      </c>
      <c r="L18" s="147">
        <f ca="1">IF(tbl_AAPL[[#This Row],[BB_Mean]]="", "", tbl_AAPL[[#This Row],[BB_Mean]]-(2*tbl_AAPL[[#This Row],[BB_Stdev]]))</f>
        <v>106.65966400584131</v>
      </c>
      <c r="M18" s="151">
        <f>IF(ROW(tbl_AAPL[[#This Row],[Adj Close]])=5, 0, $F18-$F17)</f>
        <v>-1.5124969999999962</v>
      </c>
      <c r="N18" s="151">
        <f>MAX(tbl_AAPL[[#This Row],[Move]],0)</f>
        <v>0</v>
      </c>
      <c r="O18" s="151">
        <f>MAX(-tbl_AAPL[[#This Row],[Move]],0)</f>
        <v>1.5124969999999962</v>
      </c>
      <c r="P18" s="151" t="str">
        <f ca="1">IF(ROW($N18)-5&lt;RSI_Periods, "", AVERAGE(INDIRECT(ADDRESS(ROW($N18)-RSI_Periods +1, MATCH("Upmove", Price_Header,0))): INDIRECT(ADDRESS(ROW($N18),MATCH("Upmove", Price_Header,0)))))</f>
        <v/>
      </c>
      <c r="Q18" s="151" t="str">
        <f ca="1">IF(ROW($O18)-5&lt;RSI_Periods, "", AVERAGE(INDIRECT(ADDRESS(ROW($O18)-RSI_Periods +1, MATCH("Downmove", Price_Header,0))): INDIRECT(ADDRESS(ROW($O18),MATCH("Downmove", Price_Header,0)))))</f>
        <v/>
      </c>
      <c r="R18" s="151" t="str">
        <f ca="1">IF(tbl_AAPL[[#This Row],[Avg_Upmove]]="", "", tbl_AAPL[[#This Row],[Avg_Upmove]]/tbl_AAPL[[#This Row],[Avg_Downmove]])</f>
        <v/>
      </c>
      <c r="S18" s="151">
        <f ca="1">IF(ROW($N18)-4&lt;BB_Periods, "", _xlfn.STDEV.S(INDIRECT(ADDRESS(ROW($F18)-RSI_Periods +1, MATCH("Adj Close", Price_Header,0))): INDIRECT(ADDRESS(ROW($F18),MATCH("Adj Close", Price_Header,0)))))</f>
        <v>5.8047216399364903</v>
      </c>
    </row>
    <row r="19" spans="1:19" x14ac:dyDescent="0.25">
      <c r="A19" s="130">
        <v>44071</v>
      </c>
      <c r="B19" s="147">
        <v>126.012497</v>
      </c>
      <c r="C19" s="147">
        <v>126.442497</v>
      </c>
      <c r="D19" s="147">
        <v>124.577499</v>
      </c>
      <c r="E19" s="147">
        <v>124.807503</v>
      </c>
      <c r="F19" s="147">
        <v>124.807503</v>
      </c>
      <c r="G19" s="129">
        <v>187630000</v>
      </c>
      <c r="H19" s="147">
        <f>IF(tbl_AAPL[[#This Row],[Date]]=$A$5, $F19, EMA_Beta*$H18 + (1-EMA_Beta)*$F19)</f>
        <v>119.29178915485302</v>
      </c>
      <c r="I19" s="151">
        <f ca="1">IF(tbl_AAPL[[#This Row],[RS]]= "", "", 100-(100/(1+tbl_AAPL[[#This Row],[RS]])))</f>
        <v>74.07813257050843</v>
      </c>
      <c r="J19" s="147">
        <f ca="1">IF(ROW($N19)-4&lt;BB_Periods, "", AVERAGE(INDIRECT(ADDRESS(ROW($F19)-RSI_Periods +1, MATCH("Adj Close", Price_Header,0))): INDIRECT(ADDRESS(ROW($F19),MATCH("Adj Close", Price_Header,0)))))</f>
        <v>119.13196457142855</v>
      </c>
      <c r="K19" s="147">
        <f ca="1">IF(tbl_AAPL[[#This Row],[BB_Mean]]="", "", tbl_AAPL[[#This Row],[BB_Mean]]+(2*tbl_AAPL[[#This Row],[BB_Stdev]]))</f>
        <v>130.76282820331485</v>
      </c>
      <c r="L19" s="147">
        <f ca="1">IF(tbl_AAPL[[#This Row],[BB_Mean]]="", "", tbl_AAPL[[#This Row],[BB_Mean]]-(2*tbl_AAPL[[#This Row],[BB_Stdev]]))</f>
        <v>107.50110093954227</v>
      </c>
      <c r="M19" s="151">
        <f>IF(ROW(tbl_AAPL[[#This Row],[Adj Close]])=5, 0, $F19-$F18)</f>
        <v>-0.20249900000000309</v>
      </c>
      <c r="N19" s="151">
        <f>MAX(tbl_AAPL[[#This Row],[Move]],0)</f>
        <v>0</v>
      </c>
      <c r="O19" s="151">
        <f>MAX(-tbl_AAPL[[#This Row],[Move]],0)</f>
        <v>0.20249900000000309</v>
      </c>
      <c r="P19" s="151">
        <f ca="1">IF(ROW($N19)-5&lt;RSI_Periods, "", AVERAGE(INDIRECT(ADDRESS(ROW($N19)-RSI_Periods +1, MATCH("Upmove", Price_Header,0))): INDIRECT(ADDRESS(ROW($N19),MATCH("Upmove", Price_Header,0)))))</f>
        <v>1.3273217142857143</v>
      </c>
      <c r="Q19" s="151">
        <f ca="1">IF(ROW($O19)-5&lt;RSI_Periods, "", AVERAGE(INDIRECT(ADDRESS(ROW($O19)-RSI_Periods +1, MATCH("Downmove", Price_Header,0))): INDIRECT(ADDRESS(ROW($O19),MATCH("Downmove", Price_Header,0)))))</f>
        <v>0.46446442857142906</v>
      </c>
      <c r="R19" s="151">
        <f ca="1">IF(tbl_AAPL[[#This Row],[Avg_Upmove]]="", "", tbl_AAPL[[#This Row],[Avg_Upmove]]/tbl_AAPL[[#This Row],[Avg_Downmove]])</f>
        <v>2.8577467565561658</v>
      </c>
      <c r="S19" s="151">
        <f ca="1">IF(ROW($N19)-4&lt;BB_Periods, "", _xlfn.STDEV.S(INDIRECT(ADDRESS(ROW($F19)-RSI_Periods +1, MATCH("Adj Close", Price_Header,0))): INDIRECT(ADDRESS(ROW($F19),MATCH("Adj Close", Price_Header,0)))))</f>
        <v>5.8154318159431453</v>
      </c>
    </row>
    <row r="20" spans="1:19" x14ac:dyDescent="0.25">
      <c r="A20" s="130">
        <v>44074</v>
      </c>
      <c r="B20" s="147">
        <v>127.58000199999999</v>
      </c>
      <c r="C20" s="147">
        <v>131</v>
      </c>
      <c r="D20" s="147">
        <v>126</v>
      </c>
      <c r="E20" s="147">
        <v>129.03999300000001</v>
      </c>
      <c r="F20" s="147">
        <v>129.03999300000001</v>
      </c>
      <c r="G20" s="129">
        <v>225702700</v>
      </c>
      <c r="H20" s="147">
        <f>IF(tbl_AAPL[[#This Row],[Date]]=$A$5, $F20, EMA_Beta*$H19 + (1-EMA_Beta)*$F20)</f>
        <v>120.26660953936772</v>
      </c>
      <c r="I20" s="151">
        <f ca="1">IF(tbl_AAPL[[#This Row],[RS]]= "", "", 100-(100/(1+tbl_AAPL[[#This Row],[RS]])))</f>
        <v>87.868278041262855</v>
      </c>
      <c r="J20" s="147">
        <f ca="1">IF(ROW($N20)-4&lt;BB_Periods, "", AVERAGE(INDIRECT(ADDRESS(ROW($F20)-RSI_Periods +1, MATCH("Adj Close", Price_Header,0))): INDIRECT(ADDRESS(ROW($F20),MATCH("Adj Close", Price_Header,0)))))</f>
        <v>120.53660692857143</v>
      </c>
      <c r="K20" s="147">
        <f ca="1">IF(tbl_AAPL[[#This Row],[BB_Mean]]="", "", tbl_AAPL[[#This Row],[BB_Mean]]+(2*tbl_AAPL[[#This Row],[BB_Stdev]]))</f>
        <v>131.83668999496507</v>
      </c>
      <c r="L20" s="147">
        <f ca="1">IF(tbl_AAPL[[#This Row],[BB_Mean]]="", "", tbl_AAPL[[#This Row],[BB_Mean]]-(2*tbl_AAPL[[#This Row],[BB_Stdev]]))</f>
        <v>109.23652386217778</v>
      </c>
      <c r="M20" s="151">
        <f>IF(ROW(tbl_AAPL[[#This Row],[Adj Close]])=5, 0, $F20-$F19)</f>
        <v>4.2324900000000127</v>
      </c>
      <c r="N20" s="151">
        <f>MAX(tbl_AAPL[[#This Row],[Move]],0)</f>
        <v>4.2324900000000127</v>
      </c>
      <c r="O20" s="151">
        <f>MAX(-tbl_AAPL[[#This Row],[Move]],0)</f>
        <v>0</v>
      </c>
      <c r="P20" s="151">
        <f ca="1">IF(ROW($N20)-5&lt;RSI_Periods, "", AVERAGE(INDIRECT(ADDRESS(ROW($N20)-RSI_Periods +1, MATCH("Upmove", Price_Header,0))): INDIRECT(ADDRESS(ROW($N20),MATCH("Upmove", Price_Header,0)))))</f>
        <v>1.6296424285714295</v>
      </c>
      <c r="Q20" s="151">
        <f ca="1">IF(ROW($O20)-5&lt;RSI_Periods, "", AVERAGE(INDIRECT(ADDRESS(ROW($O20)-RSI_Periods +1, MATCH("Downmove", Price_Header,0))): INDIRECT(ADDRESS(ROW($O20),MATCH("Downmove", Price_Header,0)))))</f>
        <v>0.22500007142857165</v>
      </c>
      <c r="R20" s="151">
        <f ca="1">IF(tbl_AAPL[[#This Row],[Avg_Upmove]]="", "", tbl_AAPL[[#This Row],[Avg_Upmove]]/tbl_AAPL[[#This Row],[Avg_Downmove]])</f>
        <v>7.2428529387768421</v>
      </c>
      <c r="S20" s="151">
        <f ca="1">IF(ROW($N20)-4&lt;BB_Periods, "", _xlfn.STDEV.S(INDIRECT(ADDRESS(ROW($F20)-RSI_Periods +1, MATCH("Adj Close", Price_Header,0))): INDIRECT(ADDRESS(ROW($F20),MATCH("Adj Close", Price_Header,0)))))</f>
        <v>5.650041533196827</v>
      </c>
    </row>
    <row r="21" spans="1:19" x14ac:dyDescent="0.25">
      <c r="A21" s="130">
        <v>44075</v>
      </c>
      <c r="B21" s="147">
        <v>132.759995</v>
      </c>
      <c r="C21" s="147">
        <v>134.800003</v>
      </c>
      <c r="D21" s="147">
        <v>130.529999</v>
      </c>
      <c r="E21" s="147">
        <v>134.179993</v>
      </c>
      <c r="F21" s="147">
        <v>134.179993</v>
      </c>
      <c r="G21" s="129">
        <v>152470100</v>
      </c>
      <c r="H21" s="147">
        <f>IF(tbl_AAPL[[#This Row],[Date]]=$A$5, $F21, EMA_Beta*$H20 + (1-EMA_Beta)*$F21)</f>
        <v>121.65794788543094</v>
      </c>
      <c r="I21" s="151">
        <f ca="1">IF(tbl_AAPL[[#This Row],[RS]]= "", "", 100-(100/(1+tbl_AAPL[[#This Row],[RS]])))</f>
        <v>88.532938468531825</v>
      </c>
      <c r="J21" s="147">
        <f ca="1">IF(ROW($N21)-4&lt;BB_Periods, "", AVERAGE(INDIRECT(ADDRESS(ROW($F21)-RSI_Periods +1, MATCH("Adj Close", Price_Header,0))): INDIRECT(ADDRESS(ROW($F21),MATCH("Adj Close", Price_Header,0)))))</f>
        <v>122.04874914285713</v>
      </c>
      <c r="K21" s="147">
        <f ca="1">IF(tbl_AAPL[[#This Row],[BB_Mean]]="", "", tbl_AAPL[[#This Row],[BB_Mean]]+(2*tbl_AAPL[[#This Row],[BB_Stdev]]))</f>
        <v>134.60604877816147</v>
      </c>
      <c r="L21" s="147">
        <f ca="1">IF(tbl_AAPL[[#This Row],[BB_Mean]]="", "", tbl_AAPL[[#This Row],[BB_Mean]]-(2*tbl_AAPL[[#This Row],[BB_Stdev]]))</f>
        <v>109.49144950755282</v>
      </c>
      <c r="M21" s="151">
        <f>IF(ROW(tbl_AAPL[[#This Row],[Adj Close]])=5, 0, $F21-$F20)</f>
        <v>5.1399999999999864</v>
      </c>
      <c r="N21" s="151">
        <f>MAX(tbl_AAPL[[#This Row],[Move]],0)</f>
        <v>5.1399999999999864</v>
      </c>
      <c r="O21" s="151">
        <f>MAX(-tbl_AAPL[[#This Row],[Move]],0)</f>
        <v>0</v>
      </c>
      <c r="P21" s="151">
        <f ca="1">IF(ROW($N21)-5&lt;RSI_Periods, "", AVERAGE(INDIRECT(ADDRESS(ROW($N21)-RSI_Periods +1, MATCH("Upmove", Price_Header,0))): INDIRECT(ADDRESS(ROW($N21),MATCH("Upmove", Price_Header,0)))))</f>
        <v>1.7371422857142857</v>
      </c>
      <c r="Q21" s="151">
        <f ca="1">IF(ROW($O21)-5&lt;RSI_Periods, "", AVERAGE(INDIRECT(ADDRESS(ROW($O21)-RSI_Periods +1, MATCH("Downmove", Price_Header,0))): INDIRECT(ADDRESS(ROW($O21),MATCH("Downmove", Price_Header,0)))))</f>
        <v>0.22500007142857165</v>
      </c>
      <c r="R21" s="151">
        <f ca="1">IF(tbl_AAPL[[#This Row],[Avg_Upmove]]="", "", tbl_AAPL[[#This Row],[Avg_Upmove]]/tbl_AAPL[[#This Row],[Avg_Downmove]])</f>
        <v>7.7206299299587453</v>
      </c>
      <c r="S21" s="151">
        <f ca="1">IF(ROW($N21)-4&lt;BB_Periods, "", _xlfn.STDEV.S(INDIRECT(ADDRESS(ROW($F21)-RSI_Periods +1, MATCH("Adj Close", Price_Header,0))): INDIRECT(ADDRESS(ROW($F21),MATCH("Adj Close", Price_Header,0)))))</f>
        <v>6.2786498176521608</v>
      </c>
    </row>
    <row r="22" spans="1:19" x14ac:dyDescent="0.25">
      <c r="A22" s="130">
        <v>44076</v>
      </c>
      <c r="B22" s="147">
        <v>137.58999600000001</v>
      </c>
      <c r="C22" s="147">
        <v>137.979996</v>
      </c>
      <c r="D22" s="147">
        <v>127</v>
      </c>
      <c r="E22" s="147">
        <v>131.39999399999999</v>
      </c>
      <c r="F22" s="147">
        <v>131.39999399999999</v>
      </c>
      <c r="G22" s="129">
        <v>200119000</v>
      </c>
      <c r="H22" s="147">
        <f>IF(tbl_AAPL[[#This Row],[Date]]=$A$5, $F22, EMA_Beta*$H21 + (1-EMA_Beta)*$F22)</f>
        <v>122.63215249688784</v>
      </c>
      <c r="I22" s="151">
        <f ca="1">IF(tbl_AAPL[[#This Row],[RS]]= "", "", 100-(100/(1+tbl_AAPL[[#This Row],[RS]])))</f>
        <v>79.008843613123844</v>
      </c>
      <c r="J22" s="147">
        <f ca="1">IF(ROW($N22)-4&lt;BB_Periods, "", AVERAGE(INDIRECT(ADDRESS(ROW($F22)-RSI_Periods +1, MATCH("Adj Close", Price_Header,0))): INDIRECT(ADDRESS(ROW($F22),MATCH("Adj Close", Price_Header,0)))))</f>
        <v>123.21946285714284</v>
      </c>
      <c r="K22" s="147">
        <f ca="1">IF(tbl_AAPL[[#This Row],[BB_Mean]]="", "", tbl_AAPL[[#This Row],[BB_Mean]]+(2*tbl_AAPL[[#This Row],[BB_Stdev]]))</f>
        <v>136.00397989384811</v>
      </c>
      <c r="L22" s="147">
        <f ca="1">IF(tbl_AAPL[[#This Row],[BB_Mean]]="", "", tbl_AAPL[[#This Row],[BB_Mean]]-(2*tbl_AAPL[[#This Row],[BB_Stdev]]))</f>
        <v>110.43494582043758</v>
      </c>
      <c r="M22" s="151">
        <f>IF(ROW(tbl_AAPL[[#This Row],[Adj Close]])=5, 0, $F22-$F21)</f>
        <v>-2.7799990000000037</v>
      </c>
      <c r="N22" s="151">
        <f>MAX(tbl_AAPL[[#This Row],[Move]],0)</f>
        <v>0</v>
      </c>
      <c r="O22" s="151">
        <f>MAX(-tbl_AAPL[[#This Row],[Move]],0)</f>
        <v>2.7799990000000037</v>
      </c>
      <c r="P22" s="151">
        <f ca="1">IF(ROW($N22)-5&lt;RSI_Periods, "", AVERAGE(INDIRECT(ADDRESS(ROW($N22)-RSI_Periods +1, MATCH("Upmove", Price_Header,0))): INDIRECT(ADDRESS(ROW($N22),MATCH("Upmove", Price_Header,0)))))</f>
        <v>1.5942851428571427</v>
      </c>
      <c r="Q22" s="151">
        <f ca="1">IF(ROW($O22)-5&lt;RSI_Periods, "", AVERAGE(INDIRECT(ADDRESS(ROW($O22)-RSI_Periods +1, MATCH("Downmove", Price_Header,0))): INDIRECT(ADDRESS(ROW($O22),MATCH("Downmove", Price_Header,0)))))</f>
        <v>0.42357142857142904</v>
      </c>
      <c r="R22" s="151">
        <f ca="1">IF(tbl_AAPL[[#This Row],[Avg_Upmove]]="", "", tbl_AAPL[[#This Row],[Avg_Upmove]]/tbl_AAPL[[#This Row],[Avg_Downmove]])</f>
        <v>3.7639109612141608</v>
      </c>
      <c r="S22" s="151">
        <f ca="1">IF(ROW($N22)-4&lt;BB_Periods, "", _xlfn.STDEV.S(INDIRECT(ADDRESS(ROW($F22)-RSI_Periods +1, MATCH("Adj Close", Price_Header,0))): INDIRECT(ADDRESS(ROW($F22),MATCH("Adj Close", Price_Header,0)))))</f>
        <v>6.3922585183526337</v>
      </c>
    </row>
    <row r="23" spans="1:19" x14ac:dyDescent="0.25">
      <c r="A23" s="130">
        <v>44077</v>
      </c>
      <c r="B23" s="147">
        <v>126.910004</v>
      </c>
      <c r="C23" s="147">
        <v>128.83999600000001</v>
      </c>
      <c r="D23" s="147">
        <v>120.5</v>
      </c>
      <c r="E23" s="147">
        <v>120.879997</v>
      </c>
      <c r="F23" s="147">
        <v>120.879997</v>
      </c>
      <c r="G23" s="129">
        <v>257599600</v>
      </c>
      <c r="H23" s="147">
        <f>IF(tbl_AAPL[[#This Row],[Date]]=$A$5, $F23, EMA_Beta*$H22 + (1-EMA_Beta)*$F23)</f>
        <v>122.45693694719905</v>
      </c>
      <c r="I23" s="151">
        <f ca="1">IF(tbl_AAPL[[#This Row],[RS]]= "", "", 100-(100/(1+tbl_AAPL[[#This Row],[RS]])))</f>
        <v>57.722891127553993</v>
      </c>
      <c r="J23" s="147">
        <f ca="1">IF(ROW($N23)-4&lt;BB_Periods, "", AVERAGE(INDIRECT(ADDRESS(ROW($F23)-RSI_Periods +1, MATCH("Adj Close", Price_Header,0))): INDIRECT(ADDRESS(ROW($F23),MATCH("Adj Close", Price_Header,0)))))</f>
        <v>123.64606971428573</v>
      </c>
      <c r="K23" s="147">
        <f ca="1">IF(tbl_AAPL[[#This Row],[BB_Mean]]="", "", tbl_AAPL[[#This Row],[BB_Mean]]+(2*tbl_AAPL[[#This Row],[BB_Stdev]]))</f>
        <v>135.60792034786445</v>
      </c>
      <c r="L23" s="147">
        <f ca="1">IF(tbl_AAPL[[#This Row],[BB_Mean]]="", "", tbl_AAPL[[#This Row],[BB_Mean]]-(2*tbl_AAPL[[#This Row],[BB_Stdev]]))</f>
        <v>111.68421908070701</v>
      </c>
      <c r="M23" s="151">
        <f>IF(ROW(tbl_AAPL[[#This Row],[Adj Close]])=5, 0, $F23-$F22)</f>
        <v>-10.519996999999989</v>
      </c>
      <c r="N23" s="151">
        <f>MAX(tbl_AAPL[[#This Row],[Move]],0)</f>
        <v>0</v>
      </c>
      <c r="O23" s="151">
        <f>MAX(-tbl_AAPL[[#This Row],[Move]],0)</f>
        <v>10.519996999999989</v>
      </c>
      <c r="P23" s="151">
        <f ca="1">IF(ROW($N23)-5&lt;RSI_Periods, "", AVERAGE(INDIRECT(ADDRESS(ROW($N23)-RSI_Periods +1, MATCH("Upmove", Price_Header,0))): INDIRECT(ADDRESS(ROW($N23),MATCH("Upmove", Price_Header,0)))))</f>
        <v>1.5942851428571427</v>
      </c>
      <c r="Q23" s="151">
        <f ca="1">IF(ROW($O23)-5&lt;RSI_Periods, "", AVERAGE(INDIRECT(ADDRESS(ROW($O23)-RSI_Periods +1, MATCH("Downmove", Price_Header,0))): INDIRECT(ADDRESS(ROW($O23),MATCH("Downmove", Price_Header,0)))))</f>
        <v>1.1676782857142851</v>
      </c>
      <c r="R23" s="151">
        <f ca="1">IF(tbl_AAPL[[#This Row],[Avg_Upmove]]="", "", tbl_AAPL[[#This Row],[Avg_Upmove]]/tbl_AAPL[[#This Row],[Avg_Downmove]])</f>
        <v>1.3653462279483053</v>
      </c>
      <c r="S23" s="151">
        <f ca="1">IF(ROW($N23)-4&lt;BB_Periods, "", _xlfn.STDEV.S(INDIRECT(ADDRESS(ROW($F23)-RSI_Periods +1, MATCH("Adj Close", Price_Header,0))): INDIRECT(ADDRESS(ROW($F23),MATCH("Adj Close", Price_Header,0)))))</f>
        <v>5.9809253167893583</v>
      </c>
    </row>
    <row r="24" spans="1:19" x14ac:dyDescent="0.25">
      <c r="A24" s="130">
        <v>44078</v>
      </c>
      <c r="B24" s="147">
        <v>120.07</v>
      </c>
      <c r="C24" s="147">
        <v>123.699997</v>
      </c>
      <c r="D24" s="147">
        <v>110.889999</v>
      </c>
      <c r="E24" s="147">
        <v>120.959999</v>
      </c>
      <c r="F24" s="147">
        <v>120.959999</v>
      </c>
      <c r="G24" s="129">
        <v>332607200</v>
      </c>
      <c r="H24" s="147">
        <f>IF(tbl_AAPL[[#This Row],[Date]]=$A$5, $F24, EMA_Beta*$H23 + (1-EMA_Beta)*$F24)</f>
        <v>122.30724315247915</v>
      </c>
      <c r="I24" s="151">
        <f ca="1">IF(tbl_AAPL[[#This Row],[RS]]= "", "", 100-(100/(1+tbl_AAPL[[#This Row],[RS]])))</f>
        <v>58.261269455660376</v>
      </c>
      <c r="J24" s="147">
        <f ca="1">IF(ROW($N24)-4&lt;BB_Periods, "", AVERAGE(INDIRECT(ADDRESS(ROW($F24)-RSI_Periods +1, MATCH("Adj Close", Price_Header,0))): INDIRECT(ADDRESS(ROW($F24),MATCH("Adj Close", Price_Header,0)))))</f>
        <v>124.09981978571427</v>
      </c>
      <c r="K24" s="147">
        <f ca="1">IF(tbl_AAPL[[#This Row],[BB_Mean]]="", "", tbl_AAPL[[#This Row],[BB_Mean]]+(2*tbl_AAPL[[#This Row],[BB_Stdev]]))</f>
        <v>135.02144024663789</v>
      </c>
      <c r="L24" s="147">
        <f ca="1">IF(tbl_AAPL[[#This Row],[BB_Mean]]="", "", tbl_AAPL[[#This Row],[BB_Mean]]-(2*tbl_AAPL[[#This Row],[BB_Stdev]]))</f>
        <v>113.17819932479067</v>
      </c>
      <c r="M24" s="151">
        <f>IF(ROW(tbl_AAPL[[#This Row],[Adj Close]])=5, 0, $F24-$F23)</f>
        <v>8.0001999999993245E-2</v>
      </c>
      <c r="N24" s="151">
        <f>MAX(tbl_AAPL[[#This Row],[Move]],0)</f>
        <v>8.0001999999993245E-2</v>
      </c>
      <c r="O24" s="151">
        <f>MAX(-tbl_AAPL[[#This Row],[Move]],0)</f>
        <v>0</v>
      </c>
      <c r="P24" s="151">
        <f ca="1">IF(ROW($N24)-5&lt;RSI_Periods, "", AVERAGE(INDIRECT(ADDRESS(ROW($N24)-RSI_Periods +1, MATCH("Upmove", Price_Header,0))): INDIRECT(ADDRESS(ROW($N24),MATCH("Upmove", Price_Header,0)))))</f>
        <v>1.5999995714285709</v>
      </c>
      <c r="Q24" s="151">
        <f ca="1">IF(ROW($O24)-5&lt;RSI_Periods, "", AVERAGE(INDIRECT(ADDRESS(ROW($O24)-RSI_Periods +1, MATCH("Downmove", Price_Header,0))): INDIRECT(ADDRESS(ROW($O24),MATCH("Downmove", Price_Header,0)))))</f>
        <v>1.1462495000000001</v>
      </c>
      <c r="R24" s="151">
        <f ca="1">IF(tbl_AAPL[[#This Row],[Avg_Upmove]]="", "", tbl_AAPL[[#This Row],[Avg_Upmove]]/tbl_AAPL[[#This Row],[Avg_Downmove]])</f>
        <v>1.3958562873341018</v>
      </c>
      <c r="S24" s="151">
        <f ca="1">IF(ROW($N24)-4&lt;BB_Periods, "", _xlfn.STDEV.S(INDIRECT(ADDRESS(ROW($F24)-RSI_Periods +1, MATCH("Adj Close", Price_Header,0))): INDIRECT(ADDRESS(ROW($F24),MATCH("Adj Close", Price_Header,0)))))</f>
        <v>5.4608102304618056</v>
      </c>
    </row>
    <row r="25" spans="1:19" x14ac:dyDescent="0.25">
      <c r="A25" s="130">
        <v>44082</v>
      </c>
      <c r="B25" s="147">
        <v>113.949997</v>
      </c>
      <c r="C25" s="147">
        <v>118.989998</v>
      </c>
      <c r="D25" s="147">
        <v>112.68</v>
      </c>
      <c r="E25" s="147">
        <v>112.82</v>
      </c>
      <c r="F25" s="147">
        <v>112.82</v>
      </c>
      <c r="G25" s="129">
        <v>231366600</v>
      </c>
      <c r="H25" s="147">
        <f>IF(tbl_AAPL[[#This Row],[Date]]=$A$5, $F25, EMA_Beta*$H24 + (1-EMA_Beta)*$F25)</f>
        <v>121.35851883723123</v>
      </c>
      <c r="I25" s="151">
        <f ca="1">IF(tbl_AAPL[[#This Row],[RS]]= "", "", 100-(100/(1+tbl_AAPL[[#This Row],[RS]])))</f>
        <v>46.995013464531091</v>
      </c>
      <c r="J25" s="147">
        <f ca="1">IF(ROW($N25)-4&lt;BB_Periods, "", AVERAGE(INDIRECT(ADDRESS(ROW($F25)-RSI_Periods +1, MATCH("Adj Close", Price_Header,0))): INDIRECT(ADDRESS(ROW($F25),MATCH("Adj Close", Price_Header,0)))))</f>
        <v>123.90392692857141</v>
      </c>
      <c r="K25" s="147">
        <f ca="1">IF(tbl_AAPL[[#This Row],[BB_Mean]]="", "", tbl_AAPL[[#This Row],[BB_Mean]]+(2*tbl_AAPL[[#This Row],[BB_Stdev]]))</f>
        <v>135.55893044920501</v>
      </c>
      <c r="L25" s="147">
        <f ca="1">IF(tbl_AAPL[[#This Row],[BB_Mean]]="", "", tbl_AAPL[[#This Row],[BB_Mean]]-(2*tbl_AAPL[[#This Row],[BB_Stdev]]))</f>
        <v>112.2489234079378</v>
      </c>
      <c r="M25" s="151">
        <f>IF(ROW(tbl_AAPL[[#This Row],[Adj Close]])=5, 0, $F25-$F24)</f>
        <v>-8.1399990000000031</v>
      </c>
      <c r="N25" s="151">
        <f>MAX(tbl_AAPL[[#This Row],[Move]],0)</f>
        <v>0</v>
      </c>
      <c r="O25" s="151">
        <f>MAX(-tbl_AAPL[[#This Row],[Move]],0)</f>
        <v>8.1399990000000031</v>
      </c>
      <c r="P25" s="151">
        <f ca="1">IF(ROW($N25)-5&lt;RSI_Periods, "", AVERAGE(INDIRECT(ADDRESS(ROW($N25)-RSI_Periods +1, MATCH("Upmove", Price_Header,0))): INDIRECT(ADDRESS(ROW($N25),MATCH("Upmove", Price_Header,0)))))</f>
        <v>1.5317851428571427</v>
      </c>
      <c r="Q25" s="151">
        <f ca="1">IF(ROW($O25)-5&lt;RSI_Periods, "", AVERAGE(INDIRECT(ADDRESS(ROW($O25)-RSI_Periods +1, MATCH("Downmove", Price_Header,0))): INDIRECT(ADDRESS(ROW($O25),MATCH("Downmove", Price_Header,0)))))</f>
        <v>1.7276780000000005</v>
      </c>
      <c r="R25" s="151">
        <f ca="1">IF(tbl_AAPL[[#This Row],[Avg_Upmove]]="", "", tbl_AAPL[[#This Row],[Avg_Upmove]]/tbl_AAPL[[#This Row],[Avg_Downmove]])</f>
        <v>0.88661494957807085</v>
      </c>
      <c r="S25" s="151">
        <f ca="1">IF(ROW($N25)-4&lt;BB_Periods, "", _xlfn.STDEV.S(INDIRECT(ADDRESS(ROW($F25)-RSI_Periods +1, MATCH("Adj Close", Price_Header,0))): INDIRECT(ADDRESS(ROW($F25),MATCH("Adj Close", Price_Header,0)))))</f>
        <v>5.8275017603168049</v>
      </c>
    </row>
    <row r="26" spans="1:19" x14ac:dyDescent="0.25">
      <c r="A26" s="130">
        <v>44083</v>
      </c>
      <c r="B26" s="147">
        <v>117.260002</v>
      </c>
      <c r="C26" s="147">
        <v>119.139999</v>
      </c>
      <c r="D26" s="147">
        <v>115.260002</v>
      </c>
      <c r="E26" s="147">
        <v>117.32</v>
      </c>
      <c r="F26" s="147">
        <v>117.32</v>
      </c>
      <c r="G26" s="129">
        <v>176940500</v>
      </c>
      <c r="H26" s="147">
        <f>IF(tbl_AAPL[[#This Row],[Date]]=$A$5, $F26, EMA_Beta*$H25 + (1-EMA_Beta)*$F26)</f>
        <v>120.95466695350811</v>
      </c>
      <c r="I26" s="151">
        <f ca="1">IF(tbl_AAPL[[#This Row],[RS]]= "", "", 100-(100/(1+tbl_AAPL[[#This Row],[RS]])))</f>
        <v>51.61290664601723</v>
      </c>
      <c r="J26" s="147">
        <f ca="1">IF(ROW($N26)-4&lt;BB_Periods, "", AVERAGE(INDIRECT(ADDRESS(ROW($F26)-RSI_Periods +1, MATCH("Adj Close", Price_Header,0))): INDIRECT(ADDRESS(ROW($F26),MATCH("Adj Close", Price_Header,0)))))</f>
        <v>124.0191057142857</v>
      </c>
      <c r="K26" s="147">
        <f ca="1">IF(tbl_AAPL[[#This Row],[BB_Mean]]="", "", tbl_AAPL[[#This Row],[BB_Mean]]+(2*tbl_AAPL[[#This Row],[BB_Stdev]]))</f>
        <v>135.35262308606977</v>
      </c>
      <c r="L26" s="147">
        <f ca="1">IF(tbl_AAPL[[#This Row],[BB_Mean]]="", "", tbl_AAPL[[#This Row],[BB_Mean]]-(2*tbl_AAPL[[#This Row],[BB_Stdev]]))</f>
        <v>112.68558834250163</v>
      </c>
      <c r="M26" s="151">
        <f>IF(ROW(tbl_AAPL[[#This Row],[Adj Close]])=5, 0, $F26-$F25)</f>
        <v>4.5</v>
      </c>
      <c r="N26" s="151">
        <f>MAX(tbl_AAPL[[#This Row],[Move]],0)</f>
        <v>4.5</v>
      </c>
      <c r="O26" s="151">
        <f>MAX(-tbl_AAPL[[#This Row],[Move]],0)</f>
        <v>0</v>
      </c>
      <c r="P26" s="151">
        <f ca="1">IF(ROW($N26)-5&lt;RSI_Periods, "", AVERAGE(INDIRECT(ADDRESS(ROW($N26)-RSI_Periods +1, MATCH("Upmove", Price_Header,0))): INDIRECT(ADDRESS(ROW($N26),MATCH("Upmove", Price_Header,0)))))</f>
        <v>1.8428567857142855</v>
      </c>
      <c r="Q26" s="151">
        <f ca="1">IF(ROW($O26)-5&lt;RSI_Periods, "", AVERAGE(INDIRECT(ADDRESS(ROW($O26)-RSI_Periods +1, MATCH("Downmove", Price_Header,0))): INDIRECT(ADDRESS(ROW($O26),MATCH("Downmove", Price_Header,0)))))</f>
        <v>1.7276780000000005</v>
      </c>
      <c r="R26" s="151">
        <f ca="1">IF(tbl_AAPL[[#This Row],[Avg_Upmove]]="", "", tbl_AAPL[[#This Row],[Avg_Upmove]]/tbl_AAPL[[#This Row],[Avg_Downmove]])</f>
        <v>1.0666668127476793</v>
      </c>
      <c r="S26" s="151">
        <f ca="1">IF(ROW($N26)-4&lt;BB_Periods, "", _xlfn.STDEV.S(INDIRECT(ADDRESS(ROW($F26)-RSI_Periods +1, MATCH("Adj Close", Price_Header,0))): INDIRECT(ADDRESS(ROW($F26),MATCH("Adj Close", Price_Header,0)))))</f>
        <v>5.6667586858920371</v>
      </c>
    </row>
    <row r="27" spans="1:19" x14ac:dyDescent="0.25">
      <c r="A27" s="130">
        <v>44084</v>
      </c>
      <c r="B27" s="147">
        <v>120.360001</v>
      </c>
      <c r="C27" s="147">
        <v>120.5</v>
      </c>
      <c r="D27" s="147">
        <v>112.5</v>
      </c>
      <c r="E27" s="147">
        <v>113.489998</v>
      </c>
      <c r="F27" s="147">
        <v>113.489998</v>
      </c>
      <c r="G27" s="129">
        <v>182274400</v>
      </c>
      <c r="H27" s="147">
        <f>IF(tbl_AAPL[[#This Row],[Date]]=$A$5, $F27, EMA_Beta*$H26 + (1-EMA_Beta)*$F27)</f>
        <v>120.2082000581573</v>
      </c>
      <c r="I27" s="151">
        <f ca="1">IF(tbl_AAPL[[#This Row],[RS]]= "", "", 100-(100/(1+tbl_AAPL[[#This Row],[RS]])))</f>
        <v>45.331701957214271</v>
      </c>
      <c r="J27" s="147">
        <f ca="1">IF(ROW($N27)-4&lt;BB_Periods, "", AVERAGE(INDIRECT(ADDRESS(ROW($F27)-RSI_Periods +1, MATCH("Adj Close", Price_Header,0))): INDIRECT(ADDRESS(ROW($F27),MATCH("Adj Close", Price_Header,0)))))</f>
        <v>123.6773197142857</v>
      </c>
      <c r="K27" s="147">
        <f ca="1">IF(tbl_AAPL[[#This Row],[BB_Mean]]="", "", tbl_AAPL[[#This Row],[BB_Mean]]+(2*tbl_AAPL[[#This Row],[BB_Stdev]]))</f>
        <v>136.00227796299194</v>
      </c>
      <c r="L27" s="147">
        <f ca="1">IF(tbl_AAPL[[#This Row],[BB_Mean]]="", "", tbl_AAPL[[#This Row],[BB_Mean]]-(2*tbl_AAPL[[#This Row],[BB_Stdev]]))</f>
        <v>111.35236146557948</v>
      </c>
      <c r="M27" s="151">
        <f>IF(ROW(tbl_AAPL[[#This Row],[Adj Close]])=5, 0, $F27-$F26)</f>
        <v>-3.8300019999999932</v>
      </c>
      <c r="N27" s="151">
        <f>MAX(tbl_AAPL[[#This Row],[Move]],0)</f>
        <v>0</v>
      </c>
      <c r="O27" s="151">
        <f>MAX(-tbl_AAPL[[#This Row],[Move]],0)</f>
        <v>3.8300019999999932</v>
      </c>
      <c r="P27" s="151">
        <f ca="1">IF(ROW($N27)-5&lt;RSI_Periods, "", AVERAGE(INDIRECT(ADDRESS(ROW($N27)-RSI_Periods +1, MATCH("Upmove", Price_Header,0))): INDIRECT(ADDRESS(ROW($N27),MATCH("Upmove", Price_Header,0)))))</f>
        <v>1.6594635714285713</v>
      </c>
      <c r="Q27" s="151">
        <f ca="1">IF(ROW($O27)-5&lt;RSI_Periods, "", AVERAGE(INDIRECT(ADDRESS(ROW($O27)-RSI_Periods +1, MATCH("Downmove", Price_Header,0))): INDIRECT(ADDRESS(ROW($O27),MATCH("Downmove", Price_Header,0)))))</f>
        <v>2.0012495714285712</v>
      </c>
      <c r="R27" s="151">
        <f ca="1">IF(tbl_AAPL[[#This Row],[Avg_Upmove]]="", "", tbl_AAPL[[#This Row],[Avg_Upmove]]/tbl_AAPL[[#This Row],[Avg_Downmove]])</f>
        <v>0.82921370483741341</v>
      </c>
      <c r="S27" s="151">
        <f ca="1">IF(ROW($N27)-4&lt;BB_Periods, "", _xlfn.STDEV.S(INDIRECT(ADDRESS(ROW($F27)-RSI_Periods +1, MATCH("Adj Close", Price_Header,0))): INDIRECT(ADDRESS(ROW($F27),MATCH("Adj Close", Price_Header,0)))))</f>
        <v>6.1624791243531138</v>
      </c>
    </row>
    <row r="28" spans="1:19" x14ac:dyDescent="0.25">
      <c r="A28" s="130">
        <v>44085</v>
      </c>
      <c r="B28" s="147">
        <v>114.57</v>
      </c>
      <c r="C28" s="147">
        <v>115.230003</v>
      </c>
      <c r="D28" s="147">
        <v>110</v>
      </c>
      <c r="E28" s="147">
        <v>112</v>
      </c>
      <c r="F28" s="147">
        <v>112</v>
      </c>
      <c r="G28" s="129">
        <v>180487500</v>
      </c>
      <c r="H28" s="147">
        <f>IF(tbl_AAPL[[#This Row],[Date]]=$A$5, $F28, EMA_Beta*$H27 + (1-EMA_Beta)*$F28)</f>
        <v>119.38738005234158</v>
      </c>
      <c r="I28" s="151">
        <f ca="1">IF(tbl_AAPL[[#This Row],[RS]]= "", "", 100-(100/(1+tbl_AAPL[[#This Row],[RS]])))</f>
        <v>36.740263652374516</v>
      </c>
      <c r="J28" s="147">
        <f ca="1">IF(ROW($N28)-4&lt;BB_Periods, "", AVERAGE(INDIRECT(ADDRESS(ROW($F28)-RSI_Periods +1, MATCH("Adj Close", Price_Header,0))): INDIRECT(ADDRESS(ROW($F28),MATCH("Adj Close", Price_Header,0)))))</f>
        <v>122.79374807142855</v>
      </c>
      <c r="K28" s="147">
        <f ca="1">IF(tbl_AAPL[[#This Row],[BB_Mean]]="", "", tbl_AAPL[[#This Row],[BB_Mean]]+(2*tbl_AAPL[[#This Row],[BB_Stdev]]))</f>
        <v>136.59051623432842</v>
      </c>
      <c r="L28" s="147">
        <f ca="1">IF(tbl_AAPL[[#This Row],[BB_Mean]]="", "", tbl_AAPL[[#This Row],[BB_Mean]]-(2*tbl_AAPL[[#This Row],[BB_Stdev]]))</f>
        <v>108.9969799085287</v>
      </c>
      <c r="M28" s="151">
        <f>IF(ROW(tbl_AAPL[[#This Row],[Adj Close]])=5, 0, $F28-$F27)</f>
        <v>-1.4899979999999999</v>
      </c>
      <c r="N28" s="151">
        <f>MAX(tbl_AAPL[[#This Row],[Move]],0)</f>
        <v>0</v>
      </c>
      <c r="O28" s="151">
        <f>MAX(-tbl_AAPL[[#This Row],[Move]],0)</f>
        <v>1.4899979999999999</v>
      </c>
      <c r="P28" s="151">
        <f ca="1">IF(ROW($N28)-5&lt;RSI_Periods, "", AVERAGE(INDIRECT(ADDRESS(ROW($N28)-RSI_Periods +1, MATCH("Upmove", Price_Header,0))): INDIRECT(ADDRESS(ROW($N28),MATCH("Upmove", Price_Header,0)))))</f>
        <v>1.2241063571428572</v>
      </c>
      <c r="Q28" s="151">
        <f ca="1">IF(ROW($O28)-5&lt;RSI_Periods, "", AVERAGE(INDIRECT(ADDRESS(ROW($O28)-RSI_Periods +1, MATCH("Downmove", Price_Header,0))): INDIRECT(ADDRESS(ROW($O28),MATCH("Downmove", Price_Header,0)))))</f>
        <v>2.1076779999999999</v>
      </c>
      <c r="R28" s="151">
        <f ca="1">IF(tbl_AAPL[[#This Row],[Avg_Upmove]]="", "", tbl_AAPL[[#This Row],[Avg_Upmove]]/tbl_AAPL[[#This Row],[Avg_Downmove]])</f>
        <v>0.58078433097601112</v>
      </c>
      <c r="S28" s="151">
        <f ca="1">IF(ROW($N28)-4&lt;BB_Periods, "", _xlfn.STDEV.S(INDIRECT(ADDRESS(ROW($F28)-RSI_Periods +1, MATCH("Adj Close", Price_Header,0))): INDIRECT(ADDRESS(ROW($F28),MATCH("Adj Close", Price_Header,0)))))</f>
        <v>6.8983840814499278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Q15" sqref="Q15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168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130">
        <v>44053</v>
      </c>
      <c r="B5" s="149">
        <v>309.67999300000002</v>
      </c>
      <c r="C5" s="149">
        <v>313.66000400000001</v>
      </c>
      <c r="D5" s="149">
        <v>290.01001000000002</v>
      </c>
      <c r="E5" s="149">
        <v>298</v>
      </c>
      <c r="F5" s="149">
        <v>298</v>
      </c>
      <c r="G5" s="129">
        <v>2403400</v>
      </c>
      <c r="H5" s="149">
        <f>IF(tbl_WMT[[#This Row],[Date]]=$A$5, $F5, EMA_Beta*$H4 + (1-EMA_Beta)*$F5)</f>
        <v>298</v>
      </c>
      <c r="I5" s="151" t="str">
        <f ca="1">IF(tbl_WMT[[#This Row],[RS]]= "", "", 100-(100/(1+tbl_WMT[[#This Row],[RS]])))</f>
        <v/>
      </c>
      <c r="J5" s="147" t="str">
        <f ca="1">IF(ROW($N5)-4&lt;BB_Periods, "", AVERAGE(INDIRECT(ADDRESS(ROW($F5)-RSI_Periods +1, MATCH("Adj Close", Price_Header,0))): INDIRECT(ADDRESS(ROW($F5),MATCH("Adj Close", Price_Header,0)))))</f>
        <v/>
      </c>
      <c r="K5" s="147" t="str">
        <f ca="1">IF(tbl_WMT[[#This Row],[BB_Mean]]="", "", tbl_WMT[[#This Row],[BB_Mean]]+(2*tbl_WMT[[#This Row],[BB_Stdev]]))</f>
        <v/>
      </c>
      <c r="L5" s="147" t="str">
        <f ca="1">IF(tbl_WMT[[#This Row],[BB_Mean]]="", "", tbl_WMT[[#This Row],[BB_Mean]]-(2*tbl_WMT[[#This Row],[BB_Stdev]]))</f>
        <v/>
      </c>
      <c r="M5" s="150">
        <f>IF(ROW(tbl_WMT[[#This Row],[Adj Close]])=5, 0, $F5-$F4)</f>
        <v>0</v>
      </c>
      <c r="N5" s="150">
        <f>MAX(tbl_WMT[[#This Row],[Move]],0)</f>
        <v>0</v>
      </c>
      <c r="O5" s="150">
        <f>MAX(-tbl_WMT[[#This Row],[Move]],0)</f>
        <v>0</v>
      </c>
      <c r="P5" s="150" t="str">
        <f ca="1">IF(ROW($N5)-5&lt;RSI_Periods, "", AVERAGE(INDIRECT(ADDRESS(ROW($N5)-RSI_Periods +1, MATCH("Upmove", Price_Header,0))): INDIRECT(ADDRESS(ROW($N5),MATCH("Upmove", Price_Header,0)))))</f>
        <v/>
      </c>
      <c r="Q5" s="150" t="str">
        <f ca="1">IF(ROW($O5)-5&lt;RSI_Periods, "", AVERAGE(INDIRECT(ADDRESS(ROW($O5)-RSI_Periods +1, MATCH("Downmove", Price_Header,0))): INDIRECT(ADDRESS(ROW($O5),MATCH("Downmove", Price_Header,0)))))</f>
        <v/>
      </c>
      <c r="R5" s="150" t="str">
        <f ca="1">IF(tbl_WMT[[#This Row],[Avg_Upmove]]="", "", tbl_WMT[[#This Row],[Avg_Upmove]]/tbl_WMT[[#This Row],[Avg_Downmove]])</f>
        <v/>
      </c>
      <c r="S5" s="147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130">
        <v>44054</v>
      </c>
      <c r="B6" s="149">
        <v>293.24499500000002</v>
      </c>
      <c r="C6" s="149">
        <v>324.80999800000001</v>
      </c>
      <c r="D6" s="149">
        <v>283.51001000000002</v>
      </c>
      <c r="E6" s="149">
        <v>309.13000499999998</v>
      </c>
      <c r="F6" s="149">
        <v>309.13000499999998</v>
      </c>
      <c r="G6" s="129">
        <v>11085800</v>
      </c>
      <c r="H6" s="149">
        <f>IF(tbl_WMT[[#This Row],[Date]]=$A$5, $F6, EMA_Beta*$H5 + (1-EMA_Beta)*$F6)</f>
        <v>299.1130005</v>
      </c>
      <c r="I6" s="151" t="str">
        <f ca="1">IF(tbl_WMT[[#This Row],[RS]]= "", "", 100-(100/(1+tbl_WMT[[#This Row],[RS]])))</f>
        <v/>
      </c>
      <c r="J6" s="149" t="str">
        <f ca="1">IF(ROW($N6)-4&lt;BB_Periods, "", AVERAGE(INDIRECT(ADDRESS(ROW($F6)-RSI_Periods +1, MATCH("Adj Close", Price_Header,0))): INDIRECT(ADDRESS(ROW($F6),MATCH("Adj Close", Price_Header,0)))))</f>
        <v/>
      </c>
      <c r="K6" s="149" t="str">
        <f ca="1">IF(tbl_WMT[[#This Row],[BB_Mean]]="", "", tbl_WMT[[#This Row],[BB_Mean]]+(2*tbl_WMT[[#This Row],[BB_Stdev]]))</f>
        <v/>
      </c>
      <c r="L6" s="149" t="str">
        <f ca="1">IF(tbl_WMT[[#This Row],[BB_Mean]]="", "", tbl_WMT[[#This Row],[BB_Mean]]-(2*tbl_WMT[[#This Row],[BB_Stdev]]))</f>
        <v/>
      </c>
      <c r="M6" s="150">
        <f>IF(ROW(tbl_WMT[[#This Row],[Adj Close]])=5, 0, $F6-$F5)</f>
        <v>11.130004999999983</v>
      </c>
      <c r="N6" s="150">
        <f>MAX(tbl_WMT[[#This Row],[Move]],0)</f>
        <v>11.130004999999983</v>
      </c>
      <c r="O6" s="150">
        <f>MAX(-tbl_WMT[[#This Row],[Move]],0)</f>
        <v>0</v>
      </c>
      <c r="P6" s="150" t="str">
        <f ca="1">IF(ROW($N6)-5&lt;RSI_Periods, "", AVERAGE(INDIRECT(ADDRESS(ROW($N6)-RSI_Periods +1, MATCH("Upmove", Price_Header,0))): INDIRECT(ADDRESS(ROW($N6),MATCH("Upmove", Price_Header,0)))))</f>
        <v/>
      </c>
      <c r="Q6" s="150" t="str">
        <f ca="1">IF(ROW($O6)-5&lt;RSI_Periods, "", AVERAGE(INDIRECT(ADDRESS(ROW($O6)-RSI_Periods +1, MATCH("Downmove", Price_Header,0))): INDIRECT(ADDRESS(ROW($O6),MATCH("Downmove", Price_Header,0)))))</f>
        <v/>
      </c>
      <c r="R6" s="150" t="str">
        <f ca="1">IF(tbl_WMT[[#This Row],[Avg_Upmove]]="", "", tbl_WMT[[#This Row],[Avg_Upmove]]/tbl_WMT[[#This Row],[Avg_Downmove]])</f>
        <v/>
      </c>
      <c r="S6" s="149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130">
        <v>44055</v>
      </c>
      <c r="B7" s="149">
        <v>309.86999500000002</v>
      </c>
      <c r="C7" s="149">
        <v>312.959991</v>
      </c>
      <c r="D7" s="149">
        <v>293.49099699999999</v>
      </c>
      <c r="E7" s="149">
        <v>301.73998999999998</v>
      </c>
      <c r="F7" s="149">
        <v>301.73998999999998</v>
      </c>
      <c r="G7" s="129">
        <v>4381900</v>
      </c>
      <c r="H7" s="149">
        <f>IF(tbl_WMT[[#This Row],[Date]]=$A$5, $F7, EMA_Beta*$H6 + (1-EMA_Beta)*$F7)</f>
        <v>299.37569945000001</v>
      </c>
      <c r="I7" s="151" t="str">
        <f ca="1">IF(tbl_WMT[[#This Row],[RS]]= "", "", 100-(100/(1+tbl_WMT[[#This Row],[RS]])))</f>
        <v/>
      </c>
      <c r="J7" s="149" t="str">
        <f ca="1">IF(ROW($N7)-4&lt;BB_Periods, "", AVERAGE(INDIRECT(ADDRESS(ROW($F7)-RSI_Periods +1, MATCH("Adj Close", Price_Header,0))): INDIRECT(ADDRESS(ROW($F7),MATCH("Adj Close", Price_Header,0)))))</f>
        <v/>
      </c>
      <c r="K7" s="149" t="str">
        <f ca="1">IF(tbl_WMT[[#This Row],[BB_Mean]]="", "", tbl_WMT[[#This Row],[BB_Mean]]+(2*tbl_WMT[[#This Row],[BB_Stdev]]))</f>
        <v/>
      </c>
      <c r="L7" s="149" t="str">
        <f ca="1">IF(tbl_WMT[[#This Row],[BB_Mean]]="", "", tbl_WMT[[#This Row],[BB_Mean]]-(2*tbl_WMT[[#This Row],[BB_Stdev]]))</f>
        <v/>
      </c>
      <c r="M7" s="150">
        <f>IF(ROW(tbl_WMT[[#This Row],[Adj Close]])=5, 0, $F7-$F6)</f>
        <v>-7.3900150000000053</v>
      </c>
      <c r="N7" s="150">
        <f>MAX(tbl_WMT[[#This Row],[Move]],0)</f>
        <v>0</v>
      </c>
      <c r="O7" s="150">
        <f>MAX(-tbl_WMT[[#This Row],[Move]],0)</f>
        <v>7.3900150000000053</v>
      </c>
      <c r="P7" s="150" t="str">
        <f ca="1">IF(ROW($N7)-5&lt;RSI_Periods, "", AVERAGE(INDIRECT(ADDRESS(ROW($N7)-RSI_Periods +1, MATCH("Upmove", Price_Header,0))): INDIRECT(ADDRESS(ROW($N7),MATCH("Upmove", Price_Header,0)))))</f>
        <v/>
      </c>
      <c r="Q7" s="150" t="str">
        <f ca="1">IF(ROW($O7)-5&lt;RSI_Periods, "", AVERAGE(INDIRECT(ADDRESS(ROW($O7)-RSI_Periods +1, MATCH("Downmove", Price_Header,0))): INDIRECT(ADDRESS(ROW($O7),MATCH("Downmove", Price_Header,0)))))</f>
        <v/>
      </c>
      <c r="R7" s="150" t="str">
        <f ca="1">IF(tbl_WMT[[#This Row],[Avg_Upmove]]="", "", tbl_WMT[[#This Row],[Avg_Upmove]]/tbl_WMT[[#This Row],[Avg_Downmove]])</f>
        <v/>
      </c>
      <c r="S7" s="149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130">
        <v>44056</v>
      </c>
      <c r="B8" s="149">
        <v>307.91000400000001</v>
      </c>
      <c r="C8" s="149">
        <v>320.42999300000002</v>
      </c>
      <c r="D8" s="149">
        <v>305.01001000000002</v>
      </c>
      <c r="E8" s="149">
        <v>314.290009</v>
      </c>
      <c r="F8" s="149">
        <v>314.290009</v>
      </c>
      <c r="G8" s="129">
        <v>2580300</v>
      </c>
      <c r="H8" s="149">
        <f>IF(tbl_WMT[[#This Row],[Date]]=$A$5, $F8, EMA_Beta*$H7 + (1-EMA_Beta)*$F8)</f>
        <v>300.86713040500001</v>
      </c>
      <c r="I8" s="151" t="str">
        <f ca="1">IF(tbl_WMT[[#This Row],[RS]]= "", "", 100-(100/(1+tbl_WMT[[#This Row],[RS]])))</f>
        <v/>
      </c>
      <c r="J8" s="149" t="str">
        <f ca="1">IF(ROW($N8)-4&lt;BB_Periods, "", AVERAGE(INDIRECT(ADDRESS(ROW($F8)-RSI_Periods +1, MATCH("Adj Close", Price_Header,0))): INDIRECT(ADDRESS(ROW($F8),MATCH("Adj Close", Price_Header,0)))))</f>
        <v/>
      </c>
      <c r="K8" s="149" t="str">
        <f ca="1">IF(tbl_WMT[[#This Row],[BB_Mean]]="", "", tbl_WMT[[#This Row],[BB_Mean]]+(2*tbl_WMT[[#This Row],[BB_Stdev]]))</f>
        <v/>
      </c>
      <c r="L8" s="149" t="str">
        <f ca="1">IF(tbl_WMT[[#This Row],[BB_Mean]]="", "", tbl_WMT[[#This Row],[BB_Mean]]-(2*tbl_WMT[[#This Row],[BB_Stdev]]))</f>
        <v/>
      </c>
      <c r="M8" s="150">
        <f>IF(ROW(tbl_WMT[[#This Row],[Adj Close]])=5, 0, $F8-$F7)</f>
        <v>12.55001900000002</v>
      </c>
      <c r="N8" s="150">
        <f>MAX(tbl_WMT[[#This Row],[Move]],0)</f>
        <v>12.55001900000002</v>
      </c>
      <c r="O8" s="150">
        <f>MAX(-tbl_WMT[[#This Row],[Move]],0)</f>
        <v>0</v>
      </c>
      <c r="P8" s="150" t="str">
        <f ca="1">IF(ROW($N8)-5&lt;RSI_Periods, "", AVERAGE(INDIRECT(ADDRESS(ROW($N8)-RSI_Periods +1, MATCH("Upmove", Price_Header,0))): INDIRECT(ADDRESS(ROW($N8),MATCH("Upmove", Price_Header,0)))))</f>
        <v/>
      </c>
      <c r="Q8" s="150" t="str">
        <f ca="1">IF(ROW($O8)-5&lt;RSI_Periods, "", AVERAGE(INDIRECT(ADDRESS(ROW($O8)-RSI_Periods +1, MATCH("Downmove", Price_Header,0))): INDIRECT(ADDRESS(ROW($O8),MATCH("Downmove", Price_Header,0)))))</f>
        <v/>
      </c>
      <c r="R8" s="150" t="str">
        <f ca="1">IF(tbl_WMT[[#This Row],[Avg_Upmove]]="", "", tbl_WMT[[#This Row],[Avg_Upmove]]/tbl_WMT[[#This Row],[Avg_Downmove]])</f>
        <v/>
      </c>
      <c r="S8" s="149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130">
        <v>44057</v>
      </c>
      <c r="B9" s="149">
        <v>312.16000400000001</v>
      </c>
      <c r="C9" s="149">
        <v>315.97000100000002</v>
      </c>
      <c r="D9" s="149">
        <v>308</v>
      </c>
      <c r="E9" s="149">
        <v>309.98998999999998</v>
      </c>
      <c r="F9" s="149">
        <v>309.98998999999998</v>
      </c>
      <c r="G9" s="129">
        <v>1575600</v>
      </c>
      <c r="H9" s="149">
        <f>IF(tbl_WMT[[#This Row],[Date]]=$A$5, $F9, EMA_Beta*$H8 + (1-EMA_Beta)*$F9)</f>
        <v>301.77941636449998</v>
      </c>
      <c r="I9" s="151" t="str">
        <f ca="1">IF(tbl_WMT[[#This Row],[RS]]= "", "", 100-(100/(1+tbl_WMT[[#This Row],[RS]])))</f>
        <v/>
      </c>
      <c r="J9" s="149" t="str">
        <f ca="1">IF(ROW($N9)-4&lt;BB_Periods, "", AVERAGE(INDIRECT(ADDRESS(ROW($F9)-RSI_Periods +1, MATCH("Adj Close", Price_Header,0))): INDIRECT(ADDRESS(ROW($F9),MATCH("Adj Close", Price_Header,0)))))</f>
        <v/>
      </c>
      <c r="K9" s="149" t="str">
        <f ca="1">IF(tbl_WMT[[#This Row],[BB_Mean]]="", "", tbl_WMT[[#This Row],[BB_Mean]]+(2*tbl_WMT[[#This Row],[BB_Stdev]]))</f>
        <v/>
      </c>
      <c r="L9" s="149" t="str">
        <f ca="1">IF(tbl_WMT[[#This Row],[BB_Mean]]="", "", tbl_WMT[[#This Row],[BB_Mean]]-(2*tbl_WMT[[#This Row],[BB_Stdev]]))</f>
        <v/>
      </c>
      <c r="M9" s="150">
        <f>IF(ROW(tbl_WMT[[#This Row],[Adj Close]])=5, 0, $F9-$F8)</f>
        <v>-4.3000190000000202</v>
      </c>
      <c r="N9" s="150">
        <f>MAX(tbl_WMT[[#This Row],[Move]],0)</f>
        <v>0</v>
      </c>
      <c r="O9" s="150">
        <f>MAX(-tbl_WMT[[#This Row],[Move]],0)</f>
        <v>4.3000190000000202</v>
      </c>
      <c r="P9" s="150" t="str">
        <f ca="1">IF(ROW($N9)-5&lt;RSI_Periods, "", AVERAGE(INDIRECT(ADDRESS(ROW($N9)-RSI_Periods +1, MATCH("Upmove", Price_Header,0))): INDIRECT(ADDRESS(ROW($N9),MATCH("Upmove", Price_Header,0)))))</f>
        <v/>
      </c>
      <c r="Q9" s="150" t="str">
        <f ca="1">IF(ROW($O9)-5&lt;RSI_Periods, "", AVERAGE(INDIRECT(ADDRESS(ROW($O9)-RSI_Periods +1, MATCH("Downmove", Price_Header,0))): INDIRECT(ADDRESS(ROW($O9),MATCH("Downmove", Price_Header,0)))))</f>
        <v/>
      </c>
      <c r="R9" s="150" t="str">
        <f ca="1">IF(tbl_WMT[[#This Row],[Avg_Upmove]]="", "", tbl_WMT[[#This Row],[Avg_Upmove]]/tbl_WMT[[#This Row],[Avg_Downmove]])</f>
        <v/>
      </c>
      <c r="S9" s="149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130">
        <v>44060</v>
      </c>
      <c r="B10" s="149">
        <v>316.5</v>
      </c>
      <c r="C10" s="149">
        <v>318.01001000000002</v>
      </c>
      <c r="D10" s="149">
        <v>310.70001200000002</v>
      </c>
      <c r="E10" s="149">
        <v>314.10000600000001</v>
      </c>
      <c r="F10" s="149">
        <v>314.10000600000001</v>
      </c>
      <c r="G10" s="129">
        <v>2621500</v>
      </c>
      <c r="H10" s="149">
        <f>IF(tbl_WMT[[#This Row],[Date]]=$A$5, $F10, EMA_Beta*$H9 + (1-EMA_Beta)*$F10)</f>
        <v>303.01147532804998</v>
      </c>
      <c r="I10" s="151" t="str">
        <f ca="1">IF(tbl_WMT[[#This Row],[RS]]= "", "", 100-(100/(1+tbl_WMT[[#This Row],[RS]])))</f>
        <v/>
      </c>
      <c r="J10" s="149" t="str">
        <f ca="1">IF(ROW($N10)-4&lt;BB_Periods, "", AVERAGE(INDIRECT(ADDRESS(ROW($F10)-RSI_Periods +1, MATCH("Adj Close", Price_Header,0))): INDIRECT(ADDRESS(ROW($F10),MATCH("Adj Close", Price_Header,0)))))</f>
        <v/>
      </c>
      <c r="K10" s="149" t="str">
        <f ca="1">IF(tbl_WMT[[#This Row],[BB_Mean]]="", "", tbl_WMT[[#This Row],[BB_Mean]]+(2*tbl_WMT[[#This Row],[BB_Stdev]]))</f>
        <v/>
      </c>
      <c r="L10" s="149" t="str">
        <f ca="1">IF(tbl_WMT[[#This Row],[BB_Mean]]="", "", tbl_WMT[[#This Row],[BB_Mean]]-(2*tbl_WMT[[#This Row],[BB_Stdev]]))</f>
        <v/>
      </c>
      <c r="M10" s="150">
        <f>IF(ROW(tbl_WMT[[#This Row],[Adj Close]])=5, 0, $F10-$F9)</f>
        <v>4.1100160000000301</v>
      </c>
      <c r="N10" s="150">
        <f>MAX(tbl_WMT[[#This Row],[Move]],0)</f>
        <v>4.1100160000000301</v>
      </c>
      <c r="O10" s="150">
        <f>MAX(-tbl_WMT[[#This Row],[Move]],0)</f>
        <v>0</v>
      </c>
      <c r="P10" s="150" t="str">
        <f ca="1">IF(ROW($N10)-5&lt;RSI_Periods, "", AVERAGE(INDIRECT(ADDRESS(ROW($N10)-RSI_Periods +1, MATCH("Upmove", Price_Header,0))): INDIRECT(ADDRESS(ROW($N10),MATCH("Upmove", Price_Header,0)))))</f>
        <v/>
      </c>
      <c r="Q10" s="150" t="str">
        <f ca="1">IF(ROW($O10)-5&lt;RSI_Periods, "", AVERAGE(INDIRECT(ADDRESS(ROW($O10)-RSI_Periods +1, MATCH("Downmove", Price_Header,0))): INDIRECT(ADDRESS(ROW($O10),MATCH("Downmove", Price_Header,0)))))</f>
        <v/>
      </c>
      <c r="R10" s="150" t="str">
        <f ca="1">IF(tbl_WMT[[#This Row],[Avg_Upmove]]="", "", tbl_WMT[[#This Row],[Avg_Upmove]]/tbl_WMT[[#This Row],[Avg_Downmove]])</f>
        <v/>
      </c>
      <c r="S10" s="149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130">
        <v>44061</v>
      </c>
      <c r="B11" s="149">
        <v>314.47000100000002</v>
      </c>
      <c r="C11" s="149">
        <v>334.21099900000002</v>
      </c>
      <c r="D11" s="149">
        <v>314.07299799999998</v>
      </c>
      <c r="E11" s="149">
        <v>326.10000600000001</v>
      </c>
      <c r="F11" s="149">
        <v>326.10000600000001</v>
      </c>
      <c r="G11" s="129">
        <v>3290100</v>
      </c>
      <c r="H11" s="149">
        <f>IF(tbl_WMT[[#This Row],[Date]]=$A$5, $F11, EMA_Beta*$H10 + (1-EMA_Beta)*$F11)</f>
        <v>305.32032839524499</v>
      </c>
      <c r="I11" s="151" t="str">
        <f ca="1">IF(tbl_WMT[[#This Row],[RS]]= "", "", 100-(100/(1+tbl_WMT[[#This Row],[RS]])))</f>
        <v/>
      </c>
      <c r="J11" s="149" t="str">
        <f ca="1">IF(ROW($N11)-4&lt;BB_Periods, "", AVERAGE(INDIRECT(ADDRESS(ROW($F11)-RSI_Periods +1, MATCH("Adj Close", Price_Header,0))): INDIRECT(ADDRESS(ROW($F11),MATCH("Adj Close", Price_Header,0)))))</f>
        <v/>
      </c>
      <c r="K11" s="149" t="str">
        <f ca="1">IF(tbl_WMT[[#This Row],[BB_Mean]]="", "", tbl_WMT[[#This Row],[BB_Mean]]+(2*tbl_WMT[[#This Row],[BB_Stdev]]))</f>
        <v/>
      </c>
      <c r="L11" s="149" t="str">
        <f ca="1">IF(tbl_WMT[[#This Row],[BB_Mean]]="", "", tbl_WMT[[#This Row],[BB_Mean]]-(2*tbl_WMT[[#This Row],[BB_Stdev]]))</f>
        <v/>
      </c>
      <c r="M11" s="150">
        <f>IF(ROW(tbl_WMT[[#This Row],[Adj Close]])=5, 0, $F11-$F10)</f>
        <v>12</v>
      </c>
      <c r="N11" s="150">
        <f>MAX(tbl_WMT[[#This Row],[Move]],0)</f>
        <v>12</v>
      </c>
      <c r="O11" s="150">
        <f>MAX(-tbl_WMT[[#This Row],[Move]],0)</f>
        <v>0</v>
      </c>
      <c r="P11" s="150" t="str">
        <f ca="1">IF(ROW($N11)-5&lt;RSI_Periods, "", AVERAGE(INDIRECT(ADDRESS(ROW($N11)-RSI_Periods +1, MATCH("Upmove", Price_Header,0))): INDIRECT(ADDRESS(ROW($N11),MATCH("Upmove", Price_Header,0)))))</f>
        <v/>
      </c>
      <c r="Q11" s="150" t="str">
        <f ca="1">IF(ROW($O11)-5&lt;RSI_Periods, "", AVERAGE(INDIRECT(ADDRESS(ROW($O11)-RSI_Periods +1, MATCH("Downmove", Price_Header,0))): INDIRECT(ADDRESS(ROW($O11),MATCH("Downmove", Price_Header,0)))))</f>
        <v/>
      </c>
      <c r="R11" s="150" t="str">
        <f ca="1">IF(tbl_WMT[[#This Row],[Avg_Upmove]]="", "", tbl_WMT[[#This Row],[Avg_Upmove]]/tbl_WMT[[#This Row],[Avg_Downmove]])</f>
        <v/>
      </c>
      <c r="S11" s="149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130">
        <v>44062</v>
      </c>
      <c r="B12" s="149">
        <v>326</v>
      </c>
      <c r="C12" s="149">
        <v>339.80999800000001</v>
      </c>
      <c r="D12" s="149">
        <v>325.26001000000002</v>
      </c>
      <c r="E12" s="149">
        <v>333.01001000000002</v>
      </c>
      <c r="F12" s="149">
        <v>333.01001000000002</v>
      </c>
      <c r="G12" s="129">
        <v>2543500</v>
      </c>
      <c r="H12" s="149">
        <f>IF(tbl_WMT[[#This Row],[Date]]=$A$5, $F12, EMA_Beta*$H11 + (1-EMA_Beta)*$F12)</f>
        <v>308.08929655572047</v>
      </c>
      <c r="I12" s="151" t="str">
        <f ca="1">IF(tbl_WMT[[#This Row],[RS]]= "", "", 100-(100/(1+tbl_WMT[[#This Row],[RS]])))</f>
        <v/>
      </c>
      <c r="J12" s="149" t="str">
        <f ca="1">IF(ROW($N12)-4&lt;BB_Periods, "", AVERAGE(INDIRECT(ADDRESS(ROW($F12)-RSI_Periods +1, MATCH("Adj Close", Price_Header,0))): INDIRECT(ADDRESS(ROW($F12),MATCH("Adj Close", Price_Header,0)))))</f>
        <v/>
      </c>
      <c r="K12" s="149" t="str">
        <f ca="1">IF(tbl_WMT[[#This Row],[BB_Mean]]="", "", tbl_WMT[[#This Row],[BB_Mean]]+(2*tbl_WMT[[#This Row],[BB_Stdev]]))</f>
        <v/>
      </c>
      <c r="L12" s="149" t="str">
        <f ca="1">IF(tbl_WMT[[#This Row],[BB_Mean]]="", "", tbl_WMT[[#This Row],[BB_Mean]]-(2*tbl_WMT[[#This Row],[BB_Stdev]]))</f>
        <v/>
      </c>
      <c r="M12" s="150">
        <f>IF(ROW(tbl_WMT[[#This Row],[Adj Close]])=5, 0, $F12-$F11)</f>
        <v>6.9100040000000149</v>
      </c>
      <c r="N12" s="150">
        <f>MAX(tbl_WMT[[#This Row],[Move]],0)</f>
        <v>6.9100040000000149</v>
      </c>
      <c r="O12" s="150">
        <f>MAX(-tbl_WMT[[#This Row],[Move]],0)</f>
        <v>0</v>
      </c>
      <c r="P12" s="150" t="str">
        <f ca="1">IF(ROW($N12)-5&lt;RSI_Periods, "", AVERAGE(INDIRECT(ADDRESS(ROW($N12)-RSI_Periods +1, MATCH("Upmove", Price_Header,0))): INDIRECT(ADDRESS(ROW($N12),MATCH("Upmove", Price_Header,0)))))</f>
        <v/>
      </c>
      <c r="Q12" s="150" t="str">
        <f ca="1">IF(ROW($O12)-5&lt;RSI_Periods, "", AVERAGE(INDIRECT(ADDRESS(ROW($O12)-RSI_Periods +1, MATCH("Downmove", Price_Header,0))): INDIRECT(ADDRESS(ROW($O12),MATCH("Downmove", Price_Header,0)))))</f>
        <v/>
      </c>
      <c r="R12" s="150" t="str">
        <f ca="1">IF(tbl_WMT[[#This Row],[Avg_Upmove]]="", "", tbl_WMT[[#This Row],[Avg_Upmove]]/tbl_WMT[[#This Row],[Avg_Downmove]])</f>
        <v/>
      </c>
      <c r="S12" s="149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130">
        <v>44063</v>
      </c>
      <c r="B13" s="149">
        <v>331.10998499999999</v>
      </c>
      <c r="C13" s="149">
        <v>334.36999500000002</v>
      </c>
      <c r="D13" s="149">
        <v>326.23001099999999</v>
      </c>
      <c r="E13" s="149">
        <v>328.959991</v>
      </c>
      <c r="F13" s="149">
        <v>328.959991</v>
      </c>
      <c r="G13" s="129">
        <v>2585400</v>
      </c>
      <c r="H13" s="149">
        <f>IF(tbl_WMT[[#This Row],[Date]]=$A$5, $F13, EMA_Beta*$H12 + (1-EMA_Beta)*$F13)</f>
        <v>310.17636600014839</v>
      </c>
      <c r="I13" s="151" t="str">
        <f ca="1">IF(tbl_WMT[[#This Row],[RS]]= "", "", 100-(100/(1+tbl_WMT[[#This Row],[RS]])))</f>
        <v/>
      </c>
      <c r="J13" s="149" t="str">
        <f ca="1">IF(ROW($N13)-4&lt;BB_Periods, "", AVERAGE(INDIRECT(ADDRESS(ROW($F13)-RSI_Periods +1, MATCH("Adj Close", Price_Header,0))): INDIRECT(ADDRESS(ROW($F13),MATCH("Adj Close", Price_Header,0)))))</f>
        <v/>
      </c>
      <c r="K13" s="149" t="str">
        <f ca="1">IF(tbl_WMT[[#This Row],[BB_Mean]]="", "", tbl_WMT[[#This Row],[BB_Mean]]+(2*tbl_WMT[[#This Row],[BB_Stdev]]))</f>
        <v/>
      </c>
      <c r="L13" s="149" t="str">
        <f ca="1">IF(tbl_WMT[[#This Row],[BB_Mean]]="", "", tbl_WMT[[#This Row],[BB_Mean]]-(2*tbl_WMT[[#This Row],[BB_Stdev]]))</f>
        <v/>
      </c>
      <c r="M13" s="150">
        <f>IF(ROW(tbl_WMT[[#This Row],[Adj Close]])=5, 0, $F13-$F12)</f>
        <v>-4.0500190000000202</v>
      </c>
      <c r="N13" s="150">
        <f>MAX(tbl_WMT[[#This Row],[Move]],0)</f>
        <v>0</v>
      </c>
      <c r="O13" s="150">
        <f>MAX(-tbl_WMT[[#This Row],[Move]],0)</f>
        <v>4.0500190000000202</v>
      </c>
      <c r="P13" s="150" t="str">
        <f ca="1">IF(ROW($N13)-5&lt;RSI_Periods, "", AVERAGE(INDIRECT(ADDRESS(ROW($N13)-RSI_Periods +1, MATCH("Upmove", Price_Header,0))): INDIRECT(ADDRESS(ROW($N13),MATCH("Upmove", Price_Header,0)))))</f>
        <v/>
      </c>
      <c r="Q13" s="150" t="str">
        <f ca="1">IF(ROW($O13)-5&lt;RSI_Periods, "", AVERAGE(INDIRECT(ADDRESS(ROW($O13)-RSI_Periods +1, MATCH("Downmove", Price_Header,0))): INDIRECT(ADDRESS(ROW($O13),MATCH("Downmove", Price_Header,0)))))</f>
        <v/>
      </c>
      <c r="R13" s="150" t="str">
        <f ca="1">IF(tbl_WMT[[#This Row],[Avg_Upmove]]="", "", tbl_WMT[[#This Row],[Avg_Upmove]]/tbl_WMT[[#This Row],[Avg_Downmove]])</f>
        <v/>
      </c>
      <c r="S13" s="149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130">
        <v>44064</v>
      </c>
      <c r="B14" s="149">
        <v>329</v>
      </c>
      <c r="C14" s="149">
        <v>341.57998700000002</v>
      </c>
      <c r="D14" s="149">
        <v>326.41000400000001</v>
      </c>
      <c r="E14" s="149">
        <v>340.66000400000001</v>
      </c>
      <c r="F14" s="149">
        <v>340.66000400000001</v>
      </c>
      <c r="G14" s="129">
        <v>2205000</v>
      </c>
      <c r="H14" s="149">
        <f>IF(tbl_WMT[[#This Row],[Date]]=$A$5, $F14, EMA_Beta*$H13 + (1-EMA_Beta)*$F14)</f>
        <v>313.22472980013356</v>
      </c>
      <c r="I14" s="151" t="str">
        <f ca="1">IF(tbl_WMT[[#This Row],[RS]]= "", "", 100-(100/(1+tbl_WMT[[#This Row],[RS]])))</f>
        <v/>
      </c>
      <c r="J14" s="149" t="str">
        <f ca="1">IF(ROW($N14)-4&lt;BB_Periods, "", AVERAGE(INDIRECT(ADDRESS(ROW($F14)-RSI_Periods +1, MATCH("Adj Close", Price_Header,0))): INDIRECT(ADDRESS(ROW($F14),MATCH("Adj Close", Price_Header,0)))))</f>
        <v/>
      </c>
      <c r="K14" s="149" t="str">
        <f ca="1">IF(tbl_WMT[[#This Row],[BB_Mean]]="", "", tbl_WMT[[#This Row],[BB_Mean]]+(2*tbl_WMT[[#This Row],[BB_Stdev]]))</f>
        <v/>
      </c>
      <c r="L14" s="149" t="str">
        <f ca="1">IF(tbl_WMT[[#This Row],[BB_Mean]]="", "", tbl_WMT[[#This Row],[BB_Mean]]-(2*tbl_WMT[[#This Row],[BB_Stdev]]))</f>
        <v/>
      </c>
      <c r="M14" s="150">
        <f>IF(ROW(tbl_WMT[[#This Row],[Adj Close]])=5, 0, $F14-$F13)</f>
        <v>11.700013000000013</v>
      </c>
      <c r="N14" s="150">
        <f>MAX(tbl_WMT[[#This Row],[Move]],0)</f>
        <v>11.700013000000013</v>
      </c>
      <c r="O14" s="150">
        <f>MAX(-tbl_WMT[[#This Row],[Move]],0)</f>
        <v>0</v>
      </c>
      <c r="P14" s="150" t="str">
        <f ca="1">IF(ROW($N14)-5&lt;RSI_Periods, "", AVERAGE(INDIRECT(ADDRESS(ROW($N14)-RSI_Periods +1, MATCH("Upmove", Price_Header,0))): INDIRECT(ADDRESS(ROW($N14),MATCH("Upmove", Price_Header,0)))))</f>
        <v/>
      </c>
      <c r="Q14" s="150" t="str">
        <f ca="1">IF(ROW($O14)-5&lt;RSI_Periods, "", AVERAGE(INDIRECT(ADDRESS(ROW($O14)-RSI_Periods +1, MATCH("Downmove", Price_Header,0))): INDIRECT(ADDRESS(ROW($O14),MATCH("Downmove", Price_Header,0)))))</f>
        <v/>
      </c>
      <c r="R14" s="150" t="str">
        <f ca="1">IF(tbl_WMT[[#This Row],[Avg_Upmove]]="", "", tbl_WMT[[#This Row],[Avg_Upmove]]/tbl_WMT[[#This Row],[Avg_Downmove]])</f>
        <v/>
      </c>
      <c r="S14" s="149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130">
        <v>44067</v>
      </c>
      <c r="B15" s="149">
        <v>345.92999300000002</v>
      </c>
      <c r="C15" s="149">
        <v>349.08200099999999</v>
      </c>
      <c r="D15" s="149">
        <v>328</v>
      </c>
      <c r="E15" s="149">
        <v>338</v>
      </c>
      <c r="F15" s="149">
        <v>338</v>
      </c>
      <c r="G15" s="129">
        <v>1660800</v>
      </c>
      <c r="H15" s="149">
        <f>IF(tbl_WMT[[#This Row],[Date]]=$A$5, $F15, EMA_Beta*$H14 + (1-EMA_Beta)*$F15)</f>
        <v>315.70225682012023</v>
      </c>
      <c r="I15" s="151" t="str">
        <f ca="1">IF(tbl_WMT[[#This Row],[RS]]= "", "", 100-(100/(1+tbl_WMT[[#This Row],[RS]])))</f>
        <v/>
      </c>
      <c r="J15" s="149" t="str">
        <f ca="1">IF(ROW($N15)-4&lt;BB_Periods, "", AVERAGE(INDIRECT(ADDRESS(ROW($F15)-RSI_Periods +1, MATCH("Adj Close", Price_Header,0))): INDIRECT(ADDRESS(ROW($F15),MATCH("Adj Close", Price_Header,0)))))</f>
        <v/>
      </c>
      <c r="K15" s="149" t="str">
        <f ca="1">IF(tbl_WMT[[#This Row],[BB_Mean]]="", "", tbl_WMT[[#This Row],[BB_Mean]]+(2*tbl_WMT[[#This Row],[BB_Stdev]]))</f>
        <v/>
      </c>
      <c r="L15" s="149" t="str">
        <f ca="1">IF(tbl_WMT[[#This Row],[BB_Mean]]="", "", tbl_WMT[[#This Row],[BB_Mean]]-(2*tbl_WMT[[#This Row],[BB_Stdev]]))</f>
        <v/>
      </c>
      <c r="M15" s="150">
        <f>IF(ROW(tbl_WMT[[#This Row],[Adj Close]])=5, 0, $F15-$F14)</f>
        <v>-2.6600040000000149</v>
      </c>
      <c r="N15" s="150">
        <f>MAX(tbl_WMT[[#This Row],[Move]],0)</f>
        <v>0</v>
      </c>
      <c r="O15" s="150">
        <f>MAX(-tbl_WMT[[#This Row],[Move]],0)</f>
        <v>2.6600040000000149</v>
      </c>
      <c r="P15" s="150" t="str">
        <f ca="1">IF(ROW($N15)-5&lt;RSI_Periods, "", AVERAGE(INDIRECT(ADDRESS(ROW($N15)-RSI_Periods +1, MATCH("Upmove", Price_Header,0))): INDIRECT(ADDRESS(ROW($N15),MATCH("Upmove", Price_Header,0)))))</f>
        <v/>
      </c>
      <c r="Q15" s="150" t="str">
        <f ca="1">IF(ROW($O15)-5&lt;RSI_Periods, "", AVERAGE(INDIRECT(ADDRESS(ROW($O15)-RSI_Periods +1, MATCH("Downmove", Price_Header,0))): INDIRECT(ADDRESS(ROW($O15),MATCH("Downmove", Price_Header,0)))))</f>
        <v/>
      </c>
      <c r="R15" s="150" t="str">
        <f ca="1">IF(tbl_WMT[[#This Row],[Avg_Upmove]]="", "", tbl_WMT[[#This Row],[Avg_Upmove]]/tbl_WMT[[#This Row],[Avg_Downmove]])</f>
        <v/>
      </c>
      <c r="S15" s="149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130">
        <v>44068</v>
      </c>
      <c r="B16" s="149">
        <v>334.14999399999999</v>
      </c>
      <c r="C16" s="149">
        <v>339.89700299999998</v>
      </c>
      <c r="D16" s="149">
        <v>330.20001200000002</v>
      </c>
      <c r="E16" s="149">
        <v>338.05999800000001</v>
      </c>
      <c r="F16" s="149">
        <v>338.05999800000001</v>
      </c>
      <c r="G16" s="129">
        <v>1479500</v>
      </c>
      <c r="H16" s="149">
        <f>IF(tbl_WMT[[#This Row],[Date]]=$A$5, $F16, EMA_Beta*$H15 + (1-EMA_Beta)*$F16)</f>
        <v>317.93803093810823</v>
      </c>
      <c r="I16" s="151" t="str">
        <f ca="1">IF(tbl_WMT[[#This Row],[RS]]= "", "", 100-(100/(1+tbl_WMT[[#This Row],[RS]])))</f>
        <v/>
      </c>
      <c r="J16" s="149" t="str">
        <f ca="1">IF(ROW($N16)-4&lt;BB_Periods, "", AVERAGE(INDIRECT(ADDRESS(ROW($F16)-RSI_Periods +1, MATCH("Adj Close", Price_Header,0))): INDIRECT(ADDRESS(ROW($F16),MATCH("Adj Close", Price_Header,0)))))</f>
        <v/>
      </c>
      <c r="K16" s="149" t="str">
        <f ca="1">IF(tbl_WMT[[#This Row],[BB_Mean]]="", "", tbl_WMT[[#This Row],[BB_Mean]]+(2*tbl_WMT[[#This Row],[BB_Stdev]]))</f>
        <v/>
      </c>
      <c r="L16" s="149" t="str">
        <f ca="1">IF(tbl_WMT[[#This Row],[BB_Mean]]="", "", tbl_WMT[[#This Row],[BB_Mean]]-(2*tbl_WMT[[#This Row],[BB_Stdev]]))</f>
        <v/>
      </c>
      <c r="M16" s="150">
        <f>IF(ROW(tbl_WMT[[#This Row],[Adj Close]])=5, 0, $F16-$F15)</f>
        <v>5.9998000000007323E-2</v>
      </c>
      <c r="N16" s="150">
        <f>MAX(tbl_WMT[[#This Row],[Move]],0)</f>
        <v>5.9998000000007323E-2</v>
      </c>
      <c r="O16" s="150">
        <f>MAX(-tbl_WMT[[#This Row],[Move]],0)</f>
        <v>0</v>
      </c>
      <c r="P16" s="150" t="str">
        <f ca="1">IF(ROW($N16)-5&lt;RSI_Periods, "", AVERAGE(INDIRECT(ADDRESS(ROW($N16)-RSI_Periods +1, MATCH("Upmove", Price_Header,0))): INDIRECT(ADDRESS(ROW($N16),MATCH("Upmove", Price_Header,0)))))</f>
        <v/>
      </c>
      <c r="Q16" s="150" t="str">
        <f ca="1">IF(ROW($O16)-5&lt;RSI_Periods, "", AVERAGE(INDIRECT(ADDRESS(ROW($O16)-RSI_Periods +1, MATCH("Downmove", Price_Header,0))): INDIRECT(ADDRESS(ROW($O16),MATCH("Downmove", Price_Header,0)))))</f>
        <v/>
      </c>
      <c r="R16" s="150" t="str">
        <f ca="1">IF(tbl_WMT[[#This Row],[Avg_Upmove]]="", "", tbl_WMT[[#This Row],[Avg_Upmove]]/tbl_WMT[[#This Row],[Avg_Downmove]])</f>
        <v/>
      </c>
      <c r="S16" s="149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130">
        <v>44069</v>
      </c>
      <c r="B17" s="149">
        <v>339.30999800000001</v>
      </c>
      <c r="C17" s="149">
        <v>346.75</v>
      </c>
      <c r="D17" s="149">
        <v>337.30999800000001</v>
      </c>
      <c r="E17" s="149">
        <v>342.39999399999999</v>
      </c>
      <c r="F17" s="149">
        <v>342.39999399999999</v>
      </c>
      <c r="G17" s="129">
        <v>1589500</v>
      </c>
      <c r="H17" s="149">
        <f>IF(tbl_WMT[[#This Row],[Date]]=$A$5, $F17, EMA_Beta*$H16 + (1-EMA_Beta)*$F17)</f>
        <v>320.38422724429739</v>
      </c>
      <c r="I17" s="151" t="str">
        <f ca="1">IF(tbl_WMT[[#This Row],[RS]]= "", "", 100-(100/(1+tbl_WMT[[#This Row],[RS]])))</f>
        <v/>
      </c>
      <c r="J17" s="149" t="str">
        <f ca="1">IF(ROW($N17)-4&lt;BB_Periods, "", AVERAGE(INDIRECT(ADDRESS(ROW($F17)-RSI_Periods +1, MATCH("Adj Close", Price_Header,0))): INDIRECT(ADDRESS(ROW($F17),MATCH("Adj Close", Price_Header,0)))))</f>
        <v/>
      </c>
      <c r="K17" s="149" t="str">
        <f ca="1">IF(tbl_WMT[[#This Row],[BB_Mean]]="", "", tbl_WMT[[#This Row],[BB_Mean]]+(2*tbl_WMT[[#This Row],[BB_Stdev]]))</f>
        <v/>
      </c>
      <c r="L17" s="149" t="str">
        <f ca="1">IF(tbl_WMT[[#This Row],[BB_Mean]]="", "", tbl_WMT[[#This Row],[BB_Mean]]-(2*tbl_WMT[[#This Row],[BB_Stdev]]))</f>
        <v/>
      </c>
      <c r="M17" s="150">
        <f>IF(ROW(tbl_WMT[[#This Row],[Adj Close]])=5, 0, $F17-$F16)</f>
        <v>4.3399959999999851</v>
      </c>
      <c r="N17" s="150">
        <f>MAX(tbl_WMT[[#This Row],[Move]],0)</f>
        <v>4.3399959999999851</v>
      </c>
      <c r="O17" s="150">
        <f>MAX(-tbl_WMT[[#This Row],[Move]],0)</f>
        <v>0</v>
      </c>
      <c r="P17" s="150" t="str">
        <f ca="1">IF(ROW($N17)-5&lt;RSI_Periods, "", AVERAGE(INDIRECT(ADDRESS(ROW($N17)-RSI_Periods +1, MATCH("Upmove", Price_Header,0))): INDIRECT(ADDRESS(ROW($N17),MATCH("Upmove", Price_Header,0)))))</f>
        <v/>
      </c>
      <c r="Q17" s="150" t="str">
        <f ca="1">IF(ROW($O17)-5&lt;RSI_Periods, "", AVERAGE(INDIRECT(ADDRESS(ROW($O17)-RSI_Periods +1, MATCH("Downmove", Price_Header,0))): INDIRECT(ADDRESS(ROW($O17),MATCH("Downmove", Price_Header,0)))))</f>
        <v/>
      </c>
      <c r="R17" s="150" t="str">
        <f ca="1">IF(tbl_WMT[[#This Row],[Avg_Upmove]]="", "", tbl_WMT[[#This Row],[Avg_Upmove]]/tbl_WMT[[#This Row],[Avg_Downmove]])</f>
        <v/>
      </c>
      <c r="S17" s="149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130">
        <v>44070</v>
      </c>
      <c r="B18" s="149">
        <v>341.75</v>
      </c>
      <c r="C18" s="149">
        <v>342.540009</v>
      </c>
      <c r="D18" s="149">
        <v>325.89999399999999</v>
      </c>
      <c r="E18" s="149">
        <v>331.290009</v>
      </c>
      <c r="F18" s="149">
        <v>331.290009</v>
      </c>
      <c r="G18" s="129">
        <v>1905000</v>
      </c>
      <c r="H18" s="149">
        <f>IF(tbl_WMT[[#This Row],[Date]]=$A$5, $F18, EMA_Beta*$H17 + (1-EMA_Beta)*$F18)</f>
        <v>321.47480541986766</v>
      </c>
      <c r="I18" s="151" t="str">
        <f ca="1">IF(tbl_WMT[[#This Row],[RS]]= "", "", 100-(100/(1+tbl_WMT[[#This Row],[RS]])))</f>
        <v/>
      </c>
      <c r="J18" s="149">
        <f ca="1">IF(ROW($N18)-4&lt;BB_Periods, "", AVERAGE(INDIRECT(ADDRESS(ROW($F18)-RSI_Periods +1, MATCH("Adj Close", Price_Header,0))): INDIRECT(ADDRESS(ROW($F18),MATCH("Adj Close", Price_Header,0)))))</f>
        <v>323.26642942857148</v>
      </c>
      <c r="K18" s="149">
        <f ca="1">IF(tbl_WMT[[#This Row],[BB_Mean]]="", "", tbl_WMT[[#This Row],[BB_Mean]]+(2*tbl_WMT[[#This Row],[BB_Stdev]]))</f>
        <v>353.3780184356936</v>
      </c>
      <c r="L18" s="149">
        <f ca="1">IF(tbl_WMT[[#This Row],[BB_Mean]]="", "", tbl_WMT[[#This Row],[BB_Mean]]-(2*tbl_WMT[[#This Row],[BB_Stdev]]))</f>
        <v>293.15484042144936</v>
      </c>
      <c r="M18" s="150">
        <f>IF(ROW(tbl_WMT[[#This Row],[Adj Close]])=5, 0, $F18-$F17)</f>
        <v>-11.109984999999995</v>
      </c>
      <c r="N18" s="150">
        <f>MAX(tbl_WMT[[#This Row],[Move]],0)</f>
        <v>0</v>
      </c>
      <c r="O18" s="150">
        <f>MAX(-tbl_WMT[[#This Row],[Move]],0)</f>
        <v>11.109984999999995</v>
      </c>
      <c r="P18" s="150" t="str">
        <f ca="1">IF(ROW($N18)-5&lt;RSI_Periods, "", AVERAGE(INDIRECT(ADDRESS(ROW($N18)-RSI_Periods +1, MATCH("Upmove", Price_Header,0))): INDIRECT(ADDRESS(ROW($N18),MATCH("Upmove", Price_Header,0)))))</f>
        <v/>
      </c>
      <c r="Q18" s="150" t="str">
        <f ca="1">IF(ROW($O18)-5&lt;RSI_Periods, "", AVERAGE(INDIRECT(ADDRESS(ROW($O18)-RSI_Periods +1, MATCH("Downmove", Price_Header,0))): INDIRECT(ADDRESS(ROW($O18),MATCH("Downmove", Price_Header,0)))))</f>
        <v/>
      </c>
      <c r="R18" s="150" t="str">
        <f ca="1">IF(tbl_WMT[[#This Row],[Avg_Upmove]]="", "", tbl_WMT[[#This Row],[Avg_Upmove]]/tbl_WMT[[#This Row],[Avg_Downmove]])</f>
        <v/>
      </c>
      <c r="S18" s="149">
        <f ca="1">IF(ROW($N18)-4&lt;BB_Periods, "", _xlfn.STDEV.S(INDIRECT(ADDRESS(ROW($F18)-RSI_Periods +1, MATCH("Adj Close", Price_Header,0))): INDIRECT(ADDRESS(ROW($F18),MATCH("Adj Close", Price_Header,0)))))</f>
        <v>15.055794503561064</v>
      </c>
    </row>
    <row r="19" spans="1:19" x14ac:dyDescent="0.25">
      <c r="A19" s="130">
        <v>44071</v>
      </c>
      <c r="B19" s="149">
        <v>330</v>
      </c>
      <c r="C19" s="149">
        <v>333.98001099999999</v>
      </c>
      <c r="D19" s="149">
        <v>310.45001200000002</v>
      </c>
      <c r="E19" s="149">
        <v>310.94000199999999</v>
      </c>
      <c r="F19" s="149">
        <v>310.94000199999999</v>
      </c>
      <c r="G19" s="129">
        <v>2545400</v>
      </c>
      <c r="H19" s="149">
        <f>IF(tbl_WMT[[#This Row],[Date]]=$A$5, $F19, EMA_Beta*$H18 + (1-EMA_Beta)*$F19)</f>
        <v>320.42132507788091</v>
      </c>
      <c r="I19" s="151">
        <f ca="1">IF(tbl_WMT[[#This Row],[RS]]= "", "", 100-(100/(1+tbl_WMT[[#This Row],[RS]])))</f>
        <v>55.74293915947171</v>
      </c>
      <c r="J19" s="149">
        <f ca="1">IF(ROW($N19)-4&lt;BB_Periods, "", AVERAGE(INDIRECT(ADDRESS(ROW($F19)-RSI_Periods +1, MATCH("Adj Close", Price_Header,0))): INDIRECT(ADDRESS(ROW($F19),MATCH("Adj Close", Price_Header,0)))))</f>
        <v>324.1907152857143</v>
      </c>
      <c r="K19" s="149">
        <f ca="1">IF(tbl_WMT[[#This Row],[BB_Mean]]="", "", tbl_WMT[[#This Row],[BB_Mean]]+(2*tbl_WMT[[#This Row],[BB_Stdev]]))</f>
        <v>351.63794253521053</v>
      </c>
      <c r="L19" s="149">
        <f ca="1">IF(tbl_WMT[[#This Row],[BB_Mean]]="", "", tbl_WMT[[#This Row],[BB_Mean]]-(2*tbl_WMT[[#This Row],[BB_Stdev]]))</f>
        <v>296.74348803621808</v>
      </c>
      <c r="M19" s="150">
        <f>IF(ROW(tbl_WMT[[#This Row],[Adj Close]])=5, 0, $F19-$F18)</f>
        <v>-20.350007000000005</v>
      </c>
      <c r="N19" s="150">
        <f>MAX(tbl_WMT[[#This Row],[Move]],0)</f>
        <v>0</v>
      </c>
      <c r="O19" s="150">
        <f>MAX(-tbl_WMT[[#This Row],[Move]],0)</f>
        <v>20.350007000000005</v>
      </c>
      <c r="P19" s="150">
        <f ca="1">IF(ROW($N19)-5&lt;RSI_Periods, "", AVERAGE(INDIRECT(ADDRESS(ROW($N19)-RSI_Periods +1, MATCH("Upmove", Price_Header,0))): INDIRECT(ADDRESS(ROW($N19),MATCH("Upmove", Price_Header,0)))))</f>
        <v>4.4857179285714324</v>
      </c>
      <c r="Q19" s="150">
        <f ca="1">IF(ROW($O19)-5&lt;RSI_Periods, "", AVERAGE(INDIRECT(ADDRESS(ROW($O19)-RSI_Periods +1, MATCH("Downmove", Price_Header,0))): INDIRECT(ADDRESS(ROW($O19),MATCH("Downmove", Price_Header,0)))))</f>
        <v>3.5614320714285759</v>
      </c>
      <c r="R19" s="150">
        <f ca="1">IF(tbl_WMT[[#This Row],[Avg_Upmove]]="", "", tbl_WMT[[#This Row],[Avg_Upmove]]/tbl_WMT[[#This Row],[Avg_Downmove]])</f>
        <v>1.2595264597513727</v>
      </c>
      <c r="S19" s="149">
        <f ca="1">IF(ROW($N19)-4&lt;BB_Periods, "", _xlfn.STDEV.S(INDIRECT(ADDRESS(ROW($F19)-RSI_Periods +1, MATCH("Adj Close", Price_Header,0))): INDIRECT(ADDRESS(ROW($F19),MATCH("Adj Close", Price_Header,0)))))</f>
        <v>13.723613624748101</v>
      </c>
    </row>
    <row r="20" spans="1:19" x14ac:dyDescent="0.25">
      <c r="A20" s="130">
        <v>44074</v>
      </c>
      <c r="B20" s="149">
        <v>310.98998999999998</v>
      </c>
      <c r="C20" s="149">
        <v>311.459991</v>
      </c>
      <c r="D20" s="149">
        <v>287.30999800000001</v>
      </c>
      <c r="E20" s="149">
        <v>296.55999800000001</v>
      </c>
      <c r="F20" s="149">
        <v>296.55999800000001</v>
      </c>
      <c r="G20" s="129">
        <v>4239600</v>
      </c>
      <c r="H20" s="149">
        <f>IF(tbl_WMT[[#This Row],[Date]]=$A$5, $F20, EMA_Beta*$H19 + (1-EMA_Beta)*$F20)</f>
        <v>318.03519237009283</v>
      </c>
      <c r="I20" s="151">
        <f ca="1">IF(tbl_WMT[[#This Row],[RS]]= "", "", 100-(100/(1+tbl_WMT[[#This Row],[RS]])))</f>
        <v>44.577691198417504</v>
      </c>
      <c r="J20" s="149">
        <f ca="1">IF(ROW($N20)-4&lt;BB_Periods, "", AVERAGE(INDIRECT(ADDRESS(ROW($F20)-RSI_Periods +1, MATCH("Adj Close", Price_Header,0))): INDIRECT(ADDRESS(ROW($F20),MATCH("Adj Close", Price_Header,0)))))</f>
        <v>323.29285764285714</v>
      </c>
      <c r="K20" s="149">
        <f ca="1">IF(tbl_WMT[[#This Row],[BB_Mean]]="", "", tbl_WMT[[#This Row],[BB_Mean]]+(2*tbl_WMT[[#This Row],[BB_Stdev]]))</f>
        <v>353.54174262439227</v>
      </c>
      <c r="L20" s="149">
        <f ca="1">IF(tbl_WMT[[#This Row],[BB_Mean]]="", "", tbl_WMT[[#This Row],[BB_Mean]]-(2*tbl_WMT[[#This Row],[BB_Stdev]]))</f>
        <v>293.04397266132202</v>
      </c>
      <c r="M20" s="150">
        <f>IF(ROW(tbl_WMT[[#This Row],[Adj Close]])=5, 0, $F20-$F19)</f>
        <v>-14.380003999999985</v>
      </c>
      <c r="N20" s="150">
        <f>MAX(tbl_WMT[[#This Row],[Move]],0)</f>
        <v>0</v>
      </c>
      <c r="O20" s="150">
        <f>MAX(-tbl_WMT[[#This Row],[Move]],0)</f>
        <v>14.380003999999985</v>
      </c>
      <c r="P20" s="150">
        <f ca="1">IF(ROW($N20)-5&lt;RSI_Periods, "", AVERAGE(INDIRECT(ADDRESS(ROW($N20)-RSI_Periods +1, MATCH("Upmove", Price_Header,0))): INDIRECT(ADDRESS(ROW($N20),MATCH("Upmove", Price_Header,0)))))</f>
        <v>3.6907175714285763</v>
      </c>
      <c r="Q20" s="150">
        <f ca="1">IF(ROW($O20)-5&lt;RSI_Periods, "", AVERAGE(INDIRECT(ADDRESS(ROW($O20)-RSI_Periods +1, MATCH("Downmove", Price_Header,0))): INDIRECT(ADDRESS(ROW($O20),MATCH("Downmove", Price_Header,0)))))</f>
        <v>4.5885752142857177</v>
      </c>
      <c r="R20" s="150">
        <f ca="1">IF(tbl_WMT[[#This Row],[Avg_Upmove]]="", "", tbl_WMT[[#This Row],[Avg_Upmove]]/tbl_WMT[[#This Row],[Avg_Downmove]])</f>
        <v>0.80432757426274271</v>
      </c>
      <c r="S20" s="149">
        <f ca="1">IF(ROW($N20)-4&lt;BB_Periods, "", _xlfn.STDEV.S(INDIRECT(ADDRESS(ROW($F20)-RSI_Periods +1, MATCH("Adj Close", Price_Header,0))): INDIRECT(ADDRESS(ROW($F20),MATCH("Adj Close", Price_Header,0)))))</f>
        <v>15.124442490767573</v>
      </c>
    </row>
    <row r="21" spans="1:19" x14ac:dyDescent="0.25">
      <c r="A21" s="130">
        <v>44075</v>
      </c>
      <c r="B21" s="149">
        <v>298.5</v>
      </c>
      <c r="C21" s="149">
        <v>313.86999500000002</v>
      </c>
      <c r="D21" s="149">
        <v>297.30999800000001</v>
      </c>
      <c r="E21" s="149">
        <v>306.82998700000002</v>
      </c>
      <c r="F21" s="149">
        <v>306.82998700000002</v>
      </c>
      <c r="G21" s="129">
        <v>1708300</v>
      </c>
      <c r="H21" s="149">
        <f>IF(tbl_WMT[[#This Row],[Date]]=$A$5, $F21, EMA_Beta*$H20 + (1-EMA_Beta)*$F21)</f>
        <v>316.91467183308356</v>
      </c>
      <c r="I21" s="151">
        <f ca="1">IF(tbl_WMT[[#This Row],[RS]]= "", "", 100-(100/(1+tbl_WMT[[#This Row],[RS]])))</f>
        <v>52.142433652684112</v>
      </c>
      <c r="J21" s="149">
        <f ca="1">IF(ROW($N21)-4&lt;BB_Periods, "", AVERAGE(INDIRECT(ADDRESS(ROW($F21)-RSI_Periods +1, MATCH("Adj Close", Price_Header,0))): INDIRECT(ADDRESS(ROW($F21),MATCH("Adj Close", Price_Header,0)))))</f>
        <v>323.65642885714288</v>
      </c>
      <c r="K21" s="149">
        <f ca="1">IF(tbl_WMT[[#This Row],[BB_Mean]]="", "", tbl_WMT[[#This Row],[BB_Mean]]+(2*tbl_WMT[[#This Row],[BB_Stdev]]))</f>
        <v>352.89488255885294</v>
      </c>
      <c r="L21" s="149">
        <f ca="1">IF(tbl_WMT[[#This Row],[BB_Mean]]="", "", tbl_WMT[[#This Row],[BB_Mean]]-(2*tbl_WMT[[#This Row],[BB_Stdev]]))</f>
        <v>294.41797515543283</v>
      </c>
      <c r="M21" s="150">
        <f>IF(ROW(tbl_WMT[[#This Row],[Adj Close]])=5, 0, $F21-$F20)</f>
        <v>10.26998900000001</v>
      </c>
      <c r="N21" s="150">
        <f>MAX(tbl_WMT[[#This Row],[Move]],0)</f>
        <v>10.26998900000001</v>
      </c>
      <c r="O21" s="150">
        <f>MAX(-tbl_WMT[[#This Row],[Move]],0)</f>
        <v>0</v>
      </c>
      <c r="P21" s="150">
        <f ca="1">IF(ROW($N21)-5&lt;RSI_Periods, "", AVERAGE(INDIRECT(ADDRESS(ROW($N21)-RSI_Periods +1, MATCH("Upmove", Price_Header,0))): INDIRECT(ADDRESS(ROW($N21),MATCH("Upmove", Price_Header,0)))))</f>
        <v>4.4242882142857196</v>
      </c>
      <c r="Q21" s="150">
        <f ca="1">IF(ROW($O21)-5&lt;RSI_Periods, "", AVERAGE(INDIRECT(ADDRESS(ROW($O21)-RSI_Periods +1, MATCH("Downmove", Price_Header,0))): INDIRECT(ADDRESS(ROW($O21),MATCH("Downmove", Price_Header,0)))))</f>
        <v>4.060717000000003</v>
      </c>
      <c r="R21" s="150">
        <f ca="1">IF(tbl_WMT[[#This Row],[Avg_Upmove]]="", "", tbl_WMT[[#This Row],[Avg_Upmove]]/tbl_WMT[[#This Row],[Avg_Downmove]])</f>
        <v>1.0895337484207139</v>
      </c>
      <c r="S21" s="149">
        <f ca="1">IF(ROW($N21)-4&lt;BB_Periods, "", _xlfn.STDEV.S(INDIRECT(ADDRESS(ROW($F21)-RSI_Periods +1, MATCH("Adj Close", Price_Header,0))): INDIRECT(ADDRESS(ROW($F21),MATCH("Adj Close", Price_Header,0)))))</f>
        <v>14.619226850855036</v>
      </c>
    </row>
    <row r="22" spans="1:19" x14ac:dyDescent="0.25">
      <c r="A22" s="130">
        <v>44076</v>
      </c>
      <c r="B22" s="149">
        <v>311.01001000000002</v>
      </c>
      <c r="C22" s="149">
        <v>313</v>
      </c>
      <c r="D22" s="149">
        <v>288.01001000000002</v>
      </c>
      <c r="E22" s="149">
        <v>300.209991</v>
      </c>
      <c r="F22" s="149">
        <v>300.209991</v>
      </c>
      <c r="G22" s="129">
        <v>1955800</v>
      </c>
      <c r="H22" s="149">
        <f>IF(tbl_WMT[[#This Row],[Date]]=$A$5, $F22, EMA_Beta*$H21 + (1-EMA_Beta)*$F22)</f>
        <v>315.24420374977518</v>
      </c>
      <c r="I22" s="151">
        <f ca="1">IF(tbl_WMT[[#This Row],[RS]]= "", "", 100-(100/(1+tbl_WMT[[#This Row],[RS]])))</f>
        <v>43.762178024907847</v>
      </c>
      <c r="J22" s="149">
        <f ca="1">IF(ROW($N22)-4&lt;BB_Periods, "", AVERAGE(INDIRECT(ADDRESS(ROW($F22)-RSI_Periods +1, MATCH("Adj Close", Price_Header,0))): INDIRECT(ADDRESS(ROW($F22),MATCH("Adj Close", Price_Header,0)))))</f>
        <v>322.65071328571423</v>
      </c>
      <c r="K22" s="149">
        <f ca="1">IF(tbl_WMT[[#This Row],[BB_Mean]]="", "", tbl_WMT[[#This Row],[BB_Mean]]+(2*tbl_WMT[[#This Row],[BB_Stdev]]))</f>
        <v>354.15762804431131</v>
      </c>
      <c r="L22" s="149">
        <f ca="1">IF(tbl_WMT[[#This Row],[BB_Mean]]="", "", tbl_WMT[[#This Row],[BB_Mean]]-(2*tbl_WMT[[#This Row],[BB_Stdev]]))</f>
        <v>291.14379852711716</v>
      </c>
      <c r="M22" s="150">
        <f>IF(ROW(tbl_WMT[[#This Row],[Adj Close]])=5, 0, $F22-$F21)</f>
        <v>-6.6199960000000146</v>
      </c>
      <c r="N22" s="150">
        <f>MAX(tbl_WMT[[#This Row],[Move]],0)</f>
        <v>0</v>
      </c>
      <c r="O22" s="150">
        <f>MAX(-tbl_WMT[[#This Row],[Move]],0)</f>
        <v>6.6199960000000146</v>
      </c>
      <c r="P22" s="150">
        <f ca="1">IF(ROW($N22)-5&lt;RSI_Periods, "", AVERAGE(INDIRECT(ADDRESS(ROW($N22)-RSI_Periods +1, MATCH("Upmove", Price_Header,0))): INDIRECT(ADDRESS(ROW($N22),MATCH("Upmove", Price_Header,0)))))</f>
        <v>3.5278582857142902</v>
      </c>
      <c r="Q22" s="150">
        <f ca="1">IF(ROW($O22)-5&lt;RSI_Periods, "", AVERAGE(INDIRECT(ADDRESS(ROW($O22)-RSI_Periods +1, MATCH("Downmove", Price_Header,0))): INDIRECT(ADDRESS(ROW($O22),MATCH("Downmove", Price_Header,0)))))</f>
        <v>4.5335738571428612</v>
      </c>
      <c r="R22" s="150">
        <f ca="1">IF(tbl_WMT[[#This Row],[Avg_Upmove]]="", "", tbl_WMT[[#This Row],[Avg_Upmove]]/tbl_WMT[[#This Row],[Avg_Downmove]])</f>
        <v>0.77816274684837916</v>
      </c>
      <c r="S22" s="149">
        <f ca="1">IF(ROW($N22)-4&lt;BB_Periods, "", _xlfn.STDEV.S(INDIRECT(ADDRESS(ROW($F22)-RSI_Periods +1, MATCH("Adj Close", Price_Header,0))): INDIRECT(ADDRESS(ROW($F22),MATCH("Adj Close", Price_Header,0)))))</f>
        <v>15.753457379298524</v>
      </c>
    </row>
    <row r="23" spans="1:19" x14ac:dyDescent="0.25">
      <c r="A23" s="130">
        <v>44077</v>
      </c>
      <c r="B23" s="149">
        <v>287.54998799999998</v>
      </c>
      <c r="C23" s="149">
        <v>292.790009</v>
      </c>
      <c r="D23" s="149">
        <v>273.08999599999999</v>
      </c>
      <c r="E23" s="149">
        <v>275.70001200000002</v>
      </c>
      <c r="F23" s="149">
        <v>275.70001200000002</v>
      </c>
      <c r="G23" s="129">
        <v>2800100</v>
      </c>
      <c r="H23" s="149">
        <f>IF(tbl_WMT[[#This Row],[Date]]=$A$5, $F23, EMA_Beta*$H22 + (1-EMA_Beta)*$F23)</f>
        <v>311.28978457479764</v>
      </c>
      <c r="I23" s="151">
        <f ca="1">IF(tbl_WMT[[#This Row],[RS]]= "", "", 100-(100/(1+tbl_WMT[[#This Row],[RS]])))</f>
        <v>37.115812946884148</v>
      </c>
      <c r="J23" s="149">
        <f ca="1">IF(ROW($N23)-4&lt;BB_Periods, "", AVERAGE(INDIRECT(ADDRESS(ROW($F23)-RSI_Periods +1, MATCH("Adj Close", Price_Header,0))): INDIRECT(ADDRESS(ROW($F23),MATCH("Adj Close", Price_Header,0)))))</f>
        <v>320.20142914285714</v>
      </c>
      <c r="K23" s="149">
        <f ca="1">IF(tbl_WMT[[#This Row],[BB_Mean]]="", "", tbl_WMT[[#This Row],[BB_Mean]]+(2*tbl_WMT[[#This Row],[BB_Stdev]]))</f>
        <v>360.14876751552549</v>
      </c>
      <c r="L23" s="149">
        <f ca="1">IF(tbl_WMT[[#This Row],[BB_Mean]]="", "", tbl_WMT[[#This Row],[BB_Mean]]-(2*tbl_WMT[[#This Row],[BB_Stdev]]))</f>
        <v>280.25409077018878</v>
      </c>
      <c r="M23" s="150">
        <f>IF(ROW(tbl_WMT[[#This Row],[Adj Close]])=5, 0, $F23-$F22)</f>
        <v>-24.509978999999987</v>
      </c>
      <c r="N23" s="150">
        <f>MAX(tbl_WMT[[#This Row],[Move]],0)</f>
        <v>0</v>
      </c>
      <c r="O23" s="150">
        <f>MAX(-tbl_WMT[[#This Row],[Move]],0)</f>
        <v>24.509978999999987</v>
      </c>
      <c r="P23" s="150">
        <f ca="1">IF(ROW($N23)-5&lt;RSI_Periods, "", AVERAGE(INDIRECT(ADDRESS(ROW($N23)-RSI_Periods +1, MATCH("Upmove", Price_Header,0))): INDIRECT(ADDRESS(ROW($N23),MATCH("Upmove", Price_Header,0)))))</f>
        <v>3.5278582857142902</v>
      </c>
      <c r="Q23" s="150">
        <f ca="1">IF(ROW($O23)-5&lt;RSI_Periods, "", AVERAGE(INDIRECT(ADDRESS(ROW($O23)-RSI_Periods +1, MATCH("Downmove", Price_Header,0))): INDIRECT(ADDRESS(ROW($O23),MATCH("Downmove", Price_Header,0)))))</f>
        <v>5.9771424285714305</v>
      </c>
      <c r="R23" s="150">
        <f ca="1">IF(tbl_WMT[[#This Row],[Avg_Upmove]]="", "", tbl_WMT[[#This Row],[Avg_Upmove]]/tbl_WMT[[#This Row],[Avg_Downmove]])</f>
        <v>0.59022489891669982</v>
      </c>
      <c r="S23" s="149">
        <f ca="1">IF(ROW($N23)-4&lt;BB_Periods, "", _xlfn.STDEV.S(INDIRECT(ADDRESS(ROW($F23)-RSI_Periods +1, MATCH("Adj Close", Price_Header,0))): INDIRECT(ADDRESS(ROW($F23),MATCH("Adj Close", Price_Header,0)))))</f>
        <v>19.973669186334178</v>
      </c>
    </row>
    <row r="24" spans="1:19" x14ac:dyDescent="0.25">
      <c r="A24" s="130">
        <v>44078</v>
      </c>
      <c r="B24" s="149">
        <v>265.70001200000002</v>
      </c>
      <c r="C24" s="149">
        <v>271.959991</v>
      </c>
      <c r="D24" s="149">
        <v>234.64999399999999</v>
      </c>
      <c r="E24" s="149">
        <v>260.94000199999999</v>
      </c>
      <c r="F24" s="149">
        <v>260.94000199999999</v>
      </c>
      <c r="G24" s="129">
        <v>4850200</v>
      </c>
      <c r="H24" s="149">
        <f>IF(tbl_WMT[[#This Row],[Date]]=$A$5, $F24, EMA_Beta*$H23 + (1-EMA_Beta)*$F24)</f>
        <v>306.25480631731784</v>
      </c>
      <c r="I24" s="151">
        <f ca="1">IF(tbl_WMT[[#This Row],[RS]]= "", "", 100-(100/(1+tbl_WMT[[#This Row],[RS]])))</f>
        <v>31.505704661683708</v>
      </c>
      <c r="J24" s="149">
        <f ca="1">IF(ROW($N24)-4&lt;BB_Periods, "", AVERAGE(INDIRECT(ADDRESS(ROW($F24)-RSI_Periods +1, MATCH("Adj Close", Price_Header,0))): INDIRECT(ADDRESS(ROW($F24),MATCH("Adj Close", Price_Header,0)))))</f>
        <v>316.40428600000001</v>
      </c>
      <c r="K24" s="149">
        <f ca="1">IF(tbl_WMT[[#This Row],[BB_Mean]]="", "", tbl_WMT[[#This Row],[BB_Mean]]+(2*tbl_WMT[[#This Row],[BB_Stdev]]))</f>
        <v>367.42208147124444</v>
      </c>
      <c r="L24" s="149">
        <f ca="1">IF(tbl_WMT[[#This Row],[BB_Mean]]="", "", tbl_WMT[[#This Row],[BB_Mean]]-(2*tbl_WMT[[#This Row],[BB_Stdev]]))</f>
        <v>265.38649052875559</v>
      </c>
      <c r="M24" s="150">
        <f>IF(ROW(tbl_WMT[[#This Row],[Adj Close]])=5, 0, $F24-$F23)</f>
        <v>-14.760010000000023</v>
      </c>
      <c r="N24" s="150">
        <f>MAX(tbl_WMT[[#This Row],[Move]],0)</f>
        <v>0</v>
      </c>
      <c r="O24" s="150">
        <f>MAX(-tbl_WMT[[#This Row],[Move]],0)</f>
        <v>14.760010000000023</v>
      </c>
      <c r="P24" s="150">
        <f ca="1">IF(ROW($N24)-5&lt;RSI_Periods, "", AVERAGE(INDIRECT(ADDRESS(ROW($N24)-RSI_Periods +1, MATCH("Upmove", Price_Header,0))): INDIRECT(ADDRESS(ROW($N24),MATCH("Upmove", Price_Header,0)))))</f>
        <v>3.2342857142857162</v>
      </c>
      <c r="Q24" s="150">
        <f ca="1">IF(ROW($O24)-5&lt;RSI_Periods, "", AVERAGE(INDIRECT(ADDRESS(ROW($O24)-RSI_Periods +1, MATCH("Downmove", Price_Header,0))): INDIRECT(ADDRESS(ROW($O24),MATCH("Downmove", Price_Header,0)))))</f>
        <v>7.0314288571428607</v>
      </c>
      <c r="R24" s="150">
        <f ca="1">IF(tbl_WMT[[#This Row],[Avg_Upmove]]="", "", tbl_WMT[[#This Row],[Avg_Upmove]]/tbl_WMT[[#This Row],[Avg_Downmove]])</f>
        <v>0.45997560097620477</v>
      </c>
      <c r="S24" s="149">
        <f ca="1">IF(ROW($N24)-4&lt;BB_Periods, "", _xlfn.STDEV.S(INDIRECT(ADDRESS(ROW($F24)-RSI_Periods +1, MATCH("Adj Close", Price_Header,0))): INDIRECT(ADDRESS(ROW($F24),MATCH("Adj Close", Price_Header,0)))))</f>
        <v>25.508897735622213</v>
      </c>
    </row>
    <row r="25" spans="1:19" x14ac:dyDescent="0.25">
      <c r="A25" s="130">
        <v>44082</v>
      </c>
      <c r="B25" s="149">
        <v>246</v>
      </c>
      <c r="C25" s="149">
        <v>270.02499399999999</v>
      </c>
      <c r="D25" s="149">
        <v>242.509995</v>
      </c>
      <c r="E25" s="149">
        <v>252.08000200000001</v>
      </c>
      <c r="F25" s="149">
        <v>252.08000200000001</v>
      </c>
      <c r="G25" s="129">
        <v>2321200</v>
      </c>
      <c r="H25" s="149">
        <f>IF(tbl_WMT[[#This Row],[Date]]=$A$5, $F25, EMA_Beta*$H24 + (1-EMA_Beta)*$F25)</f>
        <v>300.8373258855861</v>
      </c>
      <c r="I25" s="151">
        <f ca="1">IF(tbl_WMT[[#This Row],[RS]]= "", "", 100-(100/(1+tbl_WMT[[#This Row],[RS]])))</f>
        <v>23.673352577227135</v>
      </c>
      <c r="J25" s="149">
        <f ca="1">IF(ROW($N25)-4&lt;BB_Periods, "", AVERAGE(INDIRECT(ADDRESS(ROW($F25)-RSI_Periods +1, MATCH("Adj Close", Price_Header,0))): INDIRECT(ADDRESS(ROW($F25),MATCH("Adj Close", Price_Header,0)))))</f>
        <v>311.11714285714288</v>
      </c>
      <c r="K25" s="149">
        <f ca="1">IF(tbl_WMT[[#This Row],[BB_Mean]]="", "", tbl_WMT[[#This Row],[BB_Mean]]+(2*tbl_WMT[[#This Row],[BB_Stdev]]))</f>
        <v>372.16290727175743</v>
      </c>
      <c r="L25" s="149">
        <f ca="1">IF(tbl_WMT[[#This Row],[BB_Mean]]="", "", tbl_WMT[[#This Row],[BB_Mean]]-(2*tbl_WMT[[#This Row],[BB_Stdev]]))</f>
        <v>250.07137844252833</v>
      </c>
      <c r="M25" s="150">
        <f>IF(ROW(tbl_WMT[[#This Row],[Adj Close]])=5, 0, $F25-$F24)</f>
        <v>-8.8599999999999852</v>
      </c>
      <c r="N25" s="150">
        <f>MAX(tbl_WMT[[#This Row],[Move]],0)</f>
        <v>0</v>
      </c>
      <c r="O25" s="150">
        <f>MAX(-tbl_WMT[[#This Row],[Move]],0)</f>
        <v>8.8599999999999852</v>
      </c>
      <c r="P25" s="150">
        <f ca="1">IF(ROW($N25)-5&lt;RSI_Periods, "", AVERAGE(INDIRECT(ADDRESS(ROW($N25)-RSI_Periods +1, MATCH("Upmove", Price_Header,0))): INDIRECT(ADDRESS(ROW($N25),MATCH("Upmove", Price_Header,0)))))</f>
        <v>2.3771428571428594</v>
      </c>
      <c r="Q25" s="150">
        <f ca="1">IF(ROW($O25)-5&lt;RSI_Periods, "", AVERAGE(INDIRECT(ADDRESS(ROW($O25)-RSI_Periods +1, MATCH("Downmove", Price_Header,0))): INDIRECT(ADDRESS(ROW($O25),MATCH("Downmove", Price_Header,0)))))</f>
        <v>7.6642860000000024</v>
      </c>
      <c r="R25" s="150">
        <f ca="1">IF(tbl_WMT[[#This Row],[Avg_Upmove]]="", "", tbl_WMT[[#This Row],[Avg_Upmove]]/tbl_WMT[[#This Row],[Avg_Downmove]])</f>
        <v>0.31015842273407579</v>
      </c>
      <c r="S25" s="149">
        <f ca="1">IF(ROW($N25)-4&lt;BB_Periods, "", _xlfn.STDEV.S(INDIRECT(ADDRESS(ROW($F25)-RSI_Periods +1, MATCH("Adj Close", Price_Header,0))): INDIRECT(ADDRESS(ROW($F25),MATCH("Adj Close", Price_Header,0)))))</f>
        <v>30.522882207307273</v>
      </c>
    </row>
    <row r="26" spans="1:19" x14ac:dyDescent="0.25">
      <c r="A26" s="130">
        <v>44083</v>
      </c>
      <c r="B26" s="149">
        <v>258.57000699999998</v>
      </c>
      <c r="C26" s="149">
        <v>266.39001500000001</v>
      </c>
      <c r="D26" s="149">
        <v>251.330994</v>
      </c>
      <c r="E26" s="149">
        <v>258.30999800000001</v>
      </c>
      <c r="F26" s="149">
        <v>258.30999800000001</v>
      </c>
      <c r="G26" s="129">
        <v>1737700</v>
      </c>
      <c r="H26" s="149">
        <f>IF(tbl_WMT[[#This Row],[Date]]=$A$5, $F26, EMA_Beta*$H25 + (1-EMA_Beta)*$F26)</f>
        <v>296.58459309702749</v>
      </c>
      <c r="I26" s="151">
        <f ca="1">IF(tbl_WMT[[#This Row],[RS]]= "", "", 100-(100/(1+tbl_WMT[[#This Row],[RS]])))</f>
        <v>23.30235377562127</v>
      </c>
      <c r="J26" s="149">
        <f ca="1">IF(ROW($N26)-4&lt;BB_Periods, "", AVERAGE(INDIRECT(ADDRESS(ROW($F26)-RSI_Periods +1, MATCH("Adj Close", Price_Header,0))): INDIRECT(ADDRESS(ROW($F26),MATCH("Adj Close", Price_Header,0)))))</f>
        <v>305.78142771428571</v>
      </c>
      <c r="K26" s="149">
        <f ca="1">IF(tbl_WMT[[#This Row],[BB_Mean]]="", "", tbl_WMT[[#This Row],[BB_Mean]]+(2*tbl_WMT[[#This Row],[BB_Stdev]]))</f>
        <v>371.46627277160565</v>
      </c>
      <c r="L26" s="149">
        <f ca="1">IF(tbl_WMT[[#This Row],[BB_Mean]]="", "", tbl_WMT[[#This Row],[BB_Mean]]-(2*tbl_WMT[[#This Row],[BB_Stdev]]))</f>
        <v>240.09658265696575</v>
      </c>
      <c r="M26" s="150">
        <f>IF(ROW(tbl_WMT[[#This Row],[Adj Close]])=5, 0, $F26-$F25)</f>
        <v>6.2299959999999999</v>
      </c>
      <c r="N26" s="150">
        <f>MAX(tbl_WMT[[#This Row],[Move]],0)</f>
        <v>6.2299959999999999</v>
      </c>
      <c r="O26" s="150">
        <f>MAX(-tbl_WMT[[#This Row],[Move]],0)</f>
        <v>0</v>
      </c>
      <c r="P26" s="150">
        <f ca="1">IF(ROW($N26)-5&lt;RSI_Periods, "", AVERAGE(INDIRECT(ADDRESS(ROW($N26)-RSI_Periods +1, MATCH("Upmove", Price_Header,0))): INDIRECT(ADDRESS(ROW($N26),MATCH("Upmove", Price_Header,0)))))</f>
        <v>2.3285708571428581</v>
      </c>
      <c r="Q26" s="150">
        <f ca="1">IF(ROW($O26)-5&lt;RSI_Periods, "", AVERAGE(INDIRECT(ADDRESS(ROW($O26)-RSI_Periods +1, MATCH("Downmove", Price_Header,0))): INDIRECT(ADDRESS(ROW($O26),MATCH("Downmove", Price_Header,0)))))</f>
        <v>7.6642860000000024</v>
      </c>
      <c r="R26" s="150">
        <f ca="1">IF(tbl_WMT[[#This Row],[Avg_Upmove]]="", "", tbl_WMT[[#This Row],[Avg_Upmove]]/tbl_WMT[[#This Row],[Avg_Downmove]])</f>
        <v>0.3038209765583979</v>
      </c>
      <c r="S26" s="149">
        <f ca="1">IF(ROW($N26)-4&lt;BB_Periods, "", _xlfn.STDEV.S(INDIRECT(ADDRESS(ROW($F26)-RSI_Periods +1, MATCH("Adj Close", Price_Header,0))): INDIRECT(ADDRESS(ROW($F26),MATCH("Adj Close", Price_Header,0)))))</f>
        <v>32.842422528659981</v>
      </c>
    </row>
    <row r="27" spans="1:19" x14ac:dyDescent="0.25">
      <c r="A27" s="130">
        <v>44084</v>
      </c>
      <c r="B27" s="149">
        <v>272.60000600000001</v>
      </c>
      <c r="C27" s="149">
        <v>296.85998499999999</v>
      </c>
      <c r="D27" s="149">
        <v>261.69000199999999</v>
      </c>
      <c r="E27" s="149">
        <v>264.60998499999999</v>
      </c>
      <c r="F27" s="149">
        <v>264.60998499999999</v>
      </c>
      <c r="G27" s="129">
        <v>4921900</v>
      </c>
      <c r="H27" s="149">
        <f>IF(tbl_WMT[[#This Row],[Date]]=$A$5, $F27, EMA_Beta*$H26 + (1-EMA_Beta)*$F27)</f>
        <v>293.38713228732479</v>
      </c>
      <c r="I27" s="151">
        <f ca="1">IF(tbl_WMT[[#This Row],[RS]]= "", "", 100-(100/(1+tbl_WMT[[#This Row],[RS]])))</f>
        <v>27.365451179431886</v>
      </c>
      <c r="J27" s="149">
        <f ca="1">IF(ROW($N27)-4&lt;BB_Periods, "", AVERAGE(INDIRECT(ADDRESS(ROW($F27)-RSI_Periods +1, MATCH("Adj Close", Price_Header,0))): INDIRECT(ADDRESS(ROW($F27),MATCH("Adj Close", Price_Header,0)))))</f>
        <v>301.18499871428577</v>
      </c>
      <c r="K27" s="149">
        <f ca="1">IF(tbl_WMT[[#This Row],[BB_Mean]]="", "", tbl_WMT[[#This Row],[BB_Mean]]+(2*tbl_WMT[[#This Row],[BB_Stdev]]))</f>
        <v>368.85883866312963</v>
      </c>
      <c r="L27" s="149">
        <f ca="1">IF(tbl_WMT[[#This Row],[BB_Mean]]="", "", tbl_WMT[[#This Row],[BB_Mean]]-(2*tbl_WMT[[#This Row],[BB_Stdev]]))</f>
        <v>233.51115876544191</v>
      </c>
      <c r="M27" s="150">
        <f>IF(ROW(tbl_WMT[[#This Row],[Adj Close]])=5, 0, $F27-$F26)</f>
        <v>6.2999869999999873</v>
      </c>
      <c r="N27" s="150">
        <f>MAX(tbl_WMT[[#This Row],[Move]],0)</f>
        <v>6.2999869999999873</v>
      </c>
      <c r="O27" s="150">
        <f>MAX(-tbl_WMT[[#This Row],[Move]],0)</f>
        <v>0</v>
      </c>
      <c r="P27" s="150">
        <f ca="1">IF(ROW($N27)-5&lt;RSI_Periods, "", AVERAGE(INDIRECT(ADDRESS(ROW($N27)-RSI_Periods +1, MATCH("Upmove", Price_Header,0))): INDIRECT(ADDRESS(ROW($N27),MATCH("Upmove", Price_Header,0)))))</f>
        <v>2.7785699285714287</v>
      </c>
      <c r="Q27" s="150">
        <f ca="1">IF(ROW($O27)-5&lt;RSI_Periods, "", AVERAGE(INDIRECT(ADDRESS(ROW($O27)-RSI_Periods +1, MATCH("Downmove", Price_Header,0))): INDIRECT(ADDRESS(ROW($O27),MATCH("Downmove", Price_Header,0)))))</f>
        <v>7.3749989285714292</v>
      </c>
      <c r="R27" s="150">
        <f ca="1">IF(tbl_WMT[[#This Row],[Avg_Upmove]]="", "", tbl_WMT[[#This Row],[Avg_Upmove]]/tbl_WMT[[#This Row],[Avg_Downmove]])</f>
        <v>0.37675529928648416</v>
      </c>
      <c r="S27" s="149">
        <f ca="1">IF(ROW($N27)-4&lt;BB_Periods, "", _xlfn.STDEV.S(INDIRECT(ADDRESS(ROW($F27)-RSI_Periods +1, MATCH("Adj Close", Price_Header,0))): INDIRECT(ADDRESS(ROW($F27),MATCH("Adj Close", Price_Header,0)))))</f>
        <v>33.836919974421924</v>
      </c>
    </row>
    <row r="28" spans="1:19" x14ac:dyDescent="0.25">
      <c r="A28" s="130">
        <v>44085</v>
      </c>
      <c r="B28" s="149">
        <v>266.45001200000002</v>
      </c>
      <c r="C28" s="149">
        <v>273.44000199999999</v>
      </c>
      <c r="D28" s="149">
        <v>245.949997</v>
      </c>
      <c r="E28" s="149">
        <v>252.279999</v>
      </c>
      <c r="F28" s="149">
        <v>252.279999</v>
      </c>
      <c r="G28" s="129">
        <v>2498700</v>
      </c>
      <c r="H28" s="149">
        <f>IF(tbl_WMT[[#This Row],[Date]]=$A$5, $F28, EMA_Beta*$H27 + (1-EMA_Beta)*$F28)</f>
        <v>289.27641895859233</v>
      </c>
      <c r="I28" s="151">
        <f ca="1">IF(tbl_WMT[[#This Row],[RS]]= "", "", 100-(100/(1+tbl_WMT[[#This Row],[RS]])))</f>
        <v>19.050271747913712</v>
      </c>
      <c r="J28" s="149">
        <f ca="1">IF(ROW($N28)-4&lt;BB_Periods, "", AVERAGE(INDIRECT(ADDRESS(ROW($F28)-RSI_Periods +1, MATCH("Adj Close", Price_Header,0))): INDIRECT(ADDRESS(ROW($F28),MATCH("Adj Close", Price_Header,0)))))</f>
        <v>294.87214121428576</v>
      </c>
      <c r="K28" s="149">
        <f ca="1">IF(tbl_WMT[[#This Row],[BB_Mean]]="", "", tbl_WMT[[#This Row],[BB_Mean]]+(2*tbl_WMT[[#This Row],[BB_Stdev]]))</f>
        <v>363.16940001940492</v>
      </c>
      <c r="L28" s="149">
        <f ca="1">IF(tbl_WMT[[#This Row],[BB_Mean]]="", "", tbl_WMT[[#This Row],[BB_Mean]]-(2*tbl_WMT[[#This Row],[BB_Stdev]]))</f>
        <v>226.57488240916661</v>
      </c>
      <c r="M28" s="150">
        <f>IF(ROW(tbl_WMT[[#This Row],[Adj Close]])=5, 0, $F28-$F27)</f>
        <v>-12.329985999999991</v>
      </c>
      <c r="N28" s="150">
        <f>MAX(tbl_WMT[[#This Row],[Move]],0)</f>
        <v>0</v>
      </c>
      <c r="O28" s="150">
        <f>MAX(-tbl_WMT[[#This Row],[Move]],0)</f>
        <v>12.329985999999991</v>
      </c>
      <c r="P28" s="150">
        <f ca="1">IF(ROW($N28)-5&lt;RSI_Periods, "", AVERAGE(INDIRECT(ADDRESS(ROW($N28)-RSI_Periods +1, MATCH("Upmove", Price_Header,0))): INDIRECT(ADDRESS(ROW($N28),MATCH("Upmove", Price_Header,0)))))</f>
        <v>1.9428547142857135</v>
      </c>
      <c r="Q28" s="150">
        <f ca="1">IF(ROW($O28)-5&lt;RSI_Periods, "", AVERAGE(INDIRECT(ADDRESS(ROW($O28)-RSI_Periods +1, MATCH("Downmove", Price_Header,0))): INDIRECT(ADDRESS(ROW($O28),MATCH("Downmove", Price_Header,0)))))</f>
        <v>8.2557122142857136</v>
      </c>
      <c r="R28" s="150">
        <f ca="1">IF(tbl_WMT[[#This Row],[Avg_Upmove]]="", "", tbl_WMT[[#This Row],[Avg_Upmove]]/tbl_WMT[[#This Row],[Avg_Downmove]])</f>
        <v>0.23533459789499334</v>
      </c>
      <c r="S28" s="149">
        <f ca="1">IF(ROW($N28)-4&lt;BB_Periods, "", _xlfn.STDEV.S(INDIRECT(ADDRESS(ROW($F28)-RSI_Periods +1, MATCH("Adj Close", Price_Header,0))): INDIRECT(ADDRESS(ROW($F28),MATCH("Adj Close", Price_Header,0)))))</f>
        <v>34.148629402559578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Q13" sqref="Q13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169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s="129" t="s">
        <v>58</v>
      </c>
      <c r="B4" s="129" t="s">
        <v>75</v>
      </c>
      <c r="C4" s="129" t="s">
        <v>76</v>
      </c>
      <c r="D4" s="129" t="s">
        <v>77</v>
      </c>
      <c r="E4" s="129" t="s">
        <v>78</v>
      </c>
      <c r="F4" s="129" t="s">
        <v>79</v>
      </c>
      <c r="G4" s="129" t="s">
        <v>80</v>
      </c>
      <c r="H4" s="129" t="s">
        <v>84</v>
      </c>
      <c r="I4" s="129" t="s">
        <v>85</v>
      </c>
      <c r="J4" s="129" t="s">
        <v>129</v>
      </c>
      <c r="K4" s="129" t="s">
        <v>130</v>
      </c>
      <c r="L4" s="129" t="s">
        <v>131</v>
      </c>
      <c r="M4" s="129" t="s">
        <v>172</v>
      </c>
      <c r="N4" s="129" t="s">
        <v>173</v>
      </c>
      <c r="O4" s="129" t="s">
        <v>174</v>
      </c>
      <c r="P4" s="129" t="s">
        <v>175</v>
      </c>
      <c r="Q4" s="129" t="s">
        <v>176</v>
      </c>
      <c r="R4" s="129" t="s">
        <v>177</v>
      </c>
      <c r="S4" s="129" t="s">
        <v>178</v>
      </c>
    </row>
    <row r="5" spans="1:19" x14ac:dyDescent="0.25">
      <c r="A5" s="130">
        <v>44053</v>
      </c>
      <c r="B5" s="149">
        <v>4.2549999999999999</v>
      </c>
      <c r="C5" s="149">
        <v>4.28</v>
      </c>
      <c r="D5" s="149">
        <v>4</v>
      </c>
      <c r="E5" s="149">
        <v>4.13</v>
      </c>
      <c r="F5" s="149">
        <v>4.13</v>
      </c>
      <c r="G5" s="129">
        <v>12386000</v>
      </c>
      <c r="H5" s="149">
        <f>IF(tbl_RIOT[[#This Row],[Date]]=$A$5, $F5, EMA_Beta*$H4 + (1-EMA_Beta)*$F5)</f>
        <v>4.13</v>
      </c>
      <c r="I5" s="150" t="str">
        <f ca="1">IF(tbl_RIOT[[#This Row],[RS]]= "", "", 100-(100/(1+tbl_RIOT[[#This Row],[RS]])))</f>
        <v/>
      </c>
      <c r="J5" s="149" t="str">
        <f ca="1">IF(ROW($N5)-4&lt;BB_Periods, "", AVERAGE(INDIRECT(ADDRESS(ROW($F5)-RSI_Periods +1, MATCH("Adj Close", Price_Header,0))): INDIRECT(ADDRESS(ROW($F5),MATCH("Adj Close", Price_Header,0)))))</f>
        <v/>
      </c>
      <c r="K5" s="149" t="str">
        <f ca="1">IF(tbl_RIOT[[#This Row],[BB_Mean]]="", "", tbl_RIOT[[#This Row],[BB_Mean]]+(2*tbl_RIOT[[#This Row],[BB_Stdev]]))</f>
        <v/>
      </c>
      <c r="L5" s="149" t="str">
        <f ca="1">IF(tbl_RIOT[[#This Row],[BB_Mean]]="", "", tbl_RIOT[[#This Row],[BB_Mean]]-(2*tbl_RIOT[[#This Row],[BB_Stdev]]))</f>
        <v/>
      </c>
      <c r="M5" s="150">
        <f>IF(ROW(tbl_RIOT[[#This Row],[Adj Close]])=5, 0, $F5-$F4)</f>
        <v>0</v>
      </c>
      <c r="N5" s="150">
        <f>MAX(tbl_RIOT[[#This Row],[Move]],0)</f>
        <v>0</v>
      </c>
      <c r="O5" s="150">
        <f>MAX(-tbl_RIOT[[#This Row],[Move]],0)</f>
        <v>0</v>
      </c>
      <c r="P5" s="150" t="str">
        <f ca="1">IF(ROW($N5)-5&lt;RSI_Periods, "", AVERAGE(INDIRECT(ADDRESS(ROW($N5)-RSI_Periods +1, MATCH("Upmove", Price_Header,0))): INDIRECT(ADDRESS(ROW($N5),MATCH("Upmove", Price_Header,0)))))</f>
        <v/>
      </c>
      <c r="Q5" s="150" t="str">
        <f ca="1">IF(ROW($O5)-5&lt;RSI_Periods, "", AVERAGE(INDIRECT(ADDRESS(ROW($O5)-RSI_Periods +1, MATCH("Downmove", Price_Header,0))): INDIRECT(ADDRESS(ROW($O5),MATCH("Downmove", Price_Header,0)))))</f>
        <v/>
      </c>
      <c r="R5" s="150" t="str">
        <f ca="1">IF(tbl_RIOT[[#This Row],[Avg_Upmove]]="", "", tbl_RIOT[[#This Row],[Avg_Upmove]]/tbl_RIOT[[#This Row],[Avg_Downmove]])</f>
        <v/>
      </c>
      <c r="S5" s="149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130">
        <v>44054</v>
      </c>
      <c r="B6" s="149">
        <v>3.78</v>
      </c>
      <c r="C6" s="149">
        <v>4.04</v>
      </c>
      <c r="D6" s="149">
        <v>3.54</v>
      </c>
      <c r="E6" s="149">
        <v>3.62</v>
      </c>
      <c r="F6" s="149">
        <v>3.62</v>
      </c>
      <c r="G6" s="129">
        <v>10213600</v>
      </c>
      <c r="H6" s="149">
        <f>IF(tbl_RIOT[[#This Row],[Date]]=$A$5, $F6, EMA_Beta*$H5 + (1-EMA_Beta)*$F6)</f>
        <v>4.0789999999999997</v>
      </c>
      <c r="I6" s="150" t="str">
        <f ca="1">IF(tbl_RIOT[[#This Row],[RS]]= "", "", 100-(100/(1+tbl_RIOT[[#This Row],[RS]])))</f>
        <v/>
      </c>
      <c r="J6" s="149" t="str">
        <f ca="1">IF(ROW($N6)-4&lt;BB_Periods, "", AVERAGE(INDIRECT(ADDRESS(ROW($F6)-RSI_Periods +1, MATCH("Adj Close", Price_Header,0))): INDIRECT(ADDRESS(ROW($F6),MATCH("Adj Close", Price_Header,0)))))</f>
        <v/>
      </c>
      <c r="K6" s="149" t="str">
        <f ca="1">IF(tbl_RIOT[[#This Row],[BB_Mean]]="", "", tbl_RIOT[[#This Row],[BB_Mean]]+(2*tbl_RIOT[[#This Row],[BB_Stdev]]))</f>
        <v/>
      </c>
      <c r="L6" s="149" t="str">
        <f ca="1">IF(tbl_RIOT[[#This Row],[BB_Mean]]="", "", tbl_RIOT[[#This Row],[BB_Mean]]-(2*tbl_RIOT[[#This Row],[BB_Stdev]]))</f>
        <v/>
      </c>
      <c r="M6" s="150">
        <f>IF(ROW(tbl_RIOT[[#This Row],[Adj Close]])=5, 0, $F6-$F5)</f>
        <v>-0.50999999999999979</v>
      </c>
      <c r="N6" s="150">
        <f>MAX(tbl_RIOT[[#This Row],[Move]],0)</f>
        <v>0</v>
      </c>
      <c r="O6" s="150">
        <f>MAX(-tbl_RIOT[[#This Row],[Move]],0)</f>
        <v>0.50999999999999979</v>
      </c>
      <c r="P6" s="150" t="str">
        <f ca="1">IF(ROW($N6)-5&lt;RSI_Periods, "", AVERAGE(INDIRECT(ADDRESS(ROW($N6)-RSI_Periods +1, MATCH("Upmove", Price_Header,0))): INDIRECT(ADDRESS(ROW($N6),MATCH("Upmove", Price_Header,0)))))</f>
        <v/>
      </c>
      <c r="Q6" s="150" t="str">
        <f ca="1">IF(ROW($O6)-5&lt;RSI_Periods, "", AVERAGE(INDIRECT(ADDRESS(ROW($O6)-RSI_Periods +1, MATCH("Downmove", Price_Header,0))): INDIRECT(ADDRESS(ROW($O6),MATCH("Downmove", Price_Header,0)))))</f>
        <v/>
      </c>
      <c r="R6" s="150" t="str">
        <f ca="1">IF(tbl_RIOT[[#This Row],[Avg_Upmove]]="", "", tbl_RIOT[[#This Row],[Avg_Upmove]]/tbl_RIOT[[#This Row],[Avg_Downmove]])</f>
        <v/>
      </c>
      <c r="S6" s="149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130">
        <v>44055</v>
      </c>
      <c r="B7" s="149">
        <v>3.75</v>
      </c>
      <c r="C7" s="149">
        <v>3.83</v>
      </c>
      <c r="D7" s="149">
        <v>3.5</v>
      </c>
      <c r="E7" s="149">
        <v>3.54</v>
      </c>
      <c r="F7" s="149">
        <v>3.54</v>
      </c>
      <c r="G7" s="129">
        <v>5697500</v>
      </c>
      <c r="H7" s="149">
        <f>IF(tbl_RIOT[[#This Row],[Date]]=$A$5, $F7, EMA_Beta*$H6 + (1-EMA_Beta)*$F7)</f>
        <v>4.0251000000000001</v>
      </c>
      <c r="I7" s="150" t="str">
        <f ca="1">IF(tbl_RIOT[[#This Row],[RS]]= "", "", 100-(100/(1+tbl_RIOT[[#This Row],[RS]])))</f>
        <v/>
      </c>
      <c r="J7" s="149" t="str">
        <f ca="1">IF(ROW($N7)-4&lt;BB_Periods, "", AVERAGE(INDIRECT(ADDRESS(ROW($F7)-RSI_Periods +1, MATCH("Adj Close", Price_Header,0))): INDIRECT(ADDRESS(ROW($F7),MATCH("Adj Close", Price_Header,0)))))</f>
        <v/>
      </c>
      <c r="K7" s="149" t="str">
        <f ca="1">IF(tbl_RIOT[[#This Row],[BB_Mean]]="", "", tbl_RIOT[[#This Row],[BB_Mean]]+(2*tbl_RIOT[[#This Row],[BB_Stdev]]))</f>
        <v/>
      </c>
      <c r="L7" s="149" t="str">
        <f ca="1">IF(tbl_RIOT[[#This Row],[BB_Mean]]="", "", tbl_RIOT[[#This Row],[BB_Mean]]-(2*tbl_RIOT[[#This Row],[BB_Stdev]]))</f>
        <v/>
      </c>
      <c r="M7" s="150">
        <f>IF(ROW(tbl_RIOT[[#This Row],[Adj Close]])=5, 0, $F7-$F6)</f>
        <v>-8.0000000000000071E-2</v>
      </c>
      <c r="N7" s="150">
        <f>MAX(tbl_RIOT[[#This Row],[Move]],0)</f>
        <v>0</v>
      </c>
      <c r="O7" s="150">
        <f>MAX(-tbl_RIOT[[#This Row],[Move]],0)</f>
        <v>8.0000000000000071E-2</v>
      </c>
      <c r="P7" s="150" t="str">
        <f ca="1">IF(ROW($N7)-5&lt;RSI_Periods, "", AVERAGE(INDIRECT(ADDRESS(ROW($N7)-RSI_Periods +1, MATCH("Upmove", Price_Header,0))): INDIRECT(ADDRESS(ROW($N7),MATCH("Upmove", Price_Header,0)))))</f>
        <v/>
      </c>
      <c r="Q7" s="150" t="str">
        <f ca="1">IF(ROW($O7)-5&lt;RSI_Periods, "", AVERAGE(INDIRECT(ADDRESS(ROW($O7)-RSI_Periods +1, MATCH("Downmove", Price_Header,0))): INDIRECT(ADDRESS(ROW($O7),MATCH("Downmove", Price_Header,0)))))</f>
        <v/>
      </c>
      <c r="R7" s="150" t="str">
        <f ca="1">IF(tbl_RIOT[[#This Row],[Avg_Upmove]]="", "", tbl_RIOT[[#This Row],[Avg_Upmove]]/tbl_RIOT[[#This Row],[Avg_Downmove]])</f>
        <v/>
      </c>
      <c r="S7" s="149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130">
        <v>44056</v>
      </c>
      <c r="B8" s="149">
        <v>3.42</v>
      </c>
      <c r="C8" s="149">
        <v>3.75</v>
      </c>
      <c r="D8" s="149">
        <v>3.05</v>
      </c>
      <c r="E8" s="149">
        <v>3.61</v>
      </c>
      <c r="F8" s="149">
        <v>3.61</v>
      </c>
      <c r="G8" s="129">
        <v>11009400</v>
      </c>
      <c r="H8" s="149">
        <f>IF(tbl_RIOT[[#This Row],[Date]]=$A$5, $F8, EMA_Beta*$H7 + (1-EMA_Beta)*$F8)</f>
        <v>3.98359</v>
      </c>
      <c r="I8" s="150" t="str">
        <f ca="1">IF(tbl_RIOT[[#This Row],[RS]]= "", "", 100-(100/(1+tbl_RIOT[[#This Row],[RS]])))</f>
        <v/>
      </c>
      <c r="J8" s="149" t="str">
        <f ca="1">IF(ROW($N8)-4&lt;BB_Periods, "", AVERAGE(INDIRECT(ADDRESS(ROW($F8)-RSI_Periods +1, MATCH("Adj Close", Price_Header,0))): INDIRECT(ADDRESS(ROW($F8),MATCH("Adj Close", Price_Header,0)))))</f>
        <v/>
      </c>
      <c r="K8" s="149" t="str">
        <f ca="1">IF(tbl_RIOT[[#This Row],[BB_Mean]]="", "", tbl_RIOT[[#This Row],[BB_Mean]]+(2*tbl_RIOT[[#This Row],[BB_Stdev]]))</f>
        <v/>
      </c>
      <c r="L8" s="149" t="str">
        <f ca="1">IF(tbl_RIOT[[#This Row],[BB_Mean]]="", "", tbl_RIOT[[#This Row],[BB_Mean]]-(2*tbl_RIOT[[#This Row],[BB_Stdev]]))</f>
        <v/>
      </c>
      <c r="M8" s="150">
        <f>IF(ROW(tbl_RIOT[[#This Row],[Adj Close]])=5, 0, $F8-$F7)</f>
        <v>6.999999999999984E-2</v>
      </c>
      <c r="N8" s="150">
        <f>MAX(tbl_RIOT[[#This Row],[Move]],0)</f>
        <v>6.999999999999984E-2</v>
      </c>
      <c r="O8" s="150">
        <f>MAX(-tbl_RIOT[[#This Row],[Move]],0)</f>
        <v>0</v>
      </c>
      <c r="P8" s="150" t="str">
        <f ca="1">IF(ROW($N8)-5&lt;RSI_Periods, "", AVERAGE(INDIRECT(ADDRESS(ROW($N8)-RSI_Periods +1, MATCH("Upmove", Price_Header,0))): INDIRECT(ADDRESS(ROW($N8),MATCH("Upmove", Price_Header,0)))))</f>
        <v/>
      </c>
      <c r="Q8" s="150" t="str">
        <f ca="1">IF(ROW($O8)-5&lt;RSI_Periods, "", AVERAGE(INDIRECT(ADDRESS(ROW($O8)-RSI_Periods +1, MATCH("Downmove", Price_Header,0))): INDIRECT(ADDRESS(ROW($O8),MATCH("Downmove", Price_Header,0)))))</f>
        <v/>
      </c>
      <c r="R8" s="150" t="str">
        <f ca="1">IF(tbl_RIOT[[#This Row],[Avg_Upmove]]="", "", tbl_RIOT[[#This Row],[Avg_Upmove]]/tbl_RIOT[[#This Row],[Avg_Downmove]])</f>
        <v/>
      </c>
      <c r="S8" s="149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130">
        <v>44057</v>
      </c>
      <c r="B9" s="149">
        <v>3.67</v>
      </c>
      <c r="C9" s="149">
        <v>3.84</v>
      </c>
      <c r="D9" s="149">
        <v>3.39</v>
      </c>
      <c r="E9" s="149">
        <v>3.78</v>
      </c>
      <c r="F9" s="149">
        <v>3.78</v>
      </c>
      <c r="G9" s="129">
        <v>10691500</v>
      </c>
      <c r="H9" s="149">
        <f>IF(tbl_RIOT[[#This Row],[Date]]=$A$5, $F9, EMA_Beta*$H8 + (1-EMA_Beta)*$F9)</f>
        <v>3.9632309999999995</v>
      </c>
      <c r="I9" s="150" t="str">
        <f ca="1">IF(tbl_RIOT[[#This Row],[RS]]= "", "", 100-(100/(1+tbl_RIOT[[#This Row],[RS]])))</f>
        <v/>
      </c>
      <c r="J9" s="149" t="str">
        <f ca="1">IF(ROW($N9)-4&lt;BB_Periods, "", AVERAGE(INDIRECT(ADDRESS(ROW($F9)-RSI_Periods +1, MATCH("Adj Close", Price_Header,0))): INDIRECT(ADDRESS(ROW($F9),MATCH("Adj Close", Price_Header,0)))))</f>
        <v/>
      </c>
      <c r="K9" s="149" t="str">
        <f ca="1">IF(tbl_RIOT[[#This Row],[BB_Mean]]="", "", tbl_RIOT[[#This Row],[BB_Mean]]+(2*tbl_RIOT[[#This Row],[BB_Stdev]]))</f>
        <v/>
      </c>
      <c r="L9" s="149" t="str">
        <f ca="1">IF(tbl_RIOT[[#This Row],[BB_Mean]]="", "", tbl_RIOT[[#This Row],[BB_Mean]]-(2*tbl_RIOT[[#This Row],[BB_Stdev]]))</f>
        <v/>
      </c>
      <c r="M9" s="150">
        <f>IF(ROW(tbl_RIOT[[#This Row],[Adj Close]])=5, 0, $F9-$F8)</f>
        <v>0.16999999999999993</v>
      </c>
      <c r="N9" s="150">
        <f>MAX(tbl_RIOT[[#This Row],[Move]],0)</f>
        <v>0.16999999999999993</v>
      </c>
      <c r="O9" s="150">
        <f>MAX(-tbl_RIOT[[#This Row],[Move]],0)</f>
        <v>0</v>
      </c>
      <c r="P9" s="150" t="str">
        <f ca="1">IF(ROW($N9)-5&lt;RSI_Periods, "", AVERAGE(INDIRECT(ADDRESS(ROW($N9)-RSI_Periods +1, MATCH("Upmove", Price_Header,0))): INDIRECT(ADDRESS(ROW($N9),MATCH("Upmove", Price_Header,0)))))</f>
        <v/>
      </c>
      <c r="Q9" s="150" t="str">
        <f ca="1">IF(ROW($O9)-5&lt;RSI_Periods, "", AVERAGE(INDIRECT(ADDRESS(ROW($O9)-RSI_Periods +1, MATCH("Downmove", Price_Header,0))): INDIRECT(ADDRESS(ROW($O9),MATCH("Downmove", Price_Header,0)))))</f>
        <v/>
      </c>
      <c r="R9" s="150" t="str">
        <f ca="1">IF(tbl_RIOT[[#This Row],[Avg_Upmove]]="", "", tbl_RIOT[[#This Row],[Avg_Upmove]]/tbl_RIOT[[#This Row],[Avg_Downmove]])</f>
        <v/>
      </c>
      <c r="S9" s="149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130">
        <v>44060</v>
      </c>
      <c r="B10" s="149">
        <v>3.95</v>
      </c>
      <c r="C10" s="149">
        <v>4.41</v>
      </c>
      <c r="D10" s="149">
        <v>3.77</v>
      </c>
      <c r="E10" s="149">
        <v>4.1500000000000004</v>
      </c>
      <c r="F10" s="149">
        <v>4.1500000000000004</v>
      </c>
      <c r="G10" s="129">
        <v>21029500</v>
      </c>
      <c r="H10" s="149">
        <f>IF(tbl_RIOT[[#This Row],[Date]]=$A$5, $F10, EMA_Beta*$H9 + (1-EMA_Beta)*$F10)</f>
        <v>3.9819078999999995</v>
      </c>
      <c r="I10" s="150" t="str">
        <f ca="1">IF(tbl_RIOT[[#This Row],[RS]]= "", "", 100-(100/(1+tbl_RIOT[[#This Row],[RS]])))</f>
        <v/>
      </c>
      <c r="J10" s="149" t="str">
        <f ca="1">IF(ROW($N10)-4&lt;BB_Periods, "", AVERAGE(INDIRECT(ADDRESS(ROW($F10)-RSI_Periods +1, MATCH("Adj Close", Price_Header,0))): INDIRECT(ADDRESS(ROW($F10),MATCH("Adj Close", Price_Header,0)))))</f>
        <v/>
      </c>
      <c r="K10" s="149" t="str">
        <f ca="1">IF(tbl_RIOT[[#This Row],[BB_Mean]]="", "", tbl_RIOT[[#This Row],[BB_Mean]]+(2*tbl_RIOT[[#This Row],[BB_Stdev]]))</f>
        <v/>
      </c>
      <c r="L10" s="149" t="str">
        <f ca="1">IF(tbl_RIOT[[#This Row],[BB_Mean]]="", "", tbl_RIOT[[#This Row],[BB_Mean]]-(2*tbl_RIOT[[#This Row],[BB_Stdev]]))</f>
        <v/>
      </c>
      <c r="M10" s="150">
        <f>IF(ROW(tbl_RIOT[[#This Row],[Adj Close]])=5, 0, $F10-$F9)</f>
        <v>0.37000000000000055</v>
      </c>
      <c r="N10" s="150">
        <f>MAX(tbl_RIOT[[#This Row],[Move]],0)</f>
        <v>0.37000000000000055</v>
      </c>
      <c r="O10" s="150">
        <f>MAX(-tbl_RIOT[[#This Row],[Move]],0)</f>
        <v>0</v>
      </c>
      <c r="P10" s="150" t="str">
        <f ca="1">IF(ROW($N10)-5&lt;RSI_Periods, "", AVERAGE(INDIRECT(ADDRESS(ROW($N10)-RSI_Periods +1, MATCH("Upmove", Price_Header,0))): INDIRECT(ADDRESS(ROW($N10),MATCH("Upmove", Price_Header,0)))))</f>
        <v/>
      </c>
      <c r="Q10" s="150" t="str">
        <f ca="1">IF(ROW($O10)-5&lt;RSI_Periods, "", AVERAGE(INDIRECT(ADDRESS(ROW($O10)-RSI_Periods +1, MATCH("Downmove", Price_Header,0))): INDIRECT(ADDRESS(ROW($O10),MATCH("Downmove", Price_Header,0)))))</f>
        <v/>
      </c>
      <c r="R10" s="150" t="str">
        <f ca="1">IF(tbl_RIOT[[#This Row],[Avg_Upmove]]="", "", tbl_RIOT[[#This Row],[Avg_Upmove]]/tbl_RIOT[[#This Row],[Avg_Downmove]])</f>
        <v/>
      </c>
      <c r="S10" s="149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130">
        <v>44061</v>
      </c>
      <c r="B11" s="149">
        <v>4</v>
      </c>
      <c r="C11" s="149">
        <v>4.2</v>
      </c>
      <c r="D11" s="149">
        <v>3.91</v>
      </c>
      <c r="E11" s="149">
        <v>4.04</v>
      </c>
      <c r="F11" s="149">
        <v>4.04</v>
      </c>
      <c r="G11" s="129">
        <v>9456000</v>
      </c>
      <c r="H11" s="149">
        <f>IF(tbl_RIOT[[#This Row],[Date]]=$A$5, $F11, EMA_Beta*$H10 + (1-EMA_Beta)*$F11)</f>
        <v>3.9877171099999997</v>
      </c>
      <c r="I11" s="150" t="str">
        <f ca="1">IF(tbl_RIOT[[#This Row],[RS]]= "", "", 100-(100/(1+tbl_RIOT[[#This Row],[RS]])))</f>
        <v/>
      </c>
      <c r="J11" s="149" t="str">
        <f ca="1">IF(ROW($N11)-4&lt;BB_Periods, "", AVERAGE(INDIRECT(ADDRESS(ROW($F11)-RSI_Periods +1, MATCH("Adj Close", Price_Header,0))): INDIRECT(ADDRESS(ROW($F11),MATCH("Adj Close", Price_Header,0)))))</f>
        <v/>
      </c>
      <c r="K11" s="149" t="str">
        <f ca="1">IF(tbl_RIOT[[#This Row],[BB_Mean]]="", "", tbl_RIOT[[#This Row],[BB_Mean]]+(2*tbl_RIOT[[#This Row],[BB_Stdev]]))</f>
        <v/>
      </c>
      <c r="L11" s="149" t="str">
        <f ca="1">IF(tbl_RIOT[[#This Row],[BB_Mean]]="", "", tbl_RIOT[[#This Row],[BB_Mean]]-(2*tbl_RIOT[[#This Row],[BB_Stdev]]))</f>
        <v/>
      </c>
      <c r="M11" s="150">
        <f>IF(ROW(tbl_RIOT[[#This Row],[Adj Close]])=5, 0, $F11-$F10)</f>
        <v>-0.11000000000000032</v>
      </c>
      <c r="N11" s="150">
        <f>MAX(tbl_RIOT[[#This Row],[Move]],0)</f>
        <v>0</v>
      </c>
      <c r="O11" s="150">
        <f>MAX(-tbl_RIOT[[#This Row],[Move]],0)</f>
        <v>0.11000000000000032</v>
      </c>
      <c r="P11" s="150" t="str">
        <f ca="1">IF(ROW($N11)-5&lt;RSI_Periods, "", AVERAGE(INDIRECT(ADDRESS(ROW($N11)-RSI_Periods +1, MATCH("Upmove", Price_Header,0))): INDIRECT(ADDRESS(ROW($N11),MATCH("Upmove", Price_Header,0)))))</f>
        <v/>
      </c>
      <c r="Q11" s="150" t="str">
        <f ca="1">IF(ROW($O11)-5&lt;RSI_Periods, "", AVERAGE(INDIRECT(ADDRESS(ROW($O11)-RSI_Periods +1, MATCH("Downmove", Price_Header,0))): INDIRECT(ADDRESS(ROW($O11),MATCH("Downmove", Price_Header,0)))))</f>
        <v/>
      </c>
      <c r="R11" s="150" t="str">
        <f ca="1">IF(tbl_RIOT[[#This Row],[Avg_Upmove]]="", "", tbl_RIOT[[#This Row],[Avg_Upmove]]/tbl_RIOT[[#This Row],[Avg_Downmove]])</f>
        <v/>
      </c>
      <c r="S11" s="149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130">
        <v>44062</v>
      </c>
      <c r="B12" s="149">
        <v>3.87</v>
      </c>
      <c r="C12" s="149">
        <v>4.0599999999999996</v>
      </c>
      <c r="D12" s="149">
        <v>3.63</v>
      </c>
      <c r="E12" s="149">
        <v>3.69</v>
      </c>
      <c r="F12" s="149">
        <v>3.69</v>
      </c>
      <c r="G12" s="129">
        <v>8062900</v>
      </c>
      <c r="H12" s="149">
        <f>IF(tbl_RIOT[[#This Row],[Date]]=$A$5, $F12, EMA_Beta*$H11 + (1-EMA_Beta)*$F12)</f>
        <v>3.9579453989999998</v>
      </c>
      <c r="I12" s="150" t="str">
        <f ca="1">IF(tbl_RIOT[[#This Row],[RS]]= "", "", 100-(100/(1+tbl_RIOT[[#This Row],[RS]])))</f>
        <v/>
      </c>
      <c r="J12" s="149" t="str">
        <f ca="1">IF(ROW($N12)-4&lt;BB_Periods, "", AVERAGE(INDIRECT(ADDRESS(ROW($F12)-RSI_Periods +1, MATCH("Adj Close", Price_Header,0))): INDIRECT(ADDRESS(ROW($F12),MATCH("Adj Close", Price_Header,0)))))</f>
        <v/>
      </c>
      <c r="K12" s="149" t="str">
        <f ca="1">IF(tbl_RIOT[[#This Row],[BB_Mean]]="", "", tbl_RIOT[[#This Row],[BB_Mean]]+(2*tbl_RIOT[[#This Row],[BB_Stdev]]))</f>
        <v/>
      </c>
      <c r="L12" s="149" t="str">
        <f ca="1">IF(tbl_RIOT[[#This Row],[BB_Mean]]="", "", tbl_RIOT[[#This Row],[BB_Mean]]-(2*tbl_RIOT[[#This Row],[BB_Stdev]]))</f>
        <v/>
      </c>
      <c r="M12" s="150">
        <f>IF(ROW(tbl_RIOT[[#This Row],[Adj Close]])=5, 0, $F12-$F11)</f>
        <v>-0.35000000000000009</v>
      </c>
      <c r="N12" s="150">
        <f>MAX(tbl_RIOT[[#This Row],[Move]],0)</f>
        <v>0</v>
      </c>
      <c r="O12" s="150">
        <f>MAX(-tbl_RIOT[[#This Row],[Move]],0)</f>
        <v>0.35000000000000009</v>
      </c>
      <c r="P12" s="150" t="str">
        <f ca="1">IF(ROW($N12)-5&lt;RSI_Periods, "", AVERAGE(INDIRECT(ADDRESS(ROW($N12)-RSI_Periods +1, MATCH("Upmove", Price_Header,0))): INDIRECT(ADDRESS(ROW($N12),MATCH("Upmove", Price_Header,0)))))</f>
        <v/>
      </c>
      <c r="Q12" s="150" t="str">
        <f ca="1">IF(ROW($O12)-5&lt;RSI_Periods, "", AVERAGE(INDIRECT(ADDRESS(ROW($O12)-RSI_Periods +1, MATCH("Downmove", Price_Header,0))): INDIRECT(ADDRESS(ROW($O12),MATCH("Downmove", Price_Header,0)))))</f>
        <v/>
      </c>
      <c r="R12" s="150" t="str">
        <f ca="1">IF(tbl_RIOT[[#This Row],[Avg_Upmove]]="", "", tbl_RIOT[[#This Row],[Avg_Upmove]]/tbl_RIOT[[#This Row],[Avg_Downmove]])</f>
        <v/>
      </c>
      <c r="S12" s="149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130">
        <v>44063</v>
      </c>
      <c r="B13" s="149">
        <v>3.73</v>
      </c>
      <c r="C13" s="149">
        <v>4.05</v>
      </c>
      <c r="D13" s="149">
        <v>3.71</v>
      </c>
      <c r="E13" s="149">
        <v>3.99</v>
      </c>
      <c r="F13" s="149">
        <v>3.99</v>
      </c>
      <c r="G13" s="129">
        <v>7506700</v>
      </c>
      <c r="H13" s="149">
        <f>IF(tbl_RIOT[[#This Row],[Date]]=$A$5, $F13, EMA_Beta*$H12 + (1-EMA_Beta)*$F13)</f>
        <v>3.9611508591</v>
      </c>
      <c r="I13" s="150" t="str">
        <f ca="1">IF(tbl_RIOT[[#This Row],[RS]]= "", "", 100-(100/(1+tbl_RIOT[[#This Row],[RS]])))</f>
        <v/>
      </c>
      <c r="J13" s="149" t="str">
        <f ca="1">IF(ROW($N13)-4&lt;BB_Periods, "", AVERAGE(INDIRECT(ADDRESS(ROW($F13)-RSI_Periods +1, MATCH("Adj Close", Price_Header,0))): INDIRECT(ADDRESS(ROW($F13),MATCH("Adj Close", Price_Header,0)))))</f>
        <v/>
      </c>
      <c r="K13" s="149" t="str">
        <f ca="1">IF(tbl_RIOT[[#This Row],[BB_Mean]]="", "", tbl_RIOT[[#This Row],[BB_Mean]]+(2*tbl_RIOT[[#This Row],[BB_Stdev]]))</f>
        <v/>
      </c>
      <c r="L13" s="149" t="str">
        <f ca="1">IF(tbl_RIOT[[#This Row],[BB_Mean]]="", "", tbl_RIOT[[#This Row],[BB_Mean]]-(2*tbl_RIOT[[#This Row],[BB_Stdev]]))</f>
        <v/>
      </c>
      <c r="M13" s="150">
        <f>IF(ROW(tbl_RIOT[[#This Row],[Adj Close]])=5, 0, $F13-$F12)</f>
        <v>0.30000000000000027</v>
      </c>
      <c r="N13" s="150">
        <f>MAX(tbl_RIOT[[#This Row],[Move]],0)</f>
        <v>0.30000000000000027</v>
      </c>
      <c r="O13" s="150">
        <f>MAX(-tbl_RIOT[[#This Row],[Move]],0)</f>
        <v>0</v>
      </c>
      <c r="P13" s="150" t="str">
        <f ca="1">IF(ROW($N13)-5&lt;RSI_Periods, "", AVERAGE(INDIRECT(ADDRESS(ROW($N13)-RSI_Periods +1, MATCH("Upmove", Price_Header,0))): INDIRECT(ADDRESS(ROW($N13),MATCH("Upmove", Price_Header,0)))))</f>
        <v/>
      </c>
      <c r="Q13" s="150" t="str">
        <f ca="1">IF(ROW($O13)-5&lt;RSI_Periods, "", AVERAGE(INDIRECT(ADDRESS(ROW($O13)-RSI_Periods +1, MATCH("Downmove", Price_Header,0))): INDIRECT(ADDRESS(ROW($O13),MATCH("Downmove", Price_Header,0)))))</f>
        <v/>
      </c>
      <c r="R13" s="150" t="str">
        <f ca="1">IF(tbl_RIOT[[#This Row],[Avg_Upmove]]="", "", tbl_RIOT[[#This Row],[Avg_Upmove]]/tbl_RIOT[[#This Row],[Avg_Downmove]])</f>
        <v/>
      </c>
      <c r="S13" s="149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130">
        <v>44064</v>
      </c>
      <c r="B14" s="149">
        <v>3.82</v>
      </c>
      <c r="C14" s="149">
        <v>3.94</v>
      </c>
      <c r="D14" s="149">
        <v>3.67</v>
      </c>
      <c r="E14" s="149">
        <v>3.7250000000000001</v>
      </c>
      <c r="F14" s="149">
        <v>3.7250000000000001</v>
      </c>
      <c r="G14" s="129">
        <v>5926100</v>
      </c>
      <c r="H14" s="149">
        <f>IF(tbl_RIOT[[#This Row],[Date]]=$A$5, $F14, EMA_Beta*$H13 + (1-EMA_Beta)*$F14)</f>
        <v>3.93753577319</v>
      </c>
      <c r="I14" s="150" t="str">
        <f ca="1">IF(tbl_RIOT[[#This Row],[RS]]= "", "", 100-(100/(1+tbl_RIOT[[#This Row],[RS]])))</f>
        <v/>
      </c>
      <c r="J14" s="149" t="str">
        <f ca="1">IF(ROW($N14)-4&lt;BB_Periods, "", AVERAGE(INDIRECT(ADDRESS(ROW($F14)-RSI_Periods +1, MATCH("Adj Close", Price_Header,0))): INDIRECT(ADDRESS(ROW($F14),MATCH("Adj Close", Price_Header,0)))))</f>
        <v/>
      </c>
      <c r="K14" s="149" t="str">
        <f ca="1">IF(tbl_RIOT[[#This Row],[BB_Mean]]="", "", tbl_RIOT[[#This Row],[BB_Mean]]+(2*tbl_RIOT[[#This Row],[BB_Stdev]]))</f>
        <v/>
      </c>
      <c r="L14" s="149" t="str">
        <f ca="1">IF(tbl_RIOT[[#This Row],[BB_Mean]]="", "", tbl_RIOT[[#This Row],[BB_Mean]]-(2*tbl_RIOT[[#This Row],[BB_Stdev]]))</f>
        <v/>
      </c>
      <c r="M14" s="150">
        <f>IF(ROW(tbl_RIOT[[#This Row],[Adj Close]])=5, 0, $F14-$F13)</f>
        <v>-0.26500000000000012</v>
      </c>
      <c r="N14" s="150">
        <f>MAX(tbl_RIOT[[#This Row],[Move]],0)</f>
        <v>0</v>
      </c>
      <c r="O14" s="150">
        <f>MAX(-tbl_RIOT[[#This Row],[Move]],0)</f>
        <v>0.26500000000000012</v>
      </c>
      <c r="P14" s="150" t="str">
        <f ca="1">IF(ROW($N14)-5&lt;RSI_Periods, "", AVERAGE(INDIRECT(ADDRESS(ROW($N14)-RSI_Periods +1, MATCH("Upmove", Price_Header,0))): INDIRECT(ADDRESS(ROW($N14),MATCH("Upmove", Price_Header,0)))))</f>
        <v/>
      </c>
      <c r="Q14" s="150" t="str">
        <f ca="1">IF(ROW($O14)-5&lt;RSI_Periods, "", AVERAGE(INDIRECT(ADDRESS(ROW($O14)-RSI_Periods +1, MATCH("Downmove", Price_Header,0))): INDIRECT(ADDRESS(ROW($O14),MATCH("Downmove", Price_Header,0)))))</f>
        <v/>
      </c>
      <c r="R14" s="150" t="str">
        <f ca="1">IF(tbl_RIOT[[#This Row],[Avg_Upmove]]="", "", tbl_RIOT[[#This Row],[Avg_Upmove]]/tbl_RIOT[[#This Row],[Avg_Downmove]])</f>
        <v/>
      </c>
      <c r="S14" s="149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130">
        <v>44067</v>
      </c>
      <c r="B15" s="149">
        <v>3.78</v>
      </c>
      <c r="C15" s="149">
        <v>3.79</v>
      </c>
      <c r="D15" s="149">
        <v>3.52</v>
      </c>
      <c r="E15" s="149">
        <v>3.63</v>
      </c>
      <c r="F15" s="149">
        <v>3.63</v>
      </c>
      <c r="G15" s="129">
        <v>4019400</v>
      </c>
      <c r="H15" s="149">
        <f>IF(tbl_RIOT[[#This Row],[Date]]=$A$5, $F15, EMA_Beta*$H14 + (1-EMA_Beta)*$F15)</f>
        <v>3.9067821958710001</v>
      </c>
      <c r="I15" s="150" t="str">
        <f ca="1">IF(tbl_RIOT[[#This Row],[RS]]= "", "", 100-(100/(1+tbl_RIOT[[#This Row],[RS]])))</f>
        <v/>
      </c>
      <c r="J15" s="149" t="str">
        <f ca="1">IF(ROW($N15)-4&lt;BB_Periods, "", AVERAGE(INDIRECT(ADDRESS(ROW($F15)-RSI_Periods +1, MATCH("Adj Close", Price_Header,0))): INDIRECT(ADDRESS(ROW($F15),MATCH("Adj Close", Price_Header,0)))))</f>
        <v/>
      </c>
      <c r="K15" s="149" t="str">
        <f ca="1">IF(tbl_RIOT[[#This Row],[BB_Mean]]="", "", tbl_RIOT[[#This Row],[BB_Mean]]+(2*tbl_RIOT[[#This Row],[BB_Stdev]]))</f>
        <v/>
      </c>
      <c r="L15" s="149" t="str">
        <f ca="1">IF(tbl_RIOT[[#This Row],[BB_Mean]]="", "", tbl_RIOT[[#This Row],[BB_Mean]]-(2*tbl_RIOT[[#This Row],[BB_Stdev]]))</f>
        <v/>
      </c>
      <c r="M15" s="150">
        <f>IF(ROW(tbl_RIOT[[#This Row],[Adj Close]])=5, 0, $F15-$F14)</f>
        <v>-9.5000000000000195E-2</v>
      </c>
      <c r="N15" s="150">
        <f>MAX(tbl_RIOT[[#This Row],[Move]],0)</f>
        <v>0</v>
      </c>
      <c r="O15" s="150">
        <f>MAX(-tbl_RIOT[[#This Row],[Move]],0)</f>
        <v>9.5000000000000195E-2</v>
      </c>
      <c r="P15" s="150" t="str">
        <f ca="1">IF(ROW($N15)-5&lt;RSI_Periods, "", AVERAGE(INDIRECT(ADDRESS(ROW($N15)-RSI_Periods +1, MATCH("Upmove", Price_Header,0))): INDIRECT(ADDRESS(ROW($N15),MATCH("Upmove", Price_Header,0)))))</f>
        <v/>
      </c>
      <c r="Q15" s="150" t="str">
        <f ca="1">IF(ROW($O15)-5&lt;RSI_Periods, "", AVERAGE(INDIRECT(ADDRESS(ROW($O15)-RSI_Periods +1, MATCH("Downmove", Price_Header,0))): INDIRECT(ADDRESS(ROW($O15),MATCH("Downmove", Price_Header,0)))))</f>
        <v/>
      </c>
      <c r="R15" s="150" t="str">
        <f ca="1">IF(tbl_RIOT[[#This Row],[Avg_Upmove]]="", "", tbl_RIOT[[#This Row],[Avg_Upmove]]/tbl_RIOT[[#This Row],[Avg_Downmove]])</f>
        <v/>
      </c>
      <c r="S15" s="149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130">
        <v>44068</v>
      </c>
      <c r="B16" s="149">
        <v>3.41</v>
      </c>
      <c r="C16" s="149">
        <v>3.6</v>
      </c>
      <c r="D16" s="149">
        <v>3.18</v>
      </c>
      <c r="E16" s="149">
        <v>3.58</v>
      </c>
      <c r="F16" s="149">
        <v>3.58</v>
      </c>
      <c r="G16" s="129">
        <v>7397600</v>
      </c>
      <c r="H16" s="149">
        <f>IF(tbl_RIOT[[#This Row],[Date]]=$A$5, $F16, EMA_Beta*$H15 + (1-EMA_Beta)*$F16)</f>
        <v>3.8741039762839002</v>
      </c>
      <c r="I16" s="150" t="str">
        <f ca="1">IF(tbl_RIOT[[#This Row],[RS]]= "", "", 100-(100/(1+tbl_RIOT[[#This Row],[RS]])))</f>
        <v/>
      </c>
      <c r="J16" s="149" t="str">
        <f ca="1">IF(ROW($N16)-4&lt;BB_Periods, "", AVERAGE(INDIRECT(ADDRESS(ROW($F16)-RSI_Periods +1, MATCH("Adj Close", Price_Header,0))): INDIRECT(ADDRESS(ROW($F16),MATCH("Adj Close", Price_Header,0)))))</f>
        <v/>
      </c>
      <c r="K16" s="149" t="str">
        <f ca="1">IF(tbl_RIOT[[#This Row],[BB_Mean]]="", "", tbl_RIOT[[#This Row],[BB_Mean]]+(2*tbl_RIOT[[#This Row],[BB_Stdev]]))</f>
        <v/>
      </c>
      <c r="L16" s="149" t="str">
        <f ca="1">IF(tbl_RIOT[[#This Row],[BB_Mean]]="", "", tbl_RIOT[[#This Row],[BB_Mean]]-(2*tbl_RIOT[[#This Row],[BB_Stdev]]))</f>
        <v/>
      </c>
      <c r="M16" s="150">
        <f>IF(ROW(tbl_RIOT[[#This Row],[Adj Close]])=5, 0, $F16-$F15)</f>
        <v>-4.9999999999999822E-2</v>
      </c>
      <c r="N16" s="150">
        <f>MAX(tbl_RIOT[[#This Row],[Move]],0)</f>
        <v>0</v>
      </c>
      <c r="O16" s="150">
        <f>MAX(-tbl_RIOT[[#This Row],[Move]],0)</f>
        <v>4.9999999999999822E-2</v>
      </c>
      <c r="P16" s="150" t="str">
        <f ca="1">IF(ROW($N16)-5&lt;RSI_Periods, "", AVERAGE(INDIRECT(ADDRESS(ROW($N16)-RSI_Periods +1, MATCH("Upmove", Price_Header,0))): INDIRECT(ADDRESS(ROW($N16),MATCH("Upmove", Price_Header,0)))))</f>
        <v/>
      </c>
      <c r="Q16" s="150" t="str">
        <f ca="1">IF(ROW($O16)-5&lt;RSI_Periods, "", AVERAGE(INDIRECT(ADDRESS(ROW($O16)-RSI_Periods +1, MATCH("Downmove", Price_Header,0))): INDIRECT(ADDRESS(ROW($O16),MATCH("Downmove", Price_Header,0)))))</f>
        <v/>
      </c>
      <c r="R16" s="150" t="str">
        <f ca="1">IF(tbl_RIOT[[#This Row],[Avg_Upmove]]="", "", tbl_RIOT[[#This Row],[Avg_Upmove]]/tbl_RIOT[[#This Row],[Avg_Downmove]])</f>
        <v/>
      </c>
      <c r="S16" s="149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130">
        <v>44069</v>
      </c>
      <c r="B17" s="149">
        <v>3.4</v>
      </c>
      <c r="C17" s="149">
        <v>3.56</v>
      </c>
      <c r="D17" s="149">
        <v>3.35</v>
      </c>
      <c r="E17" s="149">
        <v>3.41</v>
      </c>
      <c r="F17" s="149">
        <v>3.41</v>
      </c>
      <c r="G17" s="129">
        <v>3852000</v>
      </c>
      <c r="H17" s="149">
        <f>IF(tbl_RIOT[[#This Row],[Date]]=$A$5, $F17, EMA_Beta*$H16 + (1-EMA_Beta)*$F17)</f>
        <v>3.8276935786555102</v>
      </c>
      <c r="I17" s="150" t="str">
        <f ca="1">IF(tbl_RIOT[[#This Row],[RS]]= "", "", 100-(100/(1+tbl_RIOT[[#This Row],[RS]])))</f>
        <v/>
      </c>
      <c r="J17" s="149" t="str">
        <f ca="1">IF(ROW($N17)-4&lt;BB_Periods, "", AVERAGE(INDIRECT(ADDRESS(ROW($F17)-RSI_Periods +1, MATCH("Adj Close", Price_Header,0))): INDIRECT(ADDRESS(ROW($F17),MATCH("Adj Close", Price_Header,0)))))</f>
        <v/>
      </c>
      <c r="K17" s="149" t="str">
        <f ca="1">IF(tbl_RIOT[[#This Row],[BB_Mean]]="", "", tbl_RIOT[[#This Row],[BB_Mean]]+(2*tbl_RIOT[[#This Row],[BB_Stdev]]))</f>
        <v/>
      </c>
      <c r="L17" s="149" t="str">
        <f ca="1">IF(tbl_RIOT[[#This Row],[BB_Mean]]="", "", tbl_RIOT[[#This Row],[BB_Mean]]-(2*tbl_RIOT[[#This Row],[BB_Stdev]]))</f>
        <v/>
      </c>
      <c r="M17" s="150">
        <f>IF(ROW(tbl_RIOT[[#This Row],[Adj Close]])=5, 0, $F17-$F16)</f>
        <v>-0.16999999999999993</v>
      </c>
      <c r="N17" s="150">
        <f>MAX(tbl_RIOT[[#This Row],[Move]],0)</f>
        <v>0</v>
      </c>
      <c r="O17" s="150">
        <f>MAX(-tbl_RIOT[[#This Row],[Move]],0)</f>
        <v>0.16999999999999993</v>
      </c>
      <c r="P17" s="150" t="str">
        <f ca="1">IF(ROW($N17)-5&lt;RSI_Periods, "", AVERAGE(INDIRECT(ADDRESS(ROW($N17)-RSI_Periods +1, MATCH("Upmove", Price_Header,0))): INDIRECT(ADDRESS(ROW($N17),MATCH("Upmove", Price_Header,0)))))</f>
        <v/>
      </c>
      <c r="Q17" s="150" t="str">
        <f ca="1">IF(ROW($O17)-5&lt;RSI_Periods, "", AVERAGE(INDIRECT(ADDRESS(ROW($O17)-RSI_Periods +1, MATCH("Downmove", Price_Header,0))): INDIRECT(ADDRESS(ROW($O17),MATCH("Downmove", Price_Header,0)))))</f>
        <v/>
      </c>
      <c r="R17" s="150" t="str">
        <f ca="1">IF(tbl_RIOT[[#This Row],[Avg_Upmove]]="", "", tbl_RIOT[[#This Row],[Avg_Upmove]]/tbl_RIOT[[#This Row],[Avg_Downmove]])</f>
        <v/>
      </c>
      <c r="S17" s="149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130">
        <v>44070</v>
      </c>
      <c r="B18" s="149">
        <v>3.46</v>
      </c>
      <c r="C18" s="149">
        <v>3.5</v>
      </c>
      <c r="D18" s="149">
        <v>3.15</v>
      </c>
      <c r="E18" s="149">
        <v>3.27</v>
      </c>
      <c r="F18" s="149">
        <v>3.27</v>
      </c>
      <c r="G18" s="129">
        <v>4789700</v>
      </c>
      <c r="H18" s="149">
        <f>IF(tbl_RIOT[[#This Row],[Date]]=$A$5, $F18, EMA_Beta*$H17 + (1-EMA_Beta)*$F18)</f>
        <v>3.771924220789959</v>
      </c>
      <c r="I18" s="150" t="str">
        <f ca="1">IF(tbl_RIOT[[#This Row],[RS]]= "", "", 100-(100/(1+tbl_RIOT[[#This Row],[RS]])))</f>
        <v/>
      </c>
      <c r="J18" s="149">
        <f ca="1">IF(ROW($N18)-4&lt;BB_Periods, "", AVERAGE(INDIRECT(ADDRESS(ROW($F18)-RSI_Periods +1, MATCH("Adj Close", Price_Header,0))): INDIRECT(ADDRESS(ROW($F18),MATCH("Adj Close", Price_Header,0)))))</f>
        <v>3.7260714285714287</v>
      </c>
      <c r="K18" s="149">
        <f ca="1">IF(tbl_RIOT[[#This Row],[BB_Mean]]="", "", tbl_RIOT[[#This Row],[BB_Mean]]+(2*tbl_RIOT[[#This Row],[BB_Stdev]]))</f>
        <v>4.2561248158887759</v>
      </c>
      <c r="L18" s="149">
        <f ca="1">IF(tbl_RIOT[[#This Row],[BB_Mean]]="", "", tbl_RIOT[[#This Row],[BB_Mean]]-(2*tbl_RIOT[[#This Row],[BB_Stdev]]))</f>
        <v>3.1960180412540815</v>
      </c>
      <c r="M18" s="150">
        <f>IF(ROW(tbl_RIOT[[#This Row],[Adj Close]])=5, 0, $F18-$F17)</f>
        <v>-0.14000000000000012</v>
      </c>
      <c r="N18" s="150">
        <f>MAX(tbl_RIOT[[#This Row],[Move]],0)</f>
        <v>0</v>
      </c>
      <c r="O18" s="150">
        <f>MAX(-tbl_RIOT[[#This Row],[Move]],0)</f>
        <v>0.14000000000000012</v>
      </c>
      <c r="P18" s="150" t="str">
        <f ca="1">IF(ROW($N18)-5&lt;RSI_Periods, "", AVERAGE(INDIRECT(ADDRESS(ROW($N18)-RSI_Periods +1, MATCH("Upmove", Price_Header,0))): INDIRECT(ADDRESS(ROW($N18),MATCH("Upmove", Price_Header,0)))))</f>
        <v/>
      </c>
      <c r="Q18" s="150" t="str">
        <f ca="1">IF(ROW($O18)-5&lt;RSI_Periods, "", AVERAGE(INDIRECT(ADDRESS(ROW($O18)-RSI_Periods +1, MATCH("Downmove", Price_Header,0))): INDIRECT(ADDRESS(ROW($O18),MATCH("Downmove", Price_Header,0)))))</f>
        <v/>
      </c>
      <c r="R18" s="150" t="str">
        <f ca="1">IF(tbl_RIOT[[#This Row],[Avg_Upmove]]="", "", tbl_RIOT[[#This Row],[Avg_Upmove]]/tbl_RIOT[[#This Row],[Avg_Downmove]])</f>
        <v/>
      </c>
      <c r="S18" s="149">
        <f ca="1">IF(ROW($N18)-4&lt;BB_Periods, "", _xlfn.STDEV.S(INDIRECT(ADDRESS(ROW($F18)-RSI_Periods +1, MATCH("Adj Close", Price_Header,0))): INDIRECT(ADDRESS(ROW($F18),MATCH("Adj Close", Price_Header,0)))))</f>
        <v>0.26502669365867354</v>
      </c>
    </row>
    <row r="19" spans="1:19" x14ac:dyDescent="0.25">
      <c r="A19" s="130">
        <v>44071</v>
      </c>
      <c r="B19" s="149">
        <v>3.23</v>
      </c>
      <c r="C19" s="149">
        <v>3.65</v>
      </c>
      <c r="D19" s="149">
        <v>3.21</v>
      </c>
      <c r="E19" s="149">
        <v>3.59</v>
      </c>
      <c r="F19" s="149">
        <v>3.59</v>
      </c>
      <c r="G19" s="129">
        <v>8666400</v>
      </c>
      <c r="H19" s="149">
        <f>IF(tbl_RIOT[[#This Row],[Date]]=$A$5, $F19, EMA_Beta*$H18 + (1-EMA_Beta)*$F19)</f>
        <v>3.7537317987109633</v>
      </c>
      <c r="I19" s="150">
        <f ca="1">IF(tbl_RIOT[[#This Row],[RS]]= "", "", 100-(100/(1+tbl_RIOT[[#This Row],[RS]])))</f>
        <v>41</v>
      </c>
      <c r="J19" s="149">
        <f ca="1">IF(ROW($N19)-4&lt;BB_Periods, "", AVERAGE(INDIRECT(ADDRESS(ROW($F19)-RSI_Periods +1, MATCH("Adj Close", Price_Header,0))): INDIRECT(ADDRESS(ROW($F19),MATCH("Adj Close", Price_Header,0)))))</f>
        <v>3.6875</v>
      </c>
      <c r="K19" s="149">
        <f ca="1">IF(tbl_RIOT[[#This Row],[BB_Mean]]="", "", tbl_RIOT[[#This Row],[BB_Mean]]+(2*tbl_RIOT[[#This Row],[BB_Stdev]]))</f>
        <v>4.1671272591214015</v>
      </c>
      <c r="L19" s="149">
        <f ca="1">IF(tbl_RIOT[[#This Row],[BB_Mean]]="", "", tbl_RIOT[[#This Row],[BB_Mean]]-(2*tbl_RIOT[[#This Row],[BB_Stdev]]))</f>
        <v>3.2078727408785985</v>
      </c>
      <c r="M19" s="150">
        <f>IF(ROW(tbl_RIOT[[#This Row],[Adj Close]])=5, 0, $F19-$F18)</f>
        <v>0.31999999999999984</v>
      </c>
      <c r="N19" s="150">
        <f>MAX(tbl_RIOT[[#This Row],[Move]],0)</f>
        <v>0.31999999999999984</v>
      </c>
      <c r="O19" s="150">
        <f>MAX(-tbl_RIOT[[#This Row],[Move]],0)</f>
        <v>0</v>
      </c>
      <c r="P19" s="150">
        <f ca="1">IF(ROW($N19)-5&lt;RSI_Periods, "", AVERAGE(INDIRECT(ADDRESS(ROW($N19)-RSI_Periods +1, MATCH("Upmove", Price_Header,0))): INDIRECT(ADDRESS(ROW($N19),MATCH("Upmove", Price_Header,0)))))</f>
        <v>8.7857142857142884E-2</v>
      </c>
      <c r="Q19" s="150">
        <f ca="1">IF(ROW($O19)-5&lt;RSI_Periods, "", AVERAGE(INDIRECT(ADDRESS(ROW($O19)-RSI_Periods +1, MATCH("Downmove", Price_Header,0))): INDIRECT(ADDRESS(ROW($O19),MATCH("Downmove", Price_Header,0)))))</f>
        <v>0.12642857142857147</v>
      </c>
      <c r="R19" s="150">
        <f ca="1">IF(tbl_RIOT[[#This Row],[Avg_Upmove]]="", "", tbl_RIOT[[#This Row],[Avg_Upmove]]/tbl_RIOT[[#This Row],[Avg_Downmove]])</f>
        <v>0.69491525423728806</v>
      </c>
      <c r="S19" s="149">
        <f ca="1">IF(ROW($N19)-4&lt;BB_Periods, "", _xlfn.STDEV.S(INDIRECT(ADDRESS(ROW($F19)-RSI_Periods +1, MATCH("Adj Close", Price_Header,0))): INDIRECT(ADDRESS(ROW($F19),MATCH("Adj Close", Price_Header,0)))))</f>
        <v>0.23981362956070065</v>
      </c>
    </row>
    <row r="20" spans="1:19" x14ac:dyDescent="0.25">
      <c r="A20" s="130">
        <v>44074</v>
      </c>
      <c r="B20" s="149">
        <v>3.66</v>
      </c>
      <c r="C20" s="149">
        <v>3.7</v>
      </c>
      <c r="D20" s="149">
        <v>3.35</v>
      </c>
      <c r="E20" s="149">
        <v>3.5</v>
      </c>
      <c r="F20" s="149">
        <v>3.5</v>
      </c>
      <c r="G20" s="129">
        <v>4588200</v>
      </c>
      <c r="H20" s="149">
        <f>IF(tbl_RIOT[[#This Row],[Date]]=$A$5, $F20, EMA_Beta*$H19 + (1-EMA_Beta)*$F20)</f>
        <v>3.728358618839867</v>
      </c>
      <c r="I20" s="150">
        <f ca="1">IF(tbl_RIOT[[#This Row],[RS]]= "", "", 100-(100/(1+tbl_RIOT[[#This Row],[RS]])))</f>
        <v>47.674418604651159</v>
      </c>
      <c r="J20" s="149">
        <f ca="1">IF(ROW($N20)-4&lt;BB_Periods, "", AVERAGE(INDIRECT(ADDRESS(ROW($F20)-RSI_Periods +1, MATCH("Adj Close", Price_Header,0))): INDIRECT(ADDRESS(ROW($F20),MATCH("Adj Close", Price_Header,0)))))</f>
        <v>3.678928571428572</v>
      </c>
      <c r="K20" s="149">
        <f ca="1">IF(tbl_RIOT[[#This Row],[BB_Mean]]="", "", tbl_RIOT[[#This Row],[BB_Mean]]+(2*tbl_RIOT[[#This Row],[BB_Stdev]]))</f>
        <v>4.167949234377704</v>
      </c>
      <c r="L20" s="149">
        <f ca="1">IF(tbl_RIOT[[#This Row],[BB_Mean]]="", "", tbl_RIOT[[#This Row],[BB_Mean]]-(2*tbl_RIOT[[#This Row],[BB_Stdev]]))</f>
        <v>3.1899079084794395</v>
      </c>
      <c r="M20" s="150">
        <f>IF(ROW(tbl_RIOT[[#This Row],[Adj Close]])=5, 0, $F20-$F19)</f>
        <v>-8.9999999999999858E-2</v>
      </c>
      <c r="N20" s="150">
        <f>MAX(tbl_RIOT[[#This Row],[Move]],0)</f>
        <v>0</v>
      </c>
      <c r="O20" s="150">
        <f>MAX(-tbl_RIOT[[#This Row],[Move]],0)</f>
        <v>8.9999999999999858E-2</v>
      </c>
      <c r="P20" s="150">
        <f ca="1">IF(ROW($N20)-5&lt;RSI_Periods, "", AVERAGE(INDIRECT(ADDRESS(ROW($N20)-RSI_Periods +1, MATCH("Upmove", Price_Header,0))): INDIRECT(ADDRESS(ROW($N20),MATCH("Upmove", Price_Header,0)))))</f>
        <v>8.7857142857142884E-2</v>
      </c>
      <c r="Q20" s="150">
        <f ca="1">IF(ROW($O20)-5&lt;RSI_Periods, "", AVERAGE(INDIRECT(ADDRESS(ROW($O20)-RSI_Periods +1, MATCH("Downmove", Price_Header,0))): INDIRECT(ADDRESS(ROW($O20),MATCH("Downmove", Price_Header,0)))))</f>
        <v>9.6428571428571461E-2</v>
      </c>
      <c r="R20" s="150">
        <f ca="1">IF(tbl_RIOT[[#This Row],[Avg_Upmove]]="", "", tbl_RIOT[[#This Row],[Avg_Upmove]]/tbl_RIOT[[#This Row],[Avg_Downmove]])</f>
        <v>0.91111111111111109</v>
      </c>
      <c r="S20" s="149">
        <f ca="1">IF(ROW($N20)-4&lt;BB_Periods, "", _xlfn.STDEV.S(INDIRECT(ADDRESS(ROW($F20)-RSI_Periods +1, MATCH("Adj Close", Price_Header,0))): INDIRECT(ADDRESS(ROW($F20),MATCH("Adj Close", Price_Header,0)))))</f>
        <v>0.24451033147456619</v>
      </c>
    </row>
    <row r="21" spans="1:19" x14ac:dyDescent="0.25">
      <c r="A21" s="130">
        <v>44075</v>
      </c>
      <c r="B21" s="149">
        <v>3.52</v>
      </c>
      <c r="C21" s="149">
        <v>3.88</v>
      </c>
      <c r="D21" s="149">
        <v>3.42</v>
      </c>
      <c r="E21" s="149">
        <v>3.75</v>
      </c>
      <c r="F21" s="149">
        <v>3.75</v>
      </c>
      <c r="G21" s="129">
        <v>8504900</v>
      </c>
      <c r="H21" s="149">
        <f>IF(tbl_RIOT[[#This Row],[Date]]=$A$5, $F21, EMA_Beta*$H20 + (1-EMA_Beta)*$F21)</f>
        <v>3.7305227569558803</v>
      </c>
      <c r="I21" s="150">
        <f ca="1">IF(tbl_RIOT[[#This Row],[RS]]= "", "", 100-(100/(1+tbl_RIOT[[#This Row],[RS]])))</f>
        <v>53.818181818181813</v>
      </c>
      <c r="J21" s="149">
        <f ca="1">IF(ROW($N21)-4&lt;BB_Periods, "", AVERAGE(INDIRECT(ADDRESS(ROW($F21)-RSI_Periods +1, MATCH("Adj Close", Price_Header,0))): INDIRECT(ADDRESS(ROW($F21),MATCH("Adj Close", Price_Header,0)))))</f>
        <v>3.6939285714285717</v>
      </c>
      <c r="K21" s="149">
        <f ca="1">IF(tbl_RIOT[[#This Row],[BB_Mean]]="", "", tbl_RIOT[[#This Row],[BB_Mean]]+(2*tbl_RIOT[[#This Row],[BB_Stdev]]))</f>
        <v>4.1774441995496936</v>
      </c>
      <c r="L21" s="149">
        <f ca="1">IF(tbl_RIOT[[#This Row],[BB_Mean]]="", "", tbl_RIOT[[#This Row],[BB_Mean]]-(2*tbl_RIOT[[#This Row],[BB_Stdev]]))</f>
        <v>3.2104129433074502</v>
      </c>
      <c r="M21" s="150">
        <f>IF(ROW(tbl_RIOT[[#This Row],[Adj Close]])=5, 0, $F21-$F20)</f>
        <v>0.25</v>
      </c>
      <c r="N21" s="150">
        <f>MAX(tbl_RIOT[[#This Row],[Move]],0)</f>
        <v>0.25</v>
      </c>
      <c r="O21" s="150">
        <f>MAX(-tbl_RIOT[[#This Row],[Move]],0)</f>
        <v>0</v>
      </c>
      <c r="P21" s="150">
        <f ca="1">IF(ROW($N21)-5&lt;RSI_Periods, "", AVERAGE(INDIRECT(ADDRESS(ROW($N21)-RSI_Periods +1, MATCH("Upmove", Price_Header,0))): INDIRECT(ADDRESS(ROW($N21),MATCH("Upmove", Price_Header,0)))))</f>
        <v>0.10571428571428575</v>
      </c>
      <c r="Q21" s="150">
        <f ca="1">IF(ROW($O21)-5&lt;RSI_Periods, "", AVERAGE(INDIRECT(ADDRESS(ROW($O21)-RSI_Periods +1, MATCH("Downmove", Price_Header,0))): INDIRECT(ADDRESS(ROW($O21),MATCH("Downmove", Price_Header,0)))))</f>
        <v>9.0714285714285747E-2</v>
      </c>
      <c r="R21" s="150">
        <f ca="1">IF(tbl_RIOT[[#This Row],[Avg_Upmove]]="", "", tbl_RIOT[[#This Row],[Avg_Upmove]]/tbl_RIOT[[#This Row],[Avg_Downmove]])</f>
        <v>1.1653543307086613</v>
      </c>
      <c r="S21" s="149">
        <f ca="1">IF(ROW($N21)-4&lt;BB_Periods, "", _xlfn.STDEV.S(INDIRECT(ADDRESS(ROW($F21)-RSI_Periods +1, MATCH("Adj Close", Price_Header,0))): INDIRECT(ADDRESS(ROW($F21),MATCH("Adj Close", Price_Header,0)))))</f>
        <v>0.24175781406056082</v>
      </c>
    </row>
    <row r="22" spans="1:19" x14ac:dyDescent="0.25">
      <c r="A22" s="130">
        <v>44076</v>
      </c>
      <c r="B22" s="149">
        <v>3.51</v>
      </c>
      <c r="C22" s="149">
        <v>3.52</v>
      </c>
      <c r="D22" s="149">
        <v>3.3</v>
      </c>
      <c r="E22" s="149">
        <v>3.43</v>
      </c>
      <c r="F22" s="149">
        <v>3.43</v>
      </c>
      <c r="G22" s="129">
        <v>5030500</v>
      </c>
      <c r="H22" s="149">
        <f>IF(tbl_RIOT[[#This Row],[Date]]=$A$5, $F22, EMA_Beta*$H21 + (1-EMA_Beta)*$F22)</f>
        <v>3.7004704812602922</v>
      </c>
      <c r="I22" s="150">
        <f ca="1">IF(tbl_RIOT[[#This Row],[RS]]= "", "", 100-(100/(1+tbl_RIOT[[#This Row],[RS]])))</f>
        <v>47.000000000000007</v>
      </c>
      <c r="J22" s="149">
        <f ca="1">IF(ROW($N22)-4&lt;BB_Periods, "", AVERAGE(INDIRECT(ADDRESS(ROW($F22)-RSI_Periods +1, MATCH("Adj Close", Price_Header,0))): INDIRECT(ADDRESS(ROW($F22),MATCH("Adj Close", Price_Header,0)))))</f>
        <v>3.6810714285714288</v>
      </c>
      <c r="K22" s="149">
        <f ca="1">IF(tbl_RIOT[[#This Row],[BB_Mean]]="", "", tbl_RIOT[[#This Row],[BB_Mean]]+(2*tbl_RIOT[[#This Row],[BB_Stdev]]))</f>
        <v>4.183407181620332</v>
      </c>
      <c r="L22" s="149">
        <f ca="1">IF(tbl_RIOT[[#This Row],[BB_Mean]]="", "", tbl_RIOT[[#This Row],[BB_Mean]]-(2*tbl_RIOT[[#This Row],[BB_Stdev]]))</f>
        <v>3.1787356755225256</v>
      </c>
      <c r="M22" s="150">
        <f>IF(ROW(tbl_RIOT[[#This Row],[Adj Close]])=5, 0, $F22-$F21)</f>
        <v>-0.31999999999999984</v>
      </c>
      <c r="N22" s="150">
        <f>MAX(tbl_RIOT[[#This Row],[Move]],0)</f>
        <v>0</v>
      </c>
      <c r="O22" s="150">
        <f>MAX(-tbl_RIOT[[#This Row],[Move]],0)</f>
        <v>0.31999999999999984</v>
      </c>
      <c r="P22" s="150">
        <f ca="1">IF(ROW($N22)-5&lt;RSI_Periods, "", AVERAGE(INDIRECT(ADDRESS(ROW($N22)-RSI_Periods +1, MATCH("Upmove", Price_Header,0))): INDIRECT(ADDRESS(ROW($N22),MATCH("Upmove", Price_Header,0)))))</f>
        <v>0.10071428571428576</v>
      </c>
      <c r="Q22" s="150">
        <f ca="1">IF(ROW($O22)-5&lt;RSI_Periods, "", AVERAGE(INDIRECT(ADDRESS(ROW($O22)-RSI_Periods +1, MATCH("Downmove", Price_Header,0))): INDIRECT(ADDRESS(ROW($O22),MATCH("Downmove", Price_Header,0)))))</f>
        <v>0.11357142857142859</v>
      </c>
      <c r="R22" s="150">
        <f ca="1">IF(tbl_RIOT[[#This Row],[Avg_Upmove]]="", "", tbl_RIOT[[#This Row],[Avg_Upmove]]/tbl_RIOT[[#This Row],[Avg_Downmove]])</f>
        <v>0.88679245283018893</v>
      </c>
      <c r="S22" s="149">
        <f ca="1">IF(ROW($N22)-4&lt;BB_Periods, "", _xlfn.STDEV.S(INDIRECT(ADDRESS(ROW($F22)-RSI_Periods +1, MATCH("Adj Close", Price_Header,0))): INDIRECT(ADDRESS(ROW($F22),MATCH("Adj Close", Price_Header,0)))))</f>
        <v>0.25116787652445172</v>
      </c>
    </row>
    <row r="23" spans="1:19" x14ac:dyDescent="0.25">
      <c r="A23" s="130">
        <v>44077</v>
      </c>
      <c r="B23" s="149">
        <v>3.1</v>
      </c>
      <c r="C23" s="149">
        <v>3.29</v>
      </c>
      <c r="D23" s="149">
        <v>3.06</v>
      </c>
      <c r="E23" s="149">
        <v>3.16</v>
      </c>
      <c r="F23" s="149">
        <v>3.16</v>
      </c>
      <c r="G23" s="129">
        <v>5900100</v>
      </c>
      <c r="H23" s="149">
        <f>IF(tbl_RIOT[[#This Row],[Date]]=$A$5, $F23, EMA_Beta*$H22 + (1-EMA_Beta)*$F23)</f>
        <v>3.6464234331342631</v>
      </c>
      <c r="I23" s="150">
        <f ca="1">IF(tbl_RIOT[[#This Row],[RS]]= "", "", 100-(100/(1+tbl_RIOT[[#This Row],[RS]])))</f>
        <v>40.000000000000007</v>
      </c>
      <c r="J23" s="149">
        <f ca="1">IF(ROW($N23)-4&lt;BB_Periods, "", AVERAGE(INDIRECT(ADDRESS(ROW($F23)-RSI_Periods +1, MATCH("Adj Close", Price_Header,0))): INDIRECT(ADDRESS(ROW($F23),MATCH("Adj Close", Price_Header,0)))))</f>
        <v>3.6367857142857147</v>
      </c>
      <c r="K23" s="149">
        <f ca="1">IF(tbl_RIOT[[#This Row],[BB_Mean]]="", "", tbl_RIOT[[#This Row],[BB_Mean]]+(2*tbl_RIOT[[#This Row],[BB_Stdev]]))</f>
        <v>4.2063686540536871</v>
      </c>
      <c r="L23" s="149">
        <f ca="1">IF(tbl_RIOT[[#This Row],[BB_Mean]]="", "", tbl_RIOT[[#This Row],[BB_Mean]]-(2*tbl_RIOT[[#This Row],[BB_Stdev]]))</f>
        <v>3.0672027745177424</v>
      </c>
      <c r="M23" s="150">
        <f>IF(ROW(tbl_RIOT[[#This Row],[Adj Close]])=5, 0, $F23-$F22)</f>
        <v>-0.27</v>
      </c>
      <c r="N23" s="150">
        <f>MAX(tbl_RIOT[[#This Row],[Move]],0)</f>
        <v>0</v>
      </c>
      <c r="O23" s="150">
        <f>MAX(-tbl_RIOT[[#This Row],[Move]],0)</f>
        <v>0.27</v>
      </c>
      <c r="P23" s="150">
        <f ca="1">IF(ROW($N23)-5&lt;RSI_Periods, "", AVERAGE(INDIRECT(ADDRESS(ROW($N23)-RSI_Periods +1, MATCH("Upmove", Price_Header,0))): INDIRECT(ADDRESS(ROW($N23),MATCH("Upmove", Price_Header,0)))))</f>
        <v>8.857142857142862E-2</v>
      </c>
      <c r="Q23" s="150">
        <f ca="1">IF(ROW($O23)-5&lt;RSI_Periods, "", AVERAGE(INDIRECT(ADDRESS(ROW($O23)-RSI_Periods +1, MATCH("Downmove", Price_Header,0))): INDIRECT(ADDRESS(ROW($O23),MATCH("Downmove", Price_Header,0)))))</f>
        <v>0.13285714285714287</v>
      </c>
      <c r="R23" s="150">
        <f ca="1">IF(tbl_RIOT[[#This Row],[Avg_Upmove]]="", "", tbl_RIOT[[#This Row],[Avg_Upmove]]/tbl_RIOT[[#This Row],[Avg_Downmove]])</f>
        <v>0.66666666666666696</v>
      </c>
      <c r="S23" s="149">
        <f ca="1">IF(ROW($N23)-4&lt;BB_Periods, "", _xlfn.STDEV.S(INDIRECT(ADDRESS(ROW($F23)-RSI_Periods +1, MATCH("Adj Close", Price_Header,0))): INDIRECT(ADDRESS(ROW($F23),MATCH("Adj Close", Price_Header,0)))))</f>
        <v>0.28479146988398607</v>
      </c>
    </row>
    <row r="24" spans="1:19" x14ac:dyDescent="0.25">
      <c r="A24" s="130">
        <v>44078</v>
      </c>
      <c r="B24" s="149">
        <v>3.08</v>
      </c>
      <c r="C24" s="149">
        <v>3.2</v>
      </c>
      <c r="D24" s="149">
        <v>2.54</v>
      </c>
      <c r="E24" s="149">
        <v>3.11</v>
      </c>
      <c r="F24" s="149">
        <v>3.11</v>
      </c>
      <c r="G24" s="129">
        <v>8056200</v>
      </c>
      <c r="H24" s="149">
        <f>IF(tbl_RIOT[[#This Row],[Date]]=$A$5, $F24, EMA_Beta*$H23 + (1-EMA_Beta)*$F24)</f>
        <v>3.592781089820837</v>
      </c>
      <c r="I24" s="150">
        <f ca="1">IF(tbl_RIOT[[#This Row],[RS]]= "", "", 100-(100/(1+tbl_RIOT[[#This Row],[RS]])))</f>
        <v>31.294964028776974</v>
      </c>
      <c r="J24" s="149">
        <f ca="1">IF(ROW($N24)-4&lt;BB_Periods, "", AVERAGE(INDIRECT(ADDRESS(ROW($F24)-RSI_Periods +1, MATCH("Adj Close", Price_Header,0))): INDIRECT(ADDRESS(ROW($F24),MATCH("Adj Close", Price_Header,0)))))</f>
        <v>3.5625</v>
      </c>
      <c r="K24" s="149">
        <f ca="1">IF(tbl_RIOT[[#This Row],[BB_Mean]]="", "", tbl_RIOT[[#This Row],[BB_Mean]]+(2*tbl_RIOT[[#This Row],[BB_Stdev]]))</f>
        <v>4.1147645687043068</v>
      </c>
      <c r="L24" s="149">
        <f ca="1">IF(tbl_RIOT[[#This Row],[BB_Mean]]="", "", tbl_RIOT[[#This Row],[BB_Mean]]-(2*tbl_RIOT[[#This Row],[BB_Stdev]]))</f>
        <v>3.0102354312956932</v>
      </c>
      <c r="M24" s="150">
        <f>IF(ROW(tbl_RIOT[[#This Row],[Adj Close]])=5, 0, $F24-$F23)</f>
        <v>-5.0000000000000266E-2</v>
      </c>
      <c r="N24" s="150">
        <f>MAX(tbl_RIOT[[#This Row],[Move]],0)</f>
        <v>0</v>
      </c>
      <c r="O24" s="150">
        <f>MAX(-tbl_RIOT[[#This Row],[Move]],0)</f>
        <v>5.0000000000000266E-2</v>
      </c>
      <c r="P24" s="150">
        <f ca="1">IF(ROW($N24)-5&lt;RSI_Periods, "", AVERAGE(INDIRECT(ADDRESS(ROW($N24)-RSI_Periods +1, MATCH("Upmove", Price_Header,0))): INDIRECT(ADDRESS(ROW($N24),MATCH("Upmove", Price_Header,0)))))</f>
        <v>6.2142857142857152E-2</v>
      </c>
      <c r="Q24" s="150">
        <f ca="1">IF(ROW($O24)-5&lt;RSI_Periods, "", AVERAGE(INDIRECT(ADDRESS(ROW($O24)-RSI_Periods +1, MATCH("Downmove", Price_Header,0))): INDIRECT(ADDRESS(ROW($O24),MATCH("Downmove", Price_Header,0)))))</f>
        <v>0.13642857142857148</v>
      </c>
      <c r="R24" s="150">
        <f ca="1">IF(tbl_RIOT[[#This Row],[Avg_Upmove]]="", "", tbl_RIOT[[#This Row],[Avg_Upmove]]/tbl_RIOT[[#This Row],[Avg_Downmove]])</f>
        <v>0.45549738219895275</v>
      </c>
      <c r="S24" s="149">
        <f ca="1">IF(ROW($N24)-4&lt;BB_Periods, "", _xlfn.STDEV.S(INDIRECT(ADDRESS(ROW($F24)-RSI_Periods +1, MATCH("Adj Close", Price_Header,0))): INDIRECT(ADDRESS(ROW($F24),MATCH("Adj Close", Price_Header,0)))))</f>
        <v>0.27613228435215331</v>
      </c>
    </row>
    <row r="25" spans="1:19" x14ac:dyDescent="0.25">
      <c r="A25" s="130">
        <v>44082</v>
      </c>
      <c r="B25" s="149">
        <v>2.84</v>
      </c>
      <c r="C25" s="149">
        <v>3.02</v>
      </c>
      <c r="D25" s="149">
        <v>2.63</v>
      </c>
      <c r="E25" s="149">
        <v>2.82</v>
      </c>
      <c r="F25" s="149">
        <v>2.82</v>
      </c>
      <c r="G25" s="129">
        <v>4434900</v>
      </c>
      <c r="H25" s="149">
        <f>IF(tbl_RIOT[[#This Row],[Date]]=$A$5, $F25, EMA_Beta*$H24 + (1-EMA_Beta)*$F25)</f>
        <v>3.5155029808387535</v>
      </c>
      <c r="I25" s="150">
        <f ca="1">IF(tbl_RIOT[[#This Row],[RS]]= "", "", 100-(100/(1+tbl_RIOT[[#This Row],[RS]])))</f>
        <v>29.391891891891902</v>
      </c>
      <c r="J25" s="149">
        <f ca="1">IF(ROW($N25)-4&lt;BB_Periods, "", AVERAGE(INDIRECT(ADDRESS(ROW($F25)-RSI_Periods +1, MATCH("Adj Close", Price_Header,0))): INDIRECT(ADDRESS(ROW($F25),MATCH("Adj Close", Price_Header,0)))))</f>
        <v>3.4753571428571433</v>
      </c>
      <c r="K25" s="149">
        <f ca="1">IF(tbl_RIOT[[#This Row],[BB_Mean]]="", "", tbl_RIOT[[#This Row],[BB_Mean]]+(2*tbl_RIOT[[#This Row],[BB_Stdev]]))</f>
        <v>4.0850792016765602</v>
      </c>
      <c r="L25" s="149">
        <f ca="1">IF(tbl_RIOT[[#This Row],[BB_Mean]]="", "", tbl_RIOT[[#This Row],[BB_Mean]]-(2*tbl_RIOT[[#This Row],[BB_Stdev]]))</f>
        <v>2.8656350840377258</v>
      </c>
      <c r="M25" s="150">
        <f>IF(ROW(tbl_RIOT[[#This Row],[Adj Close]])=5, 0, $F25-$F24)</f>
        <v>-0.29000000000000004</v>
      </c>
      <c r="N25" s="150">
        <f>MAX(tbl_RIOT[[#This Row],[Move]],0)</f>
        <v>0</v>
      </c>
      <c r="O25" s="150">
        <f>MAX(-tbl_RIOT[[#This Row],[Move]],0)</f>
        <v>0.29000000000000004</v>
      </c>
      <c r="P25" s="150">
        <f ca="1">IF(ROW($N25)-5&lt;RSI_Periods, "", AVERAGE(INDIRECT(ADDRESS(ROW($N25)-RSI_Periods +1, MATCH("Upmove", Price_Header,0))): INDIRECT(ADDRESS(ROW($N25),MATCH("Upmove", Price_Header,0)))))</f>
        <v>6.2142857142857152E-2</v>
      </c>
      <c r="Q25" s="150">
        <f ca="1">IF(ROW($O25)-5&lt;RSI_Periods, "", AVERAGE(INDIRECT(ADDRESS(ROW($O25)-RSI_Periods +1, MATCH("Downmove", Price_Header,0))): INDIRECT(ADDRESS(ROW($O25),MATCH("Downmove", Price_Header,0)))))</f>
        <v>0.1492857142857143</v>
      </c>
      <c r="R25" s="150">
        <f ca="1">IF(tbl_RIOT[[#This Row],[Avg_Upmove]]="", "", tbl_RIOT[[#This Row],[Avg_Upmove]]/tbl_RIOT[[#This Row],[Avg_Downmove]])</f>
        <v>0.41626794258373206</v>
      </c>
      <c r="S25" s="149">
        <f ca="1">IF(ROW($N25)-4&lt;BB_Periods, "", _xlfn.STDEV.S(INDIRECT(ADDRESS(ROW($F25)-RSI_Periods +1, MATCH("Adj Close", Price_Header,0))): INDIRECT(ADDRESS(ROW($F25),MATCH("Adj Close", Price_Header,0)))))</f>
        <v>0.30486102940970872</v>
      </c>
    </row>
    <row r="26" spans="1:19" x14ac:dyDescent="0.25">
      <c r="A26" s="130">
        <v>44083</v>
      </c>
      <c r="B26" s="149">
        <v>2.88</v>
      </c>
      <c r="C26" s="149">
        <v>3.09</v>
      </c>
      <c r="D26" s="149">
        <v>2.88</v>
      </c>
      <c r="E26" s="149">
        <v>2.95</v>
      </c>
      <c r="F26" s="149">
        <v>2.95</v>
      </c>
      <c r="G26" s="129">
        <v>3976600</v>
      </c>
      <c r="H26" s="149">
        <f>IF(tbl_RIOT[[#This Row],[Date]]=$A$5, $F26, EMA_Beta*$H25 + (1-EMA_Beta)*$F26)</f>
        <v>3.458952682754878</v>
      </c>
      <c r="I26" s="150">
        <f ca="1">IF(tbl_RIOT[[#This Row],[RS]]= "", "", 100-(100/(1+tbl_RIOT[[#This Row],[RS]])))</f>
        <v>36.496350364963511</v>
      </c>
      <c r="J26" s="149">
        <f ca="1">IF(ROW($N26)-4&lt;BB_Periods, "", AVERAGE(INDIRECT(ADDRESS(ROW($F26)-RSI_Periods +1, MATCH("Adj Close", Price_Header,0))): INDIRECT(ADDRESS(ROW($F26),MATCH("Adj Close", Price_Header,0)))))</f>
        <v>3.4224999999999999</v>
      </c>
      <c r="K26" s="149">
        <f ca="1">IF(tbl_RIOT[[#This Row],[BB_Mean]]="", "", tbl_RIOT[[#This Row],[BB_Mean]]+(2*tbl_RIOT[[#This Row],[BB_Stdev]]))</f>
        <v>4.0786044710433522</v>
      </c>
      <c r="L26" s="149">
        <f ca="1">IF(tbl_RIOT[[#This Row],[BB_Mean]]="", "", tbl_RIOT[[#This Row],[BB_Mean]]-(2*tbl_RIOT[[#This Row],[BB_Stdev]]))</f>
        <v>2.7663955289566475</v>
      </c>
      <c r="M26" s="150">
        <f>IF(ROW(tbl_RIOT[[#This Row],[Adj Close]])=5, 0, $F26-$F25)</f>
        <v>0.13000000000000034</v>
      </c>
      <c r="N26" s="150">
        <f>MAX(tbl_RIOT[[#This Row],[Move]],0)</f>
        <v>0.13000000000000034</v>
      </c>
      <c r="O26" s="150">
        <f>MAX(-tbl_RIOT[[#This Row],[Move]],0)</f>
        <v>0</v>
      </c>
      <c r="P26" s="150">
        <f ca="1">IF(ROW($N26)-5&lt;RSI_Periods, "", AVERAGE(INDIRECT(ADDRESS(ROW($N26)-RSI_Periods +1, MATCH("Upmove", Price_Header,0))): INDIRECT(ADDRESS(ROW($N26),MATCH("Upmove", Price_Header,0)))))</f>
        <v>7.1428571428571466E-2</v>
      </c>
      <c r="Q26" s="150">
        <f ca="1">IF(ROW($O26)-5&lt;RSI_Periods, "", AVERAGE(INDIRECT(ADDRESS(ROW($O26)-RSI_Periods +1, MATCH("Downmove", Price_Header,0))): INDIRECT(ADDRESS(ROW($O26),MATCH("Downmove", Price_Header,0)))))</f>
        <v>0.1242857142857143</v>
      </c>
      <c r="R26" s="150">
        <f ca="1">IF(tbl_RIOT[[#This Row],[Avg_Upmove]]="", "", tbl_RIOT[[#This Row],[Avg_Upmove]]/tbl_RIOT[[#This Row],[Avg_Downmove]])</f>
        <v>0.57471264367816111</v>
      </c>
      <c r="S26" s="149">
        <f ca="1">IF(ROW($N26)-4&lt;BB_Periods, "", _xlfn.STDEV.S(INDIRECT(ADDRESS(ROW($F26)-RSI_Periods +1, MATCH("Adj Close", Price_Header,0))): INDIRECT(ADDRESS(ROW($F26),MATCH("Adj Close", Price_Header,0)))))</f>
        <v>0.32805223552167612</v>
      </c>
    </row>
    <row r="27" spans="1:19" x14ac:dyDescent="0.25">
      <c r="A27" s="130">
        <v>44084</v>
      </c>
      <c r="B27" s="149">
        <v>3.01</v>
      </c>
      <c r="C27" s="149">
        <v>3.2</v>
      </c>
      <c r="D27" s="149">
        <v>2.78</v>
      </c>
      <c r="E27" s="149">
        <v>2.81</v>
      </c>
      <c r="F27" s="149">
        <v>2.81</v>
      </c>
      <c r="G27" s="129">
        <v>4480900</v>
      </c>
      <c r="H27" s="149">
        <f>IF(tbl_RIOT[[#This Row],[Date]]=$A$5, $F27, EMA_Beta*$H26 + (1-EMA_Beta)*$F27)</f>
        <v>3.3940574144793905</v>
      </c>
      <c r="I27" s="150">
        <f ca="1">IF(tbl_RIOT[[#This Row],[RS]]= "", "", 100-(100/(1+tbl_RIOT[[#This Row],[RS]])))</f>
        <v>27.131782945736433</v>
      </c>
      <c r="J27" s="149">
        <f ca="1">IF(ROW($N27)-4&lt;BB_Periods, "", AVERAGE(INDIRECT(ADDRESS(ROW($F27)-RSI_Periods +1, MATCH("Adj Close", Price_Header,0))): INDIRECT(ADDRESS(ROW($F27),MATCH("Adj Close", Price_Header,0)))))</f>
        <v>3.3382142857142862</v>
      </c>
      <c r="K27" s="149">
        <f ca="1">IF(tbl_RIOT[[#This Row],[BB_Mean]]="", "", tbl_RIOT[[#This Row],[BB_Mean]]+(2*tbl_RIOT[[#This Row],[BB_Stdev]]))</f>
        <v>3.9833571696239987</v>
      </c>
      <c r="L27" s="149">
        <f ca="1">IF(tbl_RIOT[[#This Row],[BB_Mean]]="", "", tbl_RIOT[[#This Row],[BB_Mean]]-(2*tbl_RIOT[[#This Row],[BB_Stdev]]))</f>
        <v>2.6930714018045738</v>
      </c>
      <c r="M27" s="150">
        <f>IF(ROW(tbl_RIOT[[#This Row],[Adj Close]])=5, 0, $F27-$F26)</f>
        <v>-0.14000000000000012</v>
      </c>
      <c r="N27" s="150">
        <f>MAX(tbl_RIOT[[#This Row],[Move]],0)</f>
        <v>0</v>
      </c>
      <c r="O27" s="150">
        <f>MAX(-tbl_RIOT[[#This Row],[Move]],0)</f>
        <v>0.14000000000000012</v>
      </c>
      <c r="P27" s="150">
        <f ca="1">IF(ROW($N27)-5&lt;RSI_Periods, "", AVERAGE(INDIRECT(ADDRESS(ROW($N27)-RSI_Periods +1, MATCH("Upmove", Price_Header,0))): INDIRECT(ADDRESS(ROW($N27),MATCH("Upmove", Price_Header,0)))))</f>
        <v>5.000000000000001E-2</v>
      </c>
      <c r="Q27" s="150">
        <f ca="1">IF(ROW($O27)-5&lt;RSI_Periods, "", AVERAGE(INDIRECT(ADDRESS(ROW($O27)-RSI_Periods +1, MATCH("Downmove", Price_Header,0))): INDIRECT(ADDRESS(ROW($O27),MATCH("Downmove", Price_Header,0)))))</f>
        <v>0.13428571428571431</v>
      </c>
      <c r="R27" s="150">
        <f ca="1">IF(tbl_RIOT[[#This Row],[Avg_Upmove]]="", "", tbl_RIOT[[#This Row],[Avg_Upmove]]/tbl_RIOT[[#This Row],[Avg_Downmove]])</f>
        <v>0.37234042553191488</v>
      </c>
      <c r="S27" s="149">
        <f ca="1">IF(ROW($N27)-4&lt;BB_Periods, "", _xlfn.STDEV.S(INDIRECT(ADDRESS(ROW($F27)-RSI_Periods +1, MATCH("Adj Close", Price_Header,0))): INDIRECT(ADDRESS(ROW($F27),MATCH("Adj Close", Price_Header,0)))))</f>
        <v>0.32257144195485621</v>
      </c>
    </row>
    <row r="28" spans="1:19" x14ac:dyDescent="0.25">
      <c r="A28" s="130">
        <v>44085</v>
      </c>
      <c r="B28" s="149">
        <v>2.87</v>
      </c>
      <c r="C28" s="149">
        <v>2.97</v>
      </c>
      <c r="D28" s="149">
        <v>2.75</v>
      </c>
      <c r="E28" s="149">
        <v>2.91</v>
      </c>
      <c r="F28" s="149">
        <v>2.91</v>
      </c>
      <c r="G28" s="129">
        <v>2944500</v>
      </c>
      <c r="H28" s="149">
        <f>IF(tbl_RIOT[[#This Row],[Date]]=$A$5, $F28, EMA_Beta*$H27 + (1-EMA_Beta)*$F28)</f>
        <v>3.3456516730314516</v>
      </c>
      <c r="I28" s="150">
        <f ca="1">IF(tbl_RIOT[[#This Row],[RS]]= "", "", 100-(100/(1+tbl_RIOT[[#This Row],[RS]])))</f>
        <v>33.126293995859214</v>
      </c>
      <c r="J28" s="149">
        <f ca="1">IF(ROW($N28)-4&lt;BB_Periods, "", AVERAGE(INDIRECT(ADDRESS(ROW($F28)-RSI_Periods +1, MATCH("Adj Close", Price_Header,0))): INDIRECT(ADDRESS(ROW($F28),MATCH("Adj Close", Price_Header,0)))))</f>
        <v>3.2800000000000002</v>
      </c>
      <c r="K28" s="149">
        <f ca="1">IF(tbl_RIOT[[#This Row],[BB_Mean]]="", "", tbl_RIOT[[#This Row],[BB_Mean]]+(2*tbl_RIOT[[#This Row],[BB_Stdev]]))</f>
        <v>3.9218722614352486</v>
      </c>
      <c r="L28" s="149">
        <f ca="1">IF(tbl_RIOT[[#This Row],[BB_Mean]]="", "", tbl_RIOT[[#This Row],[BB_Mean]]-(2*tbl_RIOT[[#This Row],[BB_Stdev]]))</f>
        <v>2.6381277385647519</v>
      </c>
      <c r="M28" s="150">
        <f>IF(ROW(tbl_RIOT[[#This Row],[Adj Close]])=5, 0, $F28-$F27)</f>
        <v>0.10000000000000009</v>
      </c>
      <c r="N28" s="150">
        <f>MAX(tbl_RIOT[[#This Row],[Move]],0)</f>
        <v>0.10000000000000009</v>
      </c>
      <c r="O28" s="150">
        <f>MAX(-tbl_RIOT[[#This Row],[Move]],0)</f>
        <v>0</v>
      </c>
      <c r="P28" s="150">
        <f ca="1">IF(ROW($N28)-5&lt;RSI_Periods, "", AVERAGE(INDIRECT(ADDRESS(ROW($N28)-RSI_Periods +1, MATCH("Upmove", Price_Header,0))): INDIRECT(ADDRESS(ROW($N28),MATCH("Upmove", Price_Header,0)))))</f>
        <v>5.7142857142857162E-2</v>
      </c>
      <c r="Q28" s="150">
        <f ca="1">IF(ROW($O28)-5&lt;RSI_Periods, "", AVERAGE(INDIRECT(ADDRESS(ROW($O28)-RSI_Periods +1, MATCH("Downmove", Price_Header,0))): INDIRECT(ADDRESS(ROW($O28),MATCH("Downmove", Price_Header,0)))))</f>
        <v>0.11535714285714287</v>
      </c>
      <c r="R28" s="150">
        <f ca="1">IF(tbl_RIOT[[#This Row],[Avg_Upmove]]="", "", tbl_RIOT[[#This Row],[Avg_Upmove]]/tbl_RIOT[[#This Row],[Avg_Downmove]])</f>
        <v>0.4953560371517029</v>
      </c>
      <c r="S28" s="149">
        <f ca="1">IF(ROW($N28)-4&lt;BB_Periods, "", _xlfn.STDEV.S(INDIRECT(ADDRESS(ROW($F28)-RSI_Periods +1, MATCH("Adj Close", Price_Header,0))): INDIRECT(ADDRESS(ROW($F28),MATCH("Adj Close", Price_Header,0)))))</f>
        <v>0.32093613071762422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B16" sqref="B16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170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s="129" t="s">
        <v>58</v>
      </c>
      <c r="B4" s="129" t="s">
        <v>75</v>
      </c>
      <c r="C4" s="129" t="s">
        <v>76</v>
      </c>
      <c r="D4" s="129" t="s">
        <v>77</v>
      </c>
      <c r="E4" s="129" t="s">
        <v>78</v>
      </c>
      <c r="F4" s="129" t="s">
        <v>79</v>
      </c>
      <c r="G4" s="129" t="s">
        <v>80</v>
      </c>
      <c r="H4" s="129" t="s">
        <v>84</v>
      </c>
      <c r="I4" s="129" t="s">
        <v>85</v>
      </c>
      <c r="J4" s="129" t="s">
        <v>129</v>
      </c>
      <c r="K4" s="129" t="s">
        <v>130</v>
      </c>
      <c r="L4" s="129" t="s">
        <v>131</v>
      </c>
      <c r="M4" s="129" t="s">
        <v>172</v>
      </c>
      <c r="N4" s="129" t="s">
        <v>173</v>
      </c>
      <c r="O4" s="129" t="s">
        <v>174</v>
      </c>
      <c r="P4" s="129" t="s">
        <v>175</v>
      </c>
      <c r="Q4" s="129" t="s">
        <v>176</v>
      </c>
      <c r="R4" s="129" t="s">
        <v>177</v>
      </c>
      <c r="S4" s="129" t="s">
        <v>178</v>
      </c>
    </row>
    <row r="5" spans="1:19" x14ac:dyDescent="0.25">
      <c r="A5" s="130">
        <v>44053</v>
      </c>
      <c r="B5" s="149">
        <v>125.41999800000001</v>
      </c>
      <c r="C5" s="149">
        <v>127.239998</v>
      </c>
      <c r="D5" s="149">
        <v>125.18</v>
      </c>
      <c r="E5" s="149">
        <v>127.110001</v>
      </c>
      <c r="F5" s="149">
        <v>127.110001</v>
      </c>
      <c r="G5" s="129">
        <v>3968300</v>
      </c>
      <c r="H5" s="149">
        <f>IF(tbl_IBM[[#This Row],[Date]]=$A$5, $F5, EMA_Beta*$H4 + (1-EMA_Beta)*$F5)</f>
        <v>127.110001</v>
      </c>
      <c r="I5" s="150" t="str">
        <f ca="1">IF(tbl_IBM[[#This Row],[RS]]= "", "", 100-(100/(1+tbl_IBM[[#This Row],[RS]])))</f>
        <v/>
      </c>
      <c r="J5" s="149" t="str">
        <f ca="1">IF(ROW($N5)-4&lt;BB_Periods, "", AVERAGE(INDIRECT(ADDRESS(ROW($F5)-RSI_Periods +1, MATCH("Adj Close", Price_Header,0))): INDIRECT(ADDRESS(ROW($F5),MATCH("Adj Close", Price_Header,0)))))</f>
        <v/>
      </c>
      <c r="K5" s="149" t="str">
        <f ca="1">IF(tbl_IBM[[#This Row],[BB_Mean]]="", "", tbl_IBM[[#This Row],[BB_Mean]]+(2*tbl_IBM[[#This Row],[BB_Stdev]]))</f>
        <v/>
      </c>
      <c r="L5" s="149" t="str">
        <f ca="1">IF(tbl_IBM[[#This Row],[BB_Mean]]="", "", tbl_IBM[[#This Row],[BB_Mean]]-(2*tbl_IBM[[#This Row],[BB_Stdev]]))</f>
        <v/>
      </c>
      <c r="M5" s="150">
        <f>IF(ROW(tbl_IBM[[#This Row],[Adj Close]])=5, 0, $F5-$F4)</f>
        <v>0</v>
      </c>
      <c r="N5" s="150">
        <f>MAX(tbl_IBM[[#This Row],[Move]],0)</f>
        <v>0</v>
      </c>
      <c r="O5" s="150">
        <f>MAX(-tbl_IBM[[#This Row],[Move]],0)</f>
        <v>0</v>
      </c>
      <c r="P5" s="150" t="str">
        <f ca="1">IF(ROW($N5)-5&lt;RSI_Periods, "", AVERAGE(INDIRECT(ADDRESS(ROW($N5)-RSI_Periods +1, MATCH("Upmove", Price_Header,0))): INDIRECT(ADDRESS(ROW($N5),MATCH("Upmove", Price_Header,0)))))</f>
        <v/>
      </c>
      <c r="Q5" s="150" t="str">
        <f ca="1">IF(ROW($O5)-5&lt;RSI_Periods, "", AVERAGE(INDIRECT(ADDRESS(ROW($O5)-RSI_Periods +1, MATCH("Downmove", Price_Header,0))): INDIRECT(ADDRESS(ROW($O5),MATCH("Downmove", Price_Header,0)))))</f>
        <v/>
      </c>
      <c r="R5" s="150" t="str">
        <f ca="1">IF(tbl_IBM[[#This Row],[Avg_Upmove]]="", "", tbl_IBM[[#This Row],[Avg_Upmove]]/tbl_IBM[[#This Row],[Avg_Downmove]])</f>
        <v/>
      </c>
      <c r="S5" s="149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130">
        <v>44054</v>
      </c>
      <c r="B6" s="149">
        <v>128.759995</v>
      </c>
      <c r="C6" s="149">
        <v>130.470001</v>
      </c>
      <c r="D6" s="149">
        <v>126.610001</v>
      </c>
      <c r="E6" s="149">
        <v>126.75</v>
      </c>
      <c r="F6" s="149">
        <v>126.75</v>
      </c>
      <c r="G6" s="129">
        <v>5001200</v>
      </c>
      <c r="H6" s="149">
        <f>IF(tbl_IBM[[#This Row],[Date]]=$A$5, $F6, EMA_Beta*$H5 + (1-EMA_Beta)*$F6)</f>
        <v>127.0740009</v>
      </c>
      <c r="I6" s="150" t="str">
        <f ca="1">IF(tbl_IBM[[#This Row],[RS]]= "", "", 100-(100/(1+tbl_IBM[[#This Row],[RS]])))</f>
        <v/>
      </c>
      <c r="J6" s="149" t="str">
        <f ca="1">IF(ROW($N6)-4&lt;BB_Periods, "", AVERAGE(INDIRECT(ADDRESS(ROW($F6)-RSI_Periods +1, MATCH("Adj Close", Price_Header,0))): INDIRECT(ADDRESS(ROW($F6),MATCH("Adj Close", Price_Header,0)))))</f>
        <v/>
      </c>
      <c r="K6" s="149" t="str">
        <f ca="1">IF(tbl_IBM[[#This Row],[BB_Mean]]="", "", tbl_IBM[[#This Row],[BB_Mean]]+(2*tbl_IBM[[#This Row],[BB_Stdev]]))</f>
        <v/>
      </c>
      <c r="L6" s="149" t="str">
        <f ca="1">IF(tbl_IBM[[#This Row],[BB_Mean]]="", "", tbl_IBM[[#This Row],[BB_Mean]]-(2*tbl_IBM[[#This Row],[BB_Stdev]]))</f>
        <v/>
      </c>
      <c r="M6" s="150">
        <f>IF(ROW(tbl_IBM[[#This Row],[Adj Close]])=5, 0, $F6-$F5)</f>
        <v>-0.36000099999999691</v>
      </c>
      <c r="N6" s="150">
        <f>MAX(tbl_IBM[[#This Row],[Move]],0)</f>
        <v>0</v>
      </c>
      <c r="O6" s="150">
        <f>MAX(-tbl_IBM[[#This Row],[Move]],0)</f>
        <v>0.36000099999999691</v>
      </c>
      <c r="P6" s="150" t="str">
        <f ca="1">IF(ROW($N6)-5&lt;RSI_Periods, "", AVERAGE(INDIRECT(ADDRESS(ROW($N6)-RSI_Periods +1, MATCH("Upmove", Price_Header,0))): INDIRECT(ADDRESS(ROW($N6),MATCH("Upmove", Price_Header,0)))))</f>
        <v/>
      </c>
      <c r="Q6" s="150" t="str">
        <f ca="1">IF(ROW($O6)-5&lt;RSI_Periods, "", AVERAGE(INDIRECT(ADDRESS(ROW($O6)-RSI_Periods +1, MATCH("Downmove", Price_Header,0))): INDIRECT(ADDRESS(ROW($O6),MATCH("Downmove", Price_Header,0)))))</f>
        <v/>
      </c>
      <c r="R6" s="150" t="str">
        <f ca="1">IF(tbl_IBM[[#This Row],[Avg_Upmove]]="", "", tbl_IBM[[#This Row],[Avg_Upmove]]/tbl_IBM[[#This Row],[Avg_Downmove]])</f>
        <v/>
      </c>
      <c r="S6" s="149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130">
        <v>44055</v>
      </c>
      <c r="B7" s="149">
        <v>127.610001</v>
      </c>
      <c r="C7" s="149">
        <v>127.790001</v>
      </c>
      <c r="D7" s="149">
        <v>125.879997</v>
      </c>
      <c r="E7" s="149">
        <v>126.699997</v>
      </c>
      <c r="F7" s="149">
        <v>126.699997</v>
      </c>
      <c r="G7" s="129">
        <v>3530200</v>
      </c>
      <c r="H7" s="149">
        <f>IF(tbl_IBM[[#This Row],[Date]]=$A$5, $F7, EMA_Beta*$H6 + (1-EMA_Beta)*$F7)</f>
        <v>127.03660051</v>
      </c>
      <c r="I7" s="150" t="str">
        <f ca="1">IF(tbl_IBM[[#This Row],[RS]]= "", "", 100-(100/(1+tbl_IBM[[#This Row],[RS]])))</f>
        <v/>
      </c>
      <c r="J7" s="149" t="str">
        <f ca="1">IF(ROW($N7)-4&lt;BB_Periods, "", AVERAGE(INDIRECT(ADDRESS(ROW($F7)-RSI_Periods +1, MATCH("Adj Close", Price_Header,0))): INDIRECT(ADDRESS(ROW($F7),MATCH("Adj Close", Price_Header,0)))))</f>
        <v/>
      </c>
      <c r="K7" s="149" t="str">
        <f ca="1">IF(tbl_IBM[[#This Row],[BB_Mean]]="", "", tbl_IBM[[#This Row],[BB_Mean]]+(2*tbl_IBM[[#This Row],[BB_Stdev]]))</f>
        <v/>
      </c>
      <c r="L7" s="149" t="str">
        <f ca="1">IF(tbl_IBM[[#This Row],[BB_Mean]]="", "", tbl_IBM[[#This Row],[BB_Mean]]-(2*tbl_IBM[[#This Row],[BB_Stdev]]))</f>
        <v/>
      </c>
      <c r="M7" s="150">
        <f>IF(ROW(tbl_IBM[[#This Row],[Adj Close]])=5, 0, $F7-$F6)</f>
        <v>-5.0003000000003794E-2</v>
      </c>
      <c r="N7" s="150">
        <f>MAX(tbl_IBM[[#This Row],[Move]],0)</f>
        <v>0</v>
      </c>
      <c r="O7" s="150">
        <f>MAX(-tbl_IBM[[#This Row],[Move]],0)</f>
        <v>5.0003000000003794E-2</v>
      </c>
      <c r="P7" s="150" t="str">
        <f ca="1">IF(ROW($N7)-5&lt;RSI_Periods, "", AVERAGE(INDIRECT(ADDRESS(ROW($N7)-RSI_Periods +1, MATCH("Upmove", Price_Header,0))): INDIRECT(ADDRESS(ROW($N7),MATCH("Upmove", Price_Header,0)))))</f>
        <v/>
      </c>
      <c r="Q7" s="150" t="str">
        <f ca="1">IF(ROW($O7)-5&lt;RSI_Periods, "", AVERAGE(INDIRECT(ADDRESS(ROW($O7)-RSI_Periods +1, MATCH("Downmove", Price_Header,0))): INDIRECT(ADDRESS(ROW($O7),MATCH("Downmove", Price_Header,0)))))</f>
        <v/>
      </c>
      <c r="R7" s="150" t="str">
        <f ca="1">IF(tbl_IBM[[#This Row],[Avg_Upmove]]="", "", tbl_IBM[[#This Row],[Avg_Upmove]]/tbl_IBM[[#This Row],[Avg_Downmove]])</f>
        <v/>
      </c>
      <c r="S7" s="149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130">
        <v>44056</v>
      </c>
      <c r="B8" s="149">
        <v>125.959999</v>
      </c>
      <c r="C8" s="149">
        <v>126.389999</v>
      </c>
      <c r="D8" s="149">
        <v>124.769997</v>
      </c>
      <c r="E8" s="149">
        <v>125.029999</v>
      </c>
      <c r="F8" s="149">
        <v>125.029999</v>
      </c>
      <c r="G8" s="129">
        <v>3171300</v>
      </c>
      <c r="H8" s="149">
        <f>IF(tbl_IBM[[#This Row],[Date]]=$A$5, $F8, EMA_Beta*$H7 + (1-EMA_Beta)*$F8)</f>
        <v>126.83594035899999</v>
      </c>
      <c r="I8" s="150" t="str">
        <f ca="1">IF(tbl_IBM[[#This Row],[RS]]= "", "", 100-(100/(1+tbl_IBM[[#This Row],[RS]])))</f>
        <v/>
      </c>
      <c r="J8" s="149" t="str">
        <f ca="1">IF(ROW($N8)-4&lt;BB_Periods, "", AVERAGE(INDIRECT(ADDRESS(ROW($F8)-RSI_Periods +1, MATCH("Adj Close", Price_Header,0))): INDIRECT(ADDRESS(ROW($F8),MATCH("Adj Close", Price_Header,0)))))</f>
        <v/>
      </c>
      <c r="K8" s="149" t="str">
        <f ca="1">IF(tbl_IBM[[#This Row],[BB_Mean]]="", "", tbl_IBM[[#This Row],[BB_Mean]]+(2*tbl_IBM[[#This Row],[BB_Stdev]]))</f>
        <v/>
      </c>
      <c r="L8" s="149" t="str">
        <f ca="1">IF(tbl_IBM[[#This Row],[BB_Mean]]="", "", tbl_IBM[[#This Row],[BB_Mean]]-(2*tbl_IBM[[#This Row],[BB_Stdev]]))</f>
        <v/>
      </c>
      <c r="M8" s="150">
        <f>IF(ROW(tbl_IBM[[#This Row],[Adj Close]])=5, 0, $F8-$F7)</f>
        <v>-1.6699979999999925</v>
      </c>
      <c r="N8" s="150">
        <f>MAX(tbl_IBM[[#This Row],[Move]],0)</f>
        <v>0</v>
      </c>
      <c r="O8" s="150">
        <f>MAX(-tbl_IBM[[#This Row],[Move]],0)</f>
        <v>1.6699979999999925</v>
      </c>
      <c r="P8" s="150" t="str">
        <f ca="1">IF(ROW($N8)-5&lt;RSI_Periods, "", AVERAGE(INDIRECT(ADDRESS(ROW($N8)-RSI_Periods +1, MATCH("Upmove", Price_Header,0))): INDIRECT(ADDRESS(ROW($N8),MATCH("Upmove", Price_Header,0)))))</f>
        <v/>
      </c>
      <c r="Q8" s="150" t="str">
        <f ca="1">IF(ROW($O8)-5&lt;RSI_Periods, "", AVERAGE(INDIRECT(ADDRESS(ROW($O8)-RSI_Periods +1, MATCH("Downmove", Price_Header,0))): INDIRECT(ADDRESS(ROW($O8),MATCH("Downmove", Price_Header,0)))))</f>
        <v/>
      </c>
      <c r="R8" s="150" t="str">
        <f ca="1">IF(tbl_IBM[[#This Row],[Avg_Upmove]]="", "", tbl_IBM[[#This Row],[Avg_Upmove]]/tbl_IBM[[#This Row],[Avg_Downmove]])</f>
        <v/>
      </c>
      <c r="S8" s="149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130">
        <v>44057</v>
      </c>
      <c r="B9" s="149">
        <v>124.199997</v>
      </c>
      <c r="C9" s="149">
        <v>125.55999799999999</v>
      </c>
      <c r="D9" s="149">
        <v>123.910004</v>
      </c>
      <c r="E9" s="149">
        <v>125.269997</v>
      </c>
      <c r="F9" s="149">
        <v>125.269997</v>
      </c>
      <c r="G9" s="129">
        <v>2963400</v>
      </c>
      <c r="H9" s="149">
        <f>IF(tbl_IBM[[#This Row],[Date]]=$A$5, $F9, EMA_Beta*$H8 + (1-EMA_Beta)*$F9)</f>
        <v>126.67934602309998</v>
      </c>
      <c r="I9" s="150" t="str">
        <f ca="1">IF(tbl_IBM[[#This Row],[RS]]= "", "", 100-(100/(1+tbl_IBM[[#This Row],[RS]])))</f>
        <v/>
      </c>
      <c r="J9" s="149" t="str">
        <f ca="1">IF(ROW($N9)-4&lt;BB_Periods, "", AVERAGE(INDIRECT(ADDRESS(ROW($F9)-RSI_Periods +1, MATCH("Adj Close", Price_Header,0))): INDIRECT(ADDRESS(ROW($F9),MATCH("Adj Close", Price_Header,0)))))</f>
        <v/>
      </c>
      <c r="K9" s="149" t="str">
        <f ca="1">IF(tbl_IBM[[#This Row],[BB_Mean]]="", "", tbl_IBM[[#This Row],[BB_Mean]]+(2*tbl_IBM[[#This Row],[BB_Stdev]]))</f>
        <v/>
      </c>
      <c r="L9" s="149" t="str">
        <f ca="1">IF(tbl_IBM[[#This Row],[BB_Mean]]="", "", tbl_IBM[[#This Row],[BB_Mean]]-(2*tbl_IBM[[#This Row],[BB_Stdev]]))</f>
        <v/>
      </c>
      <c r="M9" s="150">
        <f>IF(ROW(tbl_IBM[[#This Row],[Adj Close]])=5, 0, $F9-$F8)</f>
        <v>0.23999799999999993</v>
      </c>
      <c r="N9" s="150">
        <f>MAX(tbl_IBM[[#This Row],[Move]],0)</f>
        <v>0.23999799999999993</v>
      </c>
      <c r="O9" s="150">
        <f>MAX(-tbl_IBM[[#This Row],[Move]],0)</f>
        <v>0</v>
      </c>
      <c r="P9" s="150" t="str">
        <f ca="1">IF(ROW($N9)-5&lt;RSI_Periods, "", AVERAGE(INDIRECT(ADDRESS(ROW($N9)-RSI_Periods +1, MATCH("Upmove", Price_Header,0))): INDIRECT(ADDRESS(ROW($N9),MATCH("Upmove", Price_Header,0)))))</f>
        <v/>
      </c>
      <c r="Q9" s="150" t="str">
        <f ca="1">IF(ROW($O9)-5&lt;RSI_Periods, "", AVERAGE(INDIRECT(ADDRESS(ROW($O9)-RSI_Periods +1, MATCH("Downmove", Price_Header,0))): INDIRECT(ADDRESS(ROW($O9),MATCH("Downmove", Price_Header,0)))))</f>
        <v/>
      </c>
      <c r="R9" s="150" t="str">
        <f ca="1">IF(tbl_IBM[[#This Row],[Avg_Upmove]]="", "", tbl_IBM[[#This Row],[Avg_Upmove]]/tbl_IBM[[#This Row],[Avg_Downmove]])</f>
        <v/>
      </c>
      <c r="S9" s="149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130">
        <v>44060</v>
      </c>
      <c r="B10" s="149">
        <v>125.25</v>
      </c>
      <c r="C10" s="149">
        <v>125.589996</v>
      </c>
      <c r="D10" s="149">
        <v>124.410004</v>
      </c>
      <c r="E10" s="149">
        <v>124.44000200000001</v>
      </c>
      <c r="F10" s="149">
        <v>124.44000200000001</v>
      </c>
      <c r="G10" s="129">
        <v>3360100</v>
      </c>
      <c r="H10" s="149">
        <f>IF(tbl_IBM[[#This Row],[Date]]=$A$5, $F10, EMA_Beta*$H9 + (1-EMA_Beta)*$F10)</f>
        <v>126.45541162078999</v>
      </c>
      <c r="I10" s="150" t="str">
        <f ca="1">IF(tbl_IBM[[#This Row],[RS]]= "", "", 100-(100/(1+tbl_IBM[[#This Row],[RS]])))</f>
        <v/>
      </c>
      <c r="J10" s="149" t="str">
        <f ca="1">IF(ROW($N10)-4&lt;BB_Periods, "", AVERAGE(INDIRECT(ADDRESS(ROW($F10)-RSI_Periods +1, MATCH("Adj Close", Price_Header,0))): INDIRECT(ADDRESS(ROW($F10),MATCH("Adj Close", Price_Header,0)))))</f>
        <v/>
      </c>
      <c r="K10" s="149" t="str">
        <f ca="1">IF(tbl_IBM[[#This Row],[BB_Mean]]="", "", tbl_IBM[[#This Row],[BB_Mean]]+(2*tbl_IBM[[#This Row],[BB_Stdev]]))</f>
        <v/>
      </c>
      <c r="L10" s="149" t="str">
        <f ca="1">IF(tbl_IBM[[#This Row],[BB_Mean]]="", "", tbl_IBM[[#This Row],[BB_Mean]]-(2*tbl_IBM[[#This Row],[BB_Stdev]]))</f>
        <v/>
      </c>
      <c r="M10" s="150">
        <f>IF(ROW(tbl_IBM[[#This Row],[Adj Close]])=5, 0, $F10-$F9)</f>
        <v>-0.82999499999999671</v>
      </c>
      <c r="N10" s="150">
        <f>MAX(tbl_IBM[[#This Row],[Move]],0)</f>
        <v>0</v>
      </c>
      <c r="O10" s="150">
        <f>MAX(-tbl_IBM[[#This Row],[Move]],0)</f>
        <v>0.82999499999999671</v>
      </c>
      <c r="P10" s="150" t="str">
        <f ca="1">IF(ROW($N10)-5&lt;RSI_Periods, "", AVERAGE(INDIRECT(ADDRESS(ROW($N10)-RSI_Periods +1, MATCH("Upmove", Price_Header,0))): INDIRECT(ADDRESS(ROW($N10),MATCH("Upmove", Price_Header,0)))))</f>
        <v/>
      </c>
      <c r="Q10" s="150" t="str">
        <f ca="1">IF(ROW($O10)-5&lt;RSI_Periods, "", AVERAGE(INDIRECT(ADDRESS(ROW($O10)-RSI_Periods +1, MATCH("Downmove", Price_Header,0))): INDIRECT(ADDRESS(ROW($O10),MATCH("Downmove", Price_Header,0)))))</f>
        <v/>
      </c>
      <c r="R10" s="150" t="str">
        <f ca="1">IF(tbl_IBM[[#This Row],[Avg_Upmove]]="", "", tbl_IBM[[#This Row],[Avg_Upmove]]/tbl_IBM[[#This Row],[Avg_Downmove]])</f>
        <v/>
      </c>
      <c r="S10" s="149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130">
        <v>44061</v>
      </c>
      <c r="B11" s="149">
        <v>125</v>
      </c>
      <c r="C11" s="149">
        <v>125.5</v>
      </c>
      <c r="D11" s="149">
        <v>124.239998</v>
      </c>
      <c r="E11" s="149">
        <v>124.91999800000001</v>
      </c>
      <c r="F11" s="149">
        <v>124.91999800000001</v>
      </c>
      <c r="G11" s="129">
        <v>2882400</v>
      </c>
      <c r="H11" s="149">
        <f>IF(tbl_IBM[[#This Row],[Date]]=$A$5, $F11, EMA_Beta*$H10 + (1-EMA_Beta)*$F11)</f>
        <v>126.30187025871099</v>
      </c>
      <c r="I11" s="150" t="str">
        <f ca="1">IF(tbl_IBM[[#This Row],[RS]]= "", "", 100-(100/(1+tbl_IBM[[#This Row],[RS]])))</f>
        <v/>
      </c>
      <c r="J11" s="149" t="str">
        <f ca="1">IF(ROW($N11)-4&lt;BB_Periods, "", AVERAGE(INDIRECT(ADDRESS(ROW($F11)-RSI_Periods +1, MATCH("Adj Close", Price_Header,0))): INDIRECT(ADDRESS(ROW($F11),MATCH("Adj Close", Price_Header,0)))))</f>
        <v/>
      </c>
      <c r="K11" s="149" t="str">
        <f ca="1">IF(tbl_IBM[[#This Row],[BB_Mean]]="", "", tbl_IBM[[#This Row],[BB_Mean]]+(2*tbl_IBM[[#This Row],[BB_Stdev]]))</f>
        <v/>
      </c>
      <c r="L11" s="149" t="str">
        <f ca="1">IF(tbl_IBM[[#This Row],[BB_Mean]]="", "", tbl_IBM[[#This Row],[BB_Mean]]-(2*tbl_IBM[[#This Row],[BB_Stdev]]))</f>
        <v/>
      </c>
      <c r="M11" s="150">
        <f>IF(ROW(tbl_IBM[[#This Row],[Adj Close]])=5, 0, $F11-$F10)</f>
        <v>0.47999599999999987</v>
      </c>
      <c r="N11" s="150">
        <f>MAX(tbl_IBM[[#This Row],[Move]],0)</f>
        <v>0.47999599999999987</v>
      </c>
      <c r="O11" s="150">
        <f>MAX(-tbl_IBM[[#This Row],[Move]],0)</f>
        <v>0</v>
      </c>
      <c r="P11" s="150" t="str">
        <f ca="1">IF(ROW($N11)-5&lt;RSI_Periods, "", AVERAGE(INDIRECT(ADDRESS(ROW($N11)-RSI_Periods +1, MATCH("Upmove", Price_Header,0))): INDIRECT(ADDRESS(ROW($N11),MATCH("Upmove", Price_Header,0)))))</f>
        <v/>
      </c>
      <c r="Q11" s="150" t="str">
        <f ca="1">IF(ROW($O11)-5&lt;RSI_Periods, "", AVERAGE(INDIRECT(ADDRESS(ROW($O11)-RSI_Periods +1, MATCH("Downmove", Price_Header,0))): INDIRECT(ADDRESS(ROW($O11),MATCH("Downmove", Price_Header,0)))))</f>
        <v/>
      </c>
      <c r="R11" s="150" t="str">
        <f ca="1">IF(tbl_IBM[[#This Row],[Avg_Upmove]]="", "", tbl_IBM[[#This Row],[Avg_Upmove]]/tbl_IBM[[#This Row],[Avg_Downmove]])</f>
        <v/>
      </c>
      <c r="S11" s="149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130">
        <v>44062</v>
      </c>
      <c r="B12" s="149">
        <v>124.83000199999999</v>
      </c>
      <c r="C12" s="149">
        <v>125.5</v>
      </c>
      <c r="D12" s="149">
        <v>123.5</v>
      </c>
      <c r="E12" s="149">
        <v>123.839996</v>
      </c>
      <c r="F12" s="149">
        <v>123.839996</v>
      </c>
      <c r="G12" s="129">
        <v>3743900</v>
      </c>
      <c r="H12" s="149">
        <f>IF(tbl_IBM[[#This Row],[Date]]=$A$5, $F12, EMA_Beta*$H11 + (1-EMA_Beta)*$F12)</f>
        <v>126.05568283283989</v>
      </c>
      <c r="I12" s="150" t="str">
        <f ca="1">IF(tbl_IBM[[#This Row],[RS]]= "", "", 100-(100/(1+tbl_IBM[[#This Row],[RS]])))</f>
        <v/>
      </c>
      <c r="J12" s="149" t="str">
        <f ca="1">IF(ROW($N12)-4&lt;BB_Periods, "", AVERAGE(INDIRECT(ADDRESS(ROW($F12)-RSI_Periods +1, MATCH("Adj Close", Price_Header,0))): INDIRECT(ADDRESS(ROW($F12),MATCH("Adj Close", Price_Header,0)))))</f>
        <v/>
      </c>
      <c r="K12" s="149" t="str">
        <f ca="1">IF(tbl_IBM[[#This Row],[BB_Mean]]="", "", tbl_IBM[[#This Row],[BB_Mean]]+(2*tbl_IBM[[#This Row],[BB_Stdev]]))</f>
        <v/>
      </c>
      <c r="L12" s="149" t="str">
        <f ca="1">IF(tbl_IBM[[#This Row],[BB_Mean]]="", "", tbl_IBM[[#This Row],[BB_Mean]]-(2*tbl_IBM[[#This Row],[BB_Stdev]]))</f>
        <v/>
      </c>
      <c r="M12" s="150">
        <f>IF(ROW(tbl_IBM[[#This Row],[Adj Close]])=5, 0, $F12-$F11)</f>
        <v>-1.0800020000000075</v>
      </c>
      <c r="N12" s="150">
        <f>MAX(tbl_IBM[[#This Row],[Move]],0)</f>
        <v>0</v>
      </c>
      <c r="O12" s="150">
        <f>MAX(-tbl_IBM[[#This Row],[Move]],0)</f>
        <v>1.0800020000000075</v>
      </c>
      <c r="P12" s="150" t="str">
        <f ca="1">IF(ROW($N12)-5&lt;RSI_Periods, "", AVERAGE(INDIRECT(ADDRESS(ROW($N12)-RSI_Periods +1, MATCH("Upmove", Price_Header,0))): INDIRECT(ADDRESS(ROW($N12),MATCH("Upmove", Price_Header,0)))))</f>
        <v/>
      </c>
      <c r="Q12" s="150" t="str">
        <f ca="1">IF(ROW($O12)-5&lt;RSI_Periods, "", AVERAGE(INDIRECT(ADDRESS(ROW($O12)-RSI_Periods +1, MATCH("Downmove", Price_Header,0))): INDIRECT(ADDRESS(ROW($O12),MATCH("Downmove", Price_Header,0)))))</f>
        <v/>
      </c>
      <c r="R12" s="150" t="str">
        <f ca="1">IF(tbl_IBM[[#This Row],[Avg_Upmove]]="", "", tbl_IBM[[#This Row],[Avg_Upmove]]/tbl_IBM[[#This Row],[Avg_Downmove]])</f>
        <v/>
      </c>
      <c r="S12" s="149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130">
        <v>44063</v>
      </c>
      <c r="B13" s="149">
        <v>123.199997</v>
      </c>
      <c r="C13" s="149">
        <v>124.040001</v>
      </c>
      <c r="D13" s="149">
        <v>122.80999799999999</v>
      </c>
      <c r="E13" s="149">
        <v>123.150002</v>
      </c>
      <c r="F13" s="149">
        <v>123.150002</v>
      </c>
      <c r="G13" s="129">
        <v>2561200</v>
      </c>
      <c r="H13" s="149">
        <f>IF(tbl_IBM[[#This Row],[Date]]=$A$5, $F13, EMA_Beta*$H12 + (1-EMA_Beta)*$F13)</f>
        <v>125.76511474955591</v>
      </c>
      <c r="I13" s="150" t="str">
        <f ca="1">IF(tbl_IBM[[#This Row],[RS]]= "", "", 100-(100/(1+tbl_IBM[[#This Row],[RS]])))</f>
        <v/>
      </c>
      <c r="J13" s="149" t="str">
        <f ca="1">IF(ROW($N13)-4&lt;BB_Periods, "", AVERAGE(INDIRECT(ADDRESS(ROW($F13)-RSI_Periods +1, MATCH("Adj Close", Price_Header,0))): INDIRECT(ADDRESS(ROW($F13),MATCH("Adj Close", Price_Header,0)))))</f>
        <v/>
      </c>
      <c r="K13" s="149" t="str">
        <f ca="1">IF(tbl_IBM[[#This Row],[BB_Mean]]="", "", tbl_IBM[[#This Row],[BB_Mean]]+(2*tbl_IBM[[#This Row],[BB_Stdev]]))</f>
        <v/>
      </c>
      <c r="L13" s="149" t="str">
        <f ca="1">IF(tbl_IBM[[#This Row],[BB_Mean]]="", "", tbl_IBM[[#This Row],[BB_Mean]]-(2*tbl_IBM[[#This Row],[BB_Stdev]]))</f>
        <v/>
      </c>
      <c r="M13" s="150">
        <f>IF(ROW(tbl_IBM[[#This Row],[Adj Close]])=5, 0, $F13-$F12)</f>
        <v>-0.68999399999999866</v>
      </c>
      <c r="N13" s="150">
        <f>MAX(tbl_IBM[[#This Row],[Move]],0)</f>
        <v>0</v>
      </c>
      <c r="O13" s="150">
        <f>MAX(-tbl_IBM[[#This Row],[Move]],0)</f>
        <v>0.68999399999999866</v>
      </c>
      <c r="P13" s="150" t="str">
        <f ca="1">IF(ROW($N13)-5&lt;RSI_Periods, "", AVERAGE(INDIRECT(ADDRESS(ROW($N13)-RSI_Periods +1, MATCH("Upmove", Price_Header,0))): INDIRECT(ADDRESS(ROW($N13),MATCH("Upmove", Price_Header,0)))))</f>
        <v/>
      </c>
      <c r="Q13" s="150" t="str">
        <f ca="1">IF(ROW($O13)-5&lt;RSI_Periods, "", AVERAGE(INDIRECT(ADDRESS(ROW($O13)-RSI_Periods +1, MATCH("Downmove", Price_Header,0))): INDIRECT(ADDRESS(ROW($O13),MATCH("Downmove", Price_Header,0)))))</f>
        <v/>
      </c>
      <c r="R13" s="150" t="str">
        <f ca="1">IF(tbl_IBM[[#This Row],[Avg_Upmove]]="", "", tbl_IBM[[#This Row],[Avg_Upmove]]/tbl_IBM[[#This Row],[Avg_Downmove]])</f>
        <v/>
      </c>
      <c r="S13" s="149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130">
        <v>44064</v>
      </c>
      <c r="B14" s="149">
        <v>123.010002</v>
      </c>
      <c r="C14" s="149">
        <v>123.480003</v>
      </c>
      <c r="D14" s="149">
        <v>122.30999799999999</v>
      </c>
      <c r="E14" s="149">
        <v>123.160004</v>
      </c>
      <c r="F14" s="149">
        <v>123.160004</v>
      </c>
      <c r="G14" s="129">
        <v>3385100</v>
      </c>
      <c r="H14" s="149">
        <f>IF(tbl_IBM[[#This Row],[Date]]=$A$5, $F14, EMA_Beta*$H13 + (1-EMA_Beta)*$F14)</f>
        <v>125.5046036746003</v>
      </c>
      <c r="I14" s="150" t="str">
        <f ca="1">IF(tbl_IBM[[#This Row],[RS]]= "", "", 100-(100/(1+tbl_IBM[[#This Row],[RS]])))</f>
        <v/>
      </c>
      <c r="J14" s="149" t="str">
        <f ca="1">IF(ROW($N14)-4&lt;BB_Periods, "", AVERAGE(INDIRECT(ADDRESS(ROW($F14)-RSI_Periods +1, MATCH("Adj Close", Price_Header,0))): INDIRECT(ADDRESS(ROW($F14),MATCH("Adj Close", Price_Header,0)))))</f>
        <v/>
      </c>
      <c r="K14" s="149" t="str">
        <f ca="1">IF(tbl_IBM[[#This Row],[BB_Mean]]="", "", tbl_IBM[[#This Row],[BB_Mean]]+(2*tbl_IBM[[#This Row],[BB_Stdev]]))</f>
        <v/>
      </c>
      <c r="L14" s="149" t="str">
        <f ca="1">IF(tbl_IBM[[#This Row],[BB_Mean]]="", "", tbl_IBM[[#This Row],[BB_Mean]]-(2*tbl_IBM[[#This Row],[BB_Stdev]]))</f>
        <v/>
      </c>
      <c r="M14" s="150">
        <f>IF(ROW(tbl_IBM[[#This Row],[Adj Close]])=5, 0, $F14-$F13)</f>
        <v>1.0002000000000066E-2</v>
      </c>
      <c r="N14" s="150">
        <f>MAX(tbl_IBM[[#This Row],[Move]],0)</f>
        <v>1.0002000000000066E-2</v>
      </c>
      <c r="O14" s="150">
        <f>MAX(-tbl_IBM[[#This Row],[Move]],0)</f>
        <v>0</v>
      </c>
      <c r="P14" s="150" t="str">
        <f ca="1">IF(ROW($N14)-5&lt;RSI_Periods, "", AVERAGE(INDIRECT(ADDRESS(ROW($N14)-RSI_Periods +1, MATCH("Upmove", Price_Header,0))): INDIRECT(ADDRESS(ROW($N14),MATCH("Upmove", Price_Header,0)))))</f>
        <v/>
      </c>
      <c r="Q14" s="150" t="str">
        <f ca="1">IF(ROW($O14)-5&lt;RSI_Periods, "", AVERAGE(INDIRECT(ADDRESS(ROW($O14)-RSI_Periods +1, MATCH("Downmove", Price_Header,0))): INDIRECT(ADDRESS(ROW($O14),MATCH("Downmove", Price_Header,0)))))</f>
        <v/>
      </c>
      <c r="R14" s="150" t="str">
        <f ca="1">IF(tbl_IBM[[#This Row],[Avg_Upmove]]="", "", tbl_IBM[[#This Row],[Avg_Upmove]]/tbl_IBM[[#This Row],[Avg_Downmove]])</f>
        <v/>
      </c>
      <c r="S14" s="149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130">
        <v>44067</v>
      </c>
      <c r="B15" s="149">
        <v>123.790001</v>
      </c>
      <c r="C15" s="149">
        <v>126.05999799999999</v>
      </c>
      <c r="D15" s="149">
        <v>123.360001</v>
      </c>
      <c r="E15" s="149">
        <v>125.68</v>
      </c>
      <c r="F15" s="149">
        <v>125.68</v>
      </c>
      <c r="G15" s="129">
        <v>4070800</v>
      </c>
      <c r="H15" s="149">
        <f>IF(tbl_IBM[[#This Row],[Date]]=$A$5, $F15, EMA_Beta*$H14 + (1-EMA_Beta)*$F15)</f>
        <v>125.52214330714027</v>
      </c>
      <c r="I15" s="150" t="str">
        <f ca="1">IF(tbl_IBM[[#This Row],[RS]]= "", "", 100-(100/(1+tbl_IBM[[#This Row],[RS]])))</f>
        <v/>
      </c>
      <c r="J15" s="149" t="str">
        <f ca="1">IF(ROW($N15)-4&lt;BB_Periods, "", AVERAGE(INDIRECT(ADDRESS(ROW($F15)-RSI_Periods +1, MATCH("Adj Close", Price_Header,0))): INDIRECT(ADDRESS(ROW($F15),MATCH("Adj Close", Price_Header,0)))))</f>
        <v/>
      </c>
      <c r="K15" s="149" t="str">
        <f ca="1">IF(tbl_IBM[[#This Row],[BB_Mean]]="", "", tbl_IBM[[#This Row],[BB_Mean]]+(2*tbl_IBM[[#This Row],[BB_Stdev]]))</f>
        <v/>
      </c>
      <c r="L15" s="149" t="str">
        <f ca="1">IF(tbl_IBM[[#This Row],[BB_Mean]]="", "", tbl_IBM[[#This Row],[BB_Mean]]-(2*tbl_IBM[[#This Row],[BB_Stdev]]))</f>
        <v/>
      </c>
      <c r="M15" s="150">
        <f>IF(ROW(tbl_IBM[[#This Row],[Adj Close]])=5, 0, $F15-$F14)</f>
        <v>2.5199960000000061</v>
      </c>
      <c r="N15" s="150">
        <f>MAX(tbl_IBM[[#This Row],[Move]],0)</f>
        <v>2.5199960000000061</v>
      </c>
      <c r="O15" s="150">
        <f>MAX(-tbl_IBM[[#This Row],[Move]],0)</f>
        <v>0</v>
      </c>
      <c r="P15" s="150" t="str">
        <f ca="1">IF(ROW($N15)-5&lt;RSI_Periods, "", AVERAGE(INDIRECT(ADDRESS(ROW($N15)-RSI_Periods +1, MATCH("Upmove", Price_Header,0))): INDIRECT(ADDRESS(ROW($N15),MATCH("Upmove", Price_Header,0)))))</f>
        <v/>
      </c>
      <c r="Q15" s="150" t="str">
        <f ca="1">IF(ROW($O15)-5&lt;RSI_Periods, "", AVERAGE(INDIRECT(ADDRESS(ROW($O15)-RSI_Periods +1, MATCH("Downmove", Price_Header,0))): INDIRECT(ADDRESS(ROW($O15),MATCH("Downmove", Price_Header,0)))))</f>
        <v/>
      </c>
      <c r="R15" s="150" t="str">
        <f ca="1">IF(tbl_IBM[[#This Row],[Avg_Upmove]]="", "", tbl_IBM[[#This Row],[Avg_Upmove]]/tbl_IBM[[#This Row],[Avg_Downmove]])</f>
        <v/>
      </c>
      <c r="S15" s="149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130">
        <v>44068</v>
      </c>
      <c r="B16" s="149">
        <v>126</v>
      </c>
      <c r="C16" s="149">
        <v>126.82</v>
      </c>
      <c r="D16" s="149">
        <v>124.489998</v>
      </c>
      <c r="E16" s="149">
        <v>124.639999</v>
      </c>
      <c r="F16" s="149">
        <v>124.639999</v>
      </c>
      <c r="G16" s="129">
        <v>2977700</v>
      </c>
      <c r="H16" s="149">
        <f>IF(tbl_IBM[[#This Row],[Date]]=$A$5, $F16, EMA_Beta*$H15 + (1-EMA_Beta)*$F16)</f>
        <v>125.43392887642625</v>
      </c>
      <c r="I16" s="150" t="str">
        <f ca="1">IF(tbl_IBM[[#This Row],[RS]]= "", "", 100-(100/(1+tbl_IBM[[#This Row],[RS]])))</f>
        <v/>
      </c>
      <c r="J16" s="149" t="str">
        <f ca="1">IF(ROW($N16)-4&lt;BB_Periods, "", AVERAGE(INDIRECT(ADDRESS(ROW($F16)-RSI_Periods +1, MATCH("Adj Close", Price_Header,0))): INDIRECT(ADDRESS(ROW($F16),MATCH("Adj Close", Price_Header,0)))))</f>
        <v/>
      </c>
      <c r="K16" s="149" t="str">
        <f ca="1">IF(tbl_IBM[[#This Row],[BB_Mean]]="", "", tbl_IBM[[#This Row],[BB_Mean]]+(2*tbl_IBM[[#This Row],[BB_Stdev]]))</f>
        <v/>
      </c>
      <c r="L16" s="149" t="str">
        <f ca="1">IF(tbl_IBM[[#This Row],[BB_Mean]]="", "", tbl_IBM[[#This Row],[BB_Mean]]-(2*tbl_IBM[[#This Row],[BB_Stdev]]))</f>
        <v/>
      </c>
      <c r="M16" s="150">
        <f>IF(ROW(tbl_IBM[[#This Row],[Adj Close]])=5, 0, $F16-$F15)</f>
        <v>-1.0400010000000037</v>
      </c>
      <c r="N16" s="150">
        <f>MAX(tbl_IBM[[#This Row],[Move]],0)</f>
        <v>0</v>
      </c>
      <c r="O16" s="150">
        <f>MAX(-tbl_IBM[[#This Row],[Move]],0)</f>
        <v>1.0400010000000037</v>
      </c>
      <c r="P16" s="150" t="str">
        <f ca="1">IF(ROW($N16)-5&lt;RSI_Periods, "", AVERAGE(INDIRECT(ADDRESS(ROW($N16)-RSI_Periods +1, MATCH("Upmove", Price_Header,0))): INDIRECT(ADDRESS(ROW($N16),MATCH("Upmove", Price_Header,0)))))</f>
        <v/>
      </c>
      <c r="Q16" s="150" t="str">
        <f ca="1">IF(ROW($O16)-5&lt;RSI_Periods, "", AVERAGE(INDIRECT(ADDRESS(ROW($O16)-RSI_Periods +1, MATCH("Downmove", Price_Header,0))): INDIRECT(ADDRESS(ROW($O16),MATCH("Downmove", Price_Header,0)))))</f>
        <v/>
      </c>
      <c r="R16" s="150" t="str">
        <f ca="1">IF(tbl_IBM[[#This Row],[Avg_Upmove]]="", "", tbl_IBM[[#This Row],[Avg_Upmove]]/tbl_IBM[[#This Row],[Avg_Downmove]])</f>
        <v/>
      </c>
      <c r="S16" s="149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130">
        <v>44069</v>
      </c>
      <c r="B17" s="149">
        <v>124.949997</v>
      </c>
      <c r="C17" s="149">
        <v>125.120003</v>
      </c>
      <c r="D17" s="149">
        <v>123.949997</v>
      </c>
      <c r="E17" s="149">
        <v>124.16999800000001</v>
      </c>
      <c r="F17" s="149">
        <v>124.16999800000001</v>
      </c>
      <c r="G17" s="129">
        <v>3388300</v>
      </c>
      <c r="H17" s="149">
        <f>IF(tbl_IBM[[#This Row],[Date]]=$A$5, $F17, EMA_Beta*$H16 + (1-EMA_Beta)*$F17)</f>
        <v>125.30753578878362</v>
      </c>
      <c r="I17" s="150" t="str">
        <f ca="1">IF(tbl_IBM[[#This Row],[RS]]= "", "", 100-(100/(1+tbl_IBM[[#This Row],[RS]])))</f>
        <v/>
      </c>
      <c r="J17" s="149" t="str">
        <f ca="1">IF(ROW($N17)-4&lt;BB_Periods, "", AVERAGE(INDIRECT(ADDRESS(ROW($F17)-RSI_Periods +1, MATCH("Adj Close", Price_Header,0))): INDIRECT(ADDRESS(ROW($F17),MATCH("Adj Close", Price_Header,0)))))</f>
        <v/>
      </c>
      <c r="K17" s="149" t="str">
        <f ca="1">IF(tbl_IBM[[#This Row],[BB_Mean]]="", "", tbl_IBM[[#This Row],[BB_Mean]]+(2*tbl_IBM[[#This Row],[BB_Stdev]]))</f>
        <v/>
      </c>
      <c r="L17" s="149" t="str">
        <f ca="1">IF(tbl_IBM[[#This Row],[BB_Mean]]="", "", tbl_IBM[[#This Row],[BB_Mean]]-(2*tbl_IBM[[#This Row],[BB_Stdev]]))</f>
        <v/>
      </c>
      <c r="M17" s="150">
        <f>IF(ROW(tbl_IBM[[#This Row],[Adj Close]])=5, 0, $F17-$F16)</f>
        <v>-0.47000099999999634</v>
      </c>
      <c r="N17" s="150">
        <f>MAX(tbl_IBM[[#This Row],[Move]],0)</f>
        <v>0</v>
      </c>
      <c r="O17" s="150">
        <f>MAX(-tbl_IBM[[#This Row],[Move]],0)</f>
        <v>0.47000099999999634</v>
      </c>
      <c r="P17" s="150" t="str">
        <f ca="1">IF(ROW($N17)-5&lt;RSI_Periods, "", AVERAGE(INDIRECT(ADDRESS(ROW($N17)-RSI_Periods +1, MATCH("Upmove", Price_Header,0))): INDIRECT(ADDRESS(ROW($N17),MATCH("Upmove", Price_Header,0)))))</f>
        <v/>
      </c>
      <c r="Q17" s="150" t="str">
        <f ca="1">IF(ROW($O17)-5&lt;RSI_Periods, "", AVERAGE(INDIRECT(ADDRESS(ROW($O17)-RSI_Periods +1, MATCH("Downmove", Price_Header,0))): INDIRECT(ADDRESS(ROW($O17),MATCH("Downmove", Price_Header,0)))))</f>
        <v/>
      </c>
      <c r="R17" s="150" t="str">
        <f ca="1">IF(tbl_IBM[[#This Row],[Avg_Upmove]]="", "", tbl_IBM[[#This Row],[Avg_Upmove]]/tbl_IBM[[#This Row],[Avg_Downmove]])</f>
        <v/>
      </c>
      <c r="S17" s="149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130">
        <v>44070</v>
      </c>
      <c r="B18" s="149">
        <v>124.599998</v>
      </c>
      <c r="C18" s="149">
        <v>125.099998</v>
      </c>
      <c r="D18" s="149">
        <v>123.980003</v>
      </c>
      <c r="E18" s="149">
        <v>124.650002</v>
      </c>
      <c r="F18" s="149">
        <v>124.650002</v>
      </c>
      <c r="G18" s="129">
        <v>3422700</v>
      </c>
      <c r="H18" s="149">
        <f>IF(tbl_IBM[[#This Row],[Date]]=$A$5, $F18, EMA_Beta*$H17 + (1-EMA_Beta)*$F18)</f>
        <v>125.24178240990526</v>
      </c>
      <c r="I18" s="150" t="str">
        <f ca="1">IF(tbl_IBM[[#This Row],[RS]]= "", "", 100-(100/(1+tbl_IBM[[#This Row],[RS]])))</f>
        <v/>
      </c>
      <c r="J18" s="149">
        <f ca="1">IF(ROW($N18)-4&lt;BB_Periods, "", AVERAGE(INDIRECT(ADDRESS(ROW($F18)-RSI_Periods +1, MATCH("Adj Close", Price_Header,0))): INDIRECT(ADDRESS(ROW($F18),MATCH("Adj Close", Price_Header,0)))))</f>
        <v>124.96499964285717</v>
      </c>
      <c r="K18" s="149">
        <f ca="1">IF(tbl_IBM[[#This Row],[BB_Mean]]="", "", tbl_IBM[[#This Row],[BB_Mean]]+(2*tbl_IBM[[#This Row],[BB_Stdev]]))</f>
        <v>127.4665886683227</v>
      </c>
      <c r="L18" s="149">
        <f ca="1">IF(tbl_IBM[[#This Row],[BB_Mean]]="", "", tbl_IBM[[#This Row],[BB_Mean]]-(2*tbl_IBM[[#This Row],[BB_Stdev]]))</f>
        <v>122.46341061739163</v>
      </c>
      <c r="M18" s="150">
        <f>IF(ROW(tbl_IBM[[#This Row],[Adj Close]])=5, 0, $F18-$F17)</f>
        <v>0.48000399999999388</v>
      </c>
      <c r="N18" s="150">
        <f>MAX(tbl_IBM[[#This Row],[Move]],0)</f>
        <v>0.48000399999999388</v>
      </c>
      <c r="O18" s="150">
        <f>MAX(-tbl_IBM[[#This Row],[Move]],0)</f>
        <v>0</v>
      </c>
      <c r="P18" s="150" t="str">
        <f ca="1">IF(ROW($N18)-5&lt;RSI_Periods, "", AVERAGE(INDIRECT(ADDRESS(ROW($N18)-RSI_Periods +1, MATCH("Upmove", Price_Header,0))): INDIRECT(ADDRESS(ROW($N18),MATCH("Upmove", Price_Header,0)))))</f>
        <v/>
      </c>
      <c r="Q18" s="150" t="str">
        <f ca="1">IF(ROW($O18)-5&lt;RSI_Periods, "", AVERAGE(INDIRECT(ADDRESS(ROW($O18)-RSI_Periods +1, MATCH("Downmove", Price_Header,0))): INDIRECT(ADDRESS(ROW($O18),MATCH("Downmove", Price_Header,0)))))</f>
        <v/>
      </c>
      <c r="R18" s="150" t="str">
        <f ca="1">IF(tbl_IBM[[#This Row],[Avg_Upmove]]="", "", tbl_IBM[[#This Row],[Avg_Upmove]]/tbl_IBM[[#This Row],[Avg_Downmove]])</f>
        <v/>
      </c>
      <c r="S18" s="149">
        <f ca="1">IF(ROW($N18)-4&lt;BB_Periods, "", _xlfn.STDEV.S(INDIRECT(ADDRESS(ROW($F18)-RSI_Periods +1, MATCH("Adj Close", Price_Header,0))): INDIRECT(ADDRESS(ROW($F18),MATCH("Adj Close", Price_Header,0)))))</f>
        <v>1.2507945127327662</v>
      </c>
    </row>
    <row r="19" spans="1:19" x14ac:dyDescent="0.25">
      <c r="A19" s="130">
        <v>44071</v>
      </c>
      <c r="B19" s="149">
        <v>124.959999</v>
      </c>
      <c r="C19" s="149">
        <v>125.300003</v>
      </c>
      <c r="D19" s="149">
        <v>124.220001</v>
      </c>
      <c r="E19" s="149">
        <v>125.07</v>
      </c>
      <c r="F19" s="149">
        <v>125.07</v>
      </c>
      <c r="G19" s="129">
        <v>3099600</v>
      </c>
      <c r="H19" s="149">
        <f>IF(tbl_IBM[[#This Row],[Date]]=$A$5, $F19, EMA_Beta*$H18 + (1-EMA_Beta)*$F19)</f>
        <v>125.22460416891472</v>
      </c>
      <c r="I19" s="150">
        <f ca="1">IF(tbl_IBM[[#This Row],[RS]]= "", "", 100-(100/(1+tbl_IBM[[#This Row],[RS]])))</f>
        <v>40.135381188509939</v>
      </c>
      <c r="J19" s="149">
        <f ca="1">IF(ROW($N19)-4&lt;BB_Periods, "", AVERAGE(INDIRECT(ADDRESS(ROW($F19)-RSI_Periods +1, MATCH("Adj Close", Price_Header,0))): INDIRECT(ADDRESS(ROW($F19),MATCH("Adj Close", Price_Header,0)))))</f>
        <v>124.8192852857143</v>
      </c>
      <c r="K19" s="149">
        <f ca="1">IF(tbl_IBM[[#This Row],[BB_Mean]]="", "", tbl_IBM[[#This Row],[BB_Mean]]+(2*tbl_IBM[[#This Row],[BB_Stdev]]))</f>
        <v>126.99969221235337</v>
      </c>
      <c r="L19" s="149">
        <f ca="1">IF(tbl_IBM[[#This Row],[BB_Mean]]="", "", tbl_IBM[[#This Row],[BB_Mean]]-(2*tbl_IBM[[#This Row],[BB_Stdev]]))</f>
        <v>122.63887835907524</v>
      </c>
      <c r="M19" s="150">
        <f>IF(ROW(tbl_IBM[[#This Row],[Adj Close]])=5, 0, $F19-$F18)</f>
        <v>0.41999799999999254</v>
      </c>
      <c r="N19" s="150">
        <f>MAX(tbl_IBM[[#This Row],[Move]],0)</f>
        <v>0.41999799999999254</v>
      </c>
      <c r="O19" s="150">
        <f>MAX(-tbl_IBM[[#This Row],[Move]],0)</f>
        <v>0</v>
      </c>
      <c r="P19" s="150">
        <f ca="1">IF(ROW($N19)-5&lt;RSI_Periods, "", AVERAGE(INDIRECT(ADDRESS(ROW($N19)-RSI_Periods +1, MATCH("Upmove", Price_Header,0))): INDIRECT(ADDRESS(ROW($N19),MATCH("Upmove", Price_Header,0)))))</f>
        <v>0.29642814285714231</v>
      </c>
      <c r="Q19" s="150">
        <f ca="1">IF(ROW($O19)-5&lt;RSI_Periods, "", AVERAGE(INDIRECT(ADDRESS(ROW($O19)-RSI_Periods +1, MATCH("Downmove", Price_Header,0))): INDIRECT(ADDRESS(ROW($O19),MATCH("Downmove", Price_Header,0)))))</f>
        <v>0.44214249999999972</v>
      </c>
      <c r="R19" s="150">
        <f ca="1">IF(tbl_IBM[[#This Row],[Avg_Upmove]]="", "", tbl_IBM[[#This Row],[Avg_Upmove]]/tbl_IBM[[#This Row],[Avg_Downmove]])</f>
        <v>0.67043575964116209</v>
      </c>
      <c r="S19" s="149">
        <f ca="1">IF(ROW($N19)-4&lt;BB_Periods, "", _xlfn.STDEV.S(INDIRECT(ADDRESS(ROW($F19)-RSI_Periods +1, MATCH("Adj Close", Price_Header,0))): INDIRECT(ADDRESS(ROW($F19),MATCH("Adj Close", Price_Header,0)))))</f>
        <v>1.0902034633195359</v>
      </c>
    </row>
    <row r="20" spans="1:19" x14ac:dyDescent="0.25">
      <c r="A20" s="130">
        <v>44074</v>
      </c>
      <c r="B20" s="149">
        <v>125.25</v>
      </c>
      <c r="C20" s="149">
        <v>125.25</v>
      </c>
      <c r="D20" s="149">
        <v>123.029999</v>
      </c>
      <c r="E20" s="149">
        <v>123.30999799999999</v>
      </c>
      <c r="F20" s="149">
        <v>123.30999799999999</v>
      </c>
      <c r="G20" s="129">
        <v>4827900</v>
      </c>
      <c r="H20" s="149">
        <f>IF(tbl_IBM[[#This Row],[Date]]=$A$5, $F20, EMA_Beta*$H19 + (1-EMA_Beta)*$F20)</f>
        <v>125.03314355202325</v>
      </c>
      <c r="I20" s="150">
        <f ca="1">IF(tbl_IBM[[#This Row],[RS]]= "", "", 100-(100/(1+tbl_IBM[[#This Row],[RS]])))</f>
        <v>35.349212392855492</v>
      </c>
      <c r="J20" s="149">
        <f ca="1">IF(ROW($N20)-4&lt;BB_Periods, "", AVERAGE(INDIRECT(ADDRESS(ROW($F20)-RSI_Periods +1, MATCH("Adj Close", Price_Header,0))): INDIRECT(ADDRESS(ROW($F20),MATCH("Adj Close", Price_Header,0)))))</f>
        <v>124.57357085714285</v>
      </c>
      <c r="K20" s="149">
        <f ca="1">IF(tbl_IBM[[#This Row],[BB_Mean]]="", "", tbl_IBM[[#This Row],[BB_Mean]]+(2*tbl_IBM[[#This Row],[BB_Stdev]]))</f>
        <v>126.58554251666078</v>
      </c>
      <c r="L20" s="149">
        <f ca="1">IF(tbl_IBM[[#This Row],[BB_Mean]]="", "", tbl_IBM[[#This Row],[BB_Mean]]-(2*tbl_IBM[[#This Row],[BB_Stdev]]))</f>
        <v>122.56159919762493</v>
      </c>
      <c r="M20" s="150">
        <f>IF(ROW(tbl_IBM[[#This Row],[Adj Close]])=5, 0, $F20-$F19)</f>
        <v>-1.7600020000000001</v>
      </c>
      <c r="N20" s="150">
        <f>MAX(tbl_IBM[[#This Row],[Move]],0)</f>
        <v>0</v>
      </c>
      <c r="O20" s="150">
        <f>MAX(-tbl_IBM[[#This Row],[Move]],0)</f>
        <v>1.7600020000000001</v>
      </c>
      <c r="P20" s="150">
        <f ca="1">IF(ROW($N20)-5&lt;RSI_Periods, "", AVERAGE(INDIRECT(ADDRESS(ROW($N20)-RSI_Periods +1, MATCH("Upmove", Price_Header,0))): INDIRECT(ADDRESS(ROW($N20),MATCH("Upmove", Price_Header,0)))))</f>
        <v>0.29642814285714231</v>
      </c>
      <c r="Q20" s="150">
        <f ca="1">IF(ROW($O20)-5&lt;RSI_Periods, "", AVERAGE(INDIRECT(ADDRESS(ROW($O20)-RSI_Periods +1, MATCH("Downmove", Price_Header,0))): INDIRECT(ADDRESS(ROW($O20),MATCH("Downmove", Price_Header,0)))))</f>
        <v>0.54214257142857136</v>
      </c>
      <c r="R20" s="150">
        <f ca="1">IF(tbl_IBM[[#This Row],[Avg_Upmove]]="", "", tbl_IBM[[#This Row],[Avg_Upmove]]/tbl_IBM[[#This Row],[Avg_Downmove]])</f>
        <v>0.54677156615102207</v>
      </c>
      <c r="S20" s="149">
        <f ca="1">IF(ROW($N20)-4&lt;BB_Periods, "", _xlfn.STDEV.S(INDIRECT(ADDRESS(ROW($F20)-RSI_Periods +1, MATCH("Adj Close", Price_Header,0))): INDIRECT(ADDRESS(ROW($F20),MATCH("Adj Close", Price_Header,0)))))</f>
        <v>1.005985829758961</v>
      </c>
    </row>
    <row r="21" spans="1:19" x14ac:dyDescent="0.25">
      <c r="A21" s="130">
        <v>44075</v>
      </c>
      <c r="B21" s="149">
        <v>122.849998</v>
      </c>
      <c r="C21" s="149">
        <v>123.949997</v>
      </c>
      <c r="D21" s="149">
        <v>122.150002</v>
      </c>
      <c r="E21" s="149">
        <v>123.400002</v>
      </c>
      <c r="F21" s="149">
        <v>123.400002</v>
      </c>
      <c r="G21" s="129">
        <v>3155300</v>
      </c>
      <c r="H21" s="149">
        <f>IF(tbl_IBM[[#This Row],[Date]]=$A$5, $F21, EMA_Beta*$H20 + (1-EMA_Beta)*$F21)</f>
        <v>124.86982939682092</v>
      </c>
      <c r="I21" s="150">
        <f ca="1">IF(tbl_IBM[[#This Row],[RS]]= "", "", 100-(100/(1+tbl_IBM[[#This Row],[RS]])))</f>
        <v>35.993219349658261</v>
      </c>
      <c r="J21" s="149">
        <f ca="1">IF(ROW($N21)-4&lt;BB_Periods, "", AVERAGE(INDIRECT(ADDRESS(ROW($F21)-RSI_Periods +1, MATCH("Adj Close", Price_Header,0))): INDIRECT(ADDRESS(ROW($F21),MATCH("Adj Close", Price_Header,0)))))</f>
        <v>124.33785692857144</v>
      </c>
      <c r="K21" s="149">
        <f ca="1">IF(tbl_IBM[[#This Row],[BB_Mean]]="", "", tbl_IBM[[#This Row],[BB_Mean]]+(2*tbl_IBM[[#This Row],[BB_Stdev]]))</f>
        <v>126.02343542333212</v>
      </c>
      <c r="L21" s="149">
        <f ca="1">IF(tbl_IBM[[#This Row],[BB_Mean]]="", "", tbl_IBM[[#This Row],[BB_Mean]]-(2*tbl_IBM[[#This Row],[BB_Stdev]]))</f>
        <v>122.65227843381076</v>
      </c>
      <c r="M21" s="150">
        <f>IF(ROW(tbl_IBM[[#This Row],[Adj Close]])=5, 0, $F21-$F20)</f>
        <v>9.0004000000007522E-2</v>
      </c>
      <c r="N21" s="150">
        <f>MAX(tbl_IBM[[#This Row],[Move]],0)</f>
        <v>9.0004000000007522E-2</v>
      </c>
      <c r="O21" s="150">
        <f>MAX(-tbl_IBM[[#This Row],[Move]],0)</f>
        <v>0</v>
      </c>
      <c r="P21" s="150">
        <f ca="1">IF(ROW($N21)-5&lt;RSI_Periods, "", AVERAGE(INDIRECT(ADDRESS(ROW($N21)-RSI_Periods +1, MATCH("Upmove", Price_Header,0))): INDIRECT(ADDRESS(ROW($N21),MATCH("Upmove", Price_Header,0)))))</f>
        <v>0.30285699999999999</v>
      </c>
      <c r="Q21" s="150">
        <f ca="1">IF(ROW($O21)-5&lt;RSI_Periods, "", AVERAGE(INDIRECT(ADDRESS(ROW($O21)-RSI_Periods +1, MATCH("Downmove", Price_Header,0))): INDIRECT(ADDRESS(ROW($O21),MATCH("Downmove", Price_Header,0)))))</f>
        <v>0.5385709285714283</v>
      </c>
      <c r="R21" s="150">
        <f ca="1">IF(tbl_IBM[[#This Row],[Avg_Upmove]]="", "", tbl_IBM[[#This Row],[Avg_Upmove]]/tbl_IBM[[#This Row],[Avg_Downmove]])</f>
        <v>0.56233447431582517</v>
      </c>
      <c r="S21" s="149">
        <f ca="1">IF(ROW($N21)-4&lt;BB_Periods, "", _xlfn.STDEV.S(INDIRECT(ADDRESS(ROW($F21)-RSI_Periods +1, MATCH("Adj Close", Price_Header,0))): INDIRECT(ADDRESS(ROW($F21),MATCH("Adj Close", Price_Header,0)))))</f>
        <v>0.84278924738034044</v>
      </c>
    </row>
    <row r="22" spans="1:19" x14ac:dyDescent="0.25">
      <c r="A22" s="130">
        <v>44076</v>
      </c>
      <c r="B22" s="149">
        <v>123.720001</v>
      </c>
      <c r="C22" s="149">
        <v>128.699997</v>
      </c>
      <c r="D22" s="149">
        <v>123.58000199999999</v>
      </c>
      <c r="E22" s="149">
        <v>128.179993</v>
      </c>
      <c r="F22" s="149">
        <v>128.179993</v>
      </c>
      <c r="G22" s="129">
        <v>6592400</v>
      </c>
      <c r="H22" s="149">
        <f>IF(tbl_IBM[[#This Row],[Date]]=$A$5, $F22, EMA_Beta*$H21 + (1-EMA_Beta)*$F22)</f>
        <v>125.20084575713882</v>
      </c>
      <c r="I22" s="150">
        <f ca="1">IF(tbl_IBM[[#This Row],[RS]]= "", "", 100-(100/(1+tbl_IBM[[#This Row],[RS]])))</f>
        <v>60.577560056478212</v>
      </c>
      <c r="J22" s="149">
        <f ca="1">IF(ROW($N22)-4&lt;BB_Periods, "", AVERAGE(INDIRECT(ADDRESS(ROW($F22)-RSI_Periods +1, MATCH("Adj Close", Price_Header,0))): INDIRECT(ADDRESS(ROW($F22),MATCH("Adj Close", Price_Header,0)))))</f>
        <v>124.5628565</v>
      </c>
      <c r="K22" s="149">
        <f ca="1">IF(tbl_IBM[[#This Row],[BB_Mean]]="", "", tbl_IBM[[#This Row],[BB_Mean]]+(2*tbl_IBM[[#This Row],[BB_Stdev]]))</f>
        <v>127.21197942863579</v>
      </c>
      <c r="L22" s="149">
        <f ca="1">IF(tbl_IBM[[#This Row],[BB_Mean]]="", "", tbl_IBM[[#This Row],[BB_Mean]]-(2*tbl_IBM[[#This Row],[BB_Stdev]]))</f>
        <v>121.9137335713642</v>
      </c>
      <c r="M22" s="150">
        <f>IF(ROW(tbl_IBM[[#This Row],[Adj Close]])=5, 0, $F22-$F21)</f>
        <v>4.7799909999999954</v>
      </c>
      <c r="N22" s="150">
        <f>MAX(tbl_IBM[[#This Row],[Move]],0)</f>
        <v>4.7799909999999954</v>
      </c>
      <c r="O22" s="150">
        <f>MAX(-tbl_IBM[[#This Row],[Move]],0)</f>
        <v>0</v>
      </c>
      <c r="P22" s="150">
        <f ca="1">IF(ROW($N22)-5&lt;RSI_Periods, "", AVERAGE(INDIRECT(ADDRESS(ROW($N22)-RSI_Periods +1, MATCH("Upmove", Price_Header,0))): INDIRECT(ADDRESS(ROW($N22),MATCH("Upmove", Price_Header,0)))))</f>
        <v>0.64428492857142827</v>
      </c>
      <c r="Q22" s="150">
        <f ca="1">IF(ROW($O22)-5&lt;RSI_Periods, "", AVERAGE(INDIRECT(ADDRESS(ROW($O22)-RSI_Periods +1, MATCH("Downmove", Price_Header,0))): INDIRECT(ADDRESS(ROW($O22),MATCH("Downmove", Price_Header,0)))))</f>
        <v>0.41928535714285736</v>
      </c>
      <c r="R22" s="150">
        <f ca="1">IF(tbl_IBM[[#This Row],[Avg_Upmove]]="", "", tbl_IBM[[#This Row],[Avg_Upmove]]/tbl_IBM[[#This Row],[Avg_Downmove]])</f>
        <v>1.5366263514704852</v>
      </c>
      <c r="S22" s="149">
        <f ca="1">IF(ROW($N22)-4&lt;BB_Periods, "", _xlfn.STDEV.S(INDIRECT(ADDRESS(ROW($F22)-RSI_Periods +1, MATCH("Adj Close", Price_Header,0))): INDIRECT(ADDRESS(ROW($F22),MATCH("Adj Close", Price_Header,0)))))</f>
        <v>1.3245614643178931</v>
      </c>
    </row>
    <row r="23" spans="1:19" x14ac:dyDescent="0.25">
      <c r="A23" s="130">
        <v>44077</v>
      </c>
      <c r="B23" s="149">
        <v>128.19000199999999</v>
      </c>
      <c r="C23" s="149">
        <v>129.949997</v>
      </c>
      <c r="D23" s="149">
        <v>123.650002</v>
      </c>
      <c r="E23" s="149">
        <v>124.449997</v>
      </c>
      <c r="F23" s="149">
        <v>124.449997</v>
      </c>
      <c r="G23" s="129">
        <v>5716800</v>
      </c>
      <c r="H23" s="149">
        <f>IF(tbl_IBM[[#This Row],[Date]]=$A$5, $F23, EMA_Beta*$H22 + (1-EMA_Beta)*$F23)</f>
        <v>125.12576088142494</v>
      </c>
      <c r="I23" s="150">
        <f ca="1">IF(tbl_IBM[[#This Row],[RS]]= "", "", 100-(100/(1+tbl_IBM[[#This Row],[RS]])))</f>
        <v>47.769312287683391</v>
      </c>
      <c r="J23" s="149">
        <f ca="1">IF(ROW($N23)-4&lt;BB_Periods, "", AVERAGE(INDIRECT(ADDRESS(ROW($F23)-RSI_Periods +1, MATCH("Adj Close", Price_Header,0))): INDIRECT(ADDRESS(ROW($F23),MATCH("Adj Close", Price_Header,0)))))</f>
        <v>124.50428507142855</v>
      </c>
      <c r="K23" s="149">
        <f ca="1">IF(tbl_IBM[[#This Row],[BB_Mean]]="", "", tbl_IBM[[#This Row],[BB_Mean]]+(2*tbl_IBM[[#This Row],[BB_Stdev]]))</f>
        <v>127.12213392141084</v>
      </c>
      <c r="L23" s="149">
        <f ca="1">IF(tbl_IBM[[#This Row],[BB_Mean]]="", "", tbl_IBM[[#This Row],[BB_Mean]]-(2*tbl_IBM[[#This Row],[BB_Stdev]]))</f>
        <v>121.88643622144627</v>
      </c>
      <c r="M23" s="150">
        <f>IF(ROW(tbl_IBM[[#This Row],[Adj Close]])=5, 0, $F23-$F22)</f>
        <v>-3.7299959999999999</v>
      </c>
      <c r="N23" s="150">
        <f>MAX(tbl_IBM[[#This Row],[Move]],0)</f>
        <v>0</v>
      </c>
      <c r="O23" s="150">
        <f>MAX(-tbl_IBM[[#This Row],[Move]],0)</f>
        <v>3.7299959999999999</v>
      </c>
      <c r="P23" s="150">
        <f ca="1">IF(ROW($N23)-5&lt;RSI_Periods, "", AVERAGE(INDIRECT(ADDRESS(ROW($N23)-RSI_Periods +1, MATCH("Upmove", Price_Header,0))): INDIRECT(ADDRESS(ROW($N23),MATCH("Upmove", Price_Header,0)))))</f>
        <v>0.62714221428571393</v>
      </c>
      <c r="Q23" s="150">
        <f ca="1">IF(ROW($O23)-5&lt;RSI_Periods, "", AVERAGE(INDIRECT(ADDRESS(ROW($O23)-RSI_Periods +1, MATCH("Downmove", Price_Header,0))): INDIRECT(ADDRESS(ROW($O23),MATCH("Downmove", Price_Header,0)))))</f>
        <v>0.68571364285714309</v>
      </c>
      <c r="R23" s="150">
        <f ca="1">IF(tbl_IBM[[#This Row],[Avg_Upmove]]="", "", tbl_IBM[[#This Row],[Avg_Upmove]]/tbl_IBM[[#This Row],[Avg_Downmove]])</f>
        <v>0.91458325325513246</v>
      </c>
      <c r="S23" s="149">
        <f ca="1">IF(ROW($N23)-4&lt;BB_Periods, "", _xlfn.STDEV.S(INDIRECT(ADDRESS(ROW($F23)-RSI_Periods +1, MATCH("Adj Close", Price_Header,0))): INDIRECT(ADDRESS(ROW($F23),MATCH("Adj Close", Price_Header,0)))))</f>
        <v>1.3089244249911369</v>
      </c>
    </row>
    <row r="24" spans="1:19" x14ac:dyDescent="0.25">
      <c r="A24" s="130">
        <v>44078</v>
      </c>
      <c r="B24" s="149">
        <v>124.349998</v>
      </c>
      <c r="C24" s="149">
        <v>125.349998</v>
      </c>
      <c r="D24" s="149">
        <v>121.239998</v>
      </c>
      <c r="E24" s="149">
        <v>122.300003</v>
      </c>
      <c r="F24" s="149">
        <v>122.300003</v>
      </c>
      <c r="G24" s="129">
        <v>6018200</v>
      </c>
      <c r="H24" s="149">
        <f>IF(tbl_IBM[[#This Row],[Date]]=$A$5, $F24, EMA_Beta*$H23 + (1-EMA_Beta)*$F24)</f>
        <v>124.84318509328244</v>
      </c>
      <c r="I24" s="150">
        <f ca="1">IF(tbl_IBM[[#This Row],[RS]]= "", "", 100-(100/(1+tbl_IBM[[#This Row],[RS]])))</f>
        <v>44.568525218374567</v>
      </c>
      <c r="J24" s="149">
        <f ca="1">IF(ROW($N24)-4&lt;BB_Periods, "", AVERAGE(INDIRECT(ADDRESS(ROW($F24)-RSI_Periods +1, MATCH("Adj Close", Price_Header,0))): INDIRECT(ADDRESS(ROW($F24),MATCH("Adj Close", Price_Header,0)))))</f>
        <v>124.35142799999998</v>
      </c>
      <c r="K24" s="149">
        <f ca="1">IF(tbl_IBM[[#This Row],[BB_Mean]]="", "", tbl_IBM[[#This Row],[BB_Mean]]+(2*tbl_IBM[[#This Row],[BB_Stdev]]))</f>
        <v>127.22305547270858</v>
      </c>
      <c r="L24" s="149">
        <f ca="1">IF(tbl_IBM[[#This Row],[BB_Mean]]="", "", tbl_IBM[[#This Row],[BB_Mean]]-(2*tbl_IBM[[#This Row],[BB_Stdev]]))</f>
        <v>121.47980052729139</v>
      </c>
      <c r="M24" s="150">
        <f>IF(ROW(tbl_IBM[[#This Row],[Adj Close]])=5, 0, $F24-$F23)</f>
        <v>-2.1499939999999924</v>
      </c>
      <c r="N24" s="150">
        <f>MAX(tbl_IBM[[#This Row],[Move]],0)</f>
        <v>0</v>
      </c>
      <c r="O24" s="150">
        <f>MAX(-tbl_IBM[[#This Row],[Move]],0)</f>
        <v>2.1499939999999924</v>
      </c>
      <c r="P24" s="150">
        <f ca="1">IF(ROW($N24)-5&lt;RSI_Periods, "", AVERAGE(INDIRECT(ADDRESS(ROW($N24)-RSI_Periods +1, MATCH("Upmove", Price_Header,0))): INDIRECT(ADDRESS(ROW($N24),MATCH("Upmove", Price_Header,0)))))</f>
        <v>0.62714221428571393</v>
      </c>
      <c r="Q24" s="150">
        <f ca="1">IF(ROW($O24)-5&lt;RSI_Periods, "", AVERAGE(INDIRECT(ADDRESS(ROW($O24)-RSI_Periods +1, MATCH("Downmove", Price_Header,0))): INDIRECT(ADDRESS(ROW($O24),MATCH("Downmove", Price_Header,0)))))</f>
        <v>0.77999928571428556</v>
      </c>
      <c r="R24" s="150">
        <f ca="1">IF(tbl_IBM[[#This Row],[Avg_Upmove]]="", "", tbl_IBM[[#This Row],[Avg_Upmove]]/tbl_IBM[[#This Row],[Avg_Downmove]])</f>
        <v>0.80402921614397049</v>
      </c>
      <c r="S24" s="149">
        <f ca="1">IF(ROW($N24)-4&lt;BB_Periods, "", _xlfn.STDEV.S(INDIRECT(ADDRESS(ROW($F24)-RSI_Periods +1, MATCH("Adj Close", Price_Header,0))): INDIRECT(ADDRESS(ROW($F24),MATCH("Adj Close", Price_Header,0)))))</f>
        <v>1.4358137363542984</v>
      </c>
    </row>
    <row r="25" spans="1:19" x14ac:dyDescent="0.25">
      <c r="A25" s="130">
        <v>44082</v>
      </c>
      <c r="B25" s="149">
        <v>122.160004</v>
      </c>
      <c r="C25" s="149">
        <v>122.870003</v>
      </c>
      <c r="D25" s="149">
        <v>120.709999</v>
      </c>
      <c r="E25" s="149">
        <v>121.209999</v>
      </c>
      <c r="F25" s="149">
        <v>121.209999</v>
      </c>
      <c r="G25" s="129">
        <v>5210300</v>
      </c>
      <c r="H25" s="149">
        <f>IF(tbl_IBM[[#This Row],[Date]]=$A$5, $F25, EMA_Beta*$H24 + (1-EMA_Beta)*$F25)</f>
        <v>124.4798664839542</v>
      </c>
      <c r="I25" s="150">
        <f ca="1">IF(tbl_IBM[[#This Row],[RS]]= "", "", 100-(100/(1+tbl_IBM[[#This Row],[RS]])))</f>
        <v>40.86656570813502</v>
      </c>
      <c r="J25" s="149">
        <f ca="1">IF(ROW($N25)-4&lt;BB_Periods, "", AVERAGE(INDIRECT(ADDRESS(ROW($F25)-RSI_Periods +1, MATCH("Adj Close", Price_Header,0))): INDIRECT(ADDRESS(ROW($F25),MATCH("Adj Close", Price_Header,0)))))</f>
        <v>124.08642807142857</v>
      </c>
      <c r="K25" s="149">
        <f ca="1">IF(tbl_IBM[[#This Row],[BB_Mean]]="", "", tbl_IBM[[#This Row],[BB_Mean]]+(2*tbl_IBM[[#This Row],[BB_Stdev]]))</f>
        <v>127.38502679296934</v>
      </c>
      <c r="L25" s="149">
        <f ca="1">IF(tbl_IBM[[#This Row],[BB_Mean]]="", "", tbl_IBM[[#This Row],[BB_Mean]]-(2*tbl_IBM[[#This Row],[BB_Stdev]]))</f>
        <v>120.7878293498878</v>
      </c>
      <c r="M25" s="150">
        <f>IF(ROW(tbl_IBM[[#This Row],[Adj Close]])=5, 0, $F25-$F24)</f>
        <v>-1.0900040000000075</v>
      </c>
      <c r="N25" s="150">
        <f>MAX(tbl_IBM[[#This Row],[Move]],0)</f>
        <v>0</v>
      </c>
      <c r="O25" s="150">
        <f>MAX(-tbl_IBM[[#This Row],[Move]],0)</f>
        <v>1.0900040000000075</v>
      </c>
      <c r="P25" s="150">
        <f ca="1">IF(ROW($N25)-5&lt;RSI_Periods, "", AVERAGE(INDIRECT(ADDRESS(ROW($N25)-RSI_Periods +1, MATCH("Upmove", Price_Header,0))): INDIRECT(ADDRESS(ROW($N25),MATCH("Upmove", Price_Header,0)))))</f>
        <v>0.59285678571428535</v>
      </c>
      <c r="Q25" s="150">
        <f ca="1">IF(ROW($O25)-5&lt;RSI_Periods, "", AVERAGE(INDIRECT(ADDRESS(ROW($O25)-RSI_Periods +1, MATCH("Downmove", Price_Header,0))): INDIRECT(ADDRESS(ROW($O25),MATCH("Downmove", Price_Header,0)))))</f>
        <v>0.85785671428571475</v>
      </c>
      <c r="R25" s="150">
        <f ca="1">IF(tbl_IBM[[#This Row],[Avg_Upmove]]="", "", tbl_IBM[[#This Row],[Avg_Upmove]]/tbl_IBM[[#This Row],[Avg_Downmove]])</f>
        <v>0.69109068663980933</v>
      </c>
      <c r="S25" s="149">
        <f ca="1">IF(ROW($N25)-4&lt;BB_Periods, "", _xlfn.STDEV.S(INDIRECT(ADDRESS(ROW($F25)-RSI_Periods +1, MATCH("Adj Close", Price_Header,0))): INDIRECT(ADDRESS(ROW($F25),MATCH("Adj Close", Price_Header,0)))))</f>
        <v>1.6492993607703874</v>
      </c>
    </row>
    <row r="26" spans="1:19" x14ac:dyDescent="0.25">
      <c r="A26" s="130">
        <v>44083</v>
      </c>
      <c r="B26" s="149">
        <v>122.129997</v>
      </c>
      <c r="C26" s="149">
        <v>123.699997</v>
      </c>
      <c r="D26" s="149">
        <v>121.290001</v>
      </c>
      <c r="E26" s="149">
        <v>122.260002</v>
      </c>
      <c r="F26" s="149">
        <v>122.260002</v>
      </c>
      <c r="G26" s="129">
        <v>3770700</v>
      </c>
      <c r="H26" s="149">
        <f>IF(tbl_IBM[[#This Row],[Date]]=$A$5, $F26, EMA_Beta*$H25 + (1-EMA_Beta)*$F26)</f>
        <v>124.25788003555878</v>
      </c>
      <c r="I26" s="150">
        <f ca="1">IF(tbl_IBM[[#This Row],[RS]]= "", "", 100-(100/(1+tbl_IBM[[#This Row],[RS]])))</f>
        <v>46.104549361217636</v>
      </c>
      <c r="J26" s="149">
        <f ca="1">IF(ROW($N26)-4&lt;BB_Periods, "", AVERAGE(INDIRECT(ADDRESS(ROW($F26)-RSI_Periods +1, MATCH("Adj Close", Price_Header,0))): INDIRECT(ADDRESS(ROW($F26),MATCH("Adj Close", Price_Header,0)))))</f>
        <v>123.97357135714284</v>
      </c>
      <c r="K26" s="149">
        <f ca="1">IF(tbl_IBM[[#This Row],[BB_Mean]]="", "", tbl_IBM[[#This Row],[BB_Mean]]+(2*tbl_IBM[[#This Row],[BB_Stdev]]))</f>
        <v>127.41357312171409</v>
      </c>
      <c r="L26" s="149">
        <f ca="1">IF(tbl_IBM[[#This Row],[BB_Mean]]="", "", tbl_IBM[[#This Row],[BB_Mean]]-(2*tbl_IBM[[#This Row],[BB_Stdev]]))</f>
        <v>120.5335695925716</v>
      </c>
      <c r="M26" s="150">
        <f>IF(ROW(tbl_IBM[[#This Row],[Adj Close]])=5, 0, $F26-$F25)</f>
        <v>1.0500030000000038</v>
      </c>
      <c r="N26" s="150">
        <f>MAX(tbl_IBM[[#This Row],[Move]],0)</f>
        <v>1.0500030000000038</v>
      </c>
      <c r="O26" s="150">
        <f>MAX(-tbl_IBM[[#This Row],[Move]],0)</f>
        <v>0</v>
      </c>
      <c r="P26" s="150">
        <f ca="1">IF(ROW($N26)-5&lt;RSI_Periods, "", AVERAGE(INDIRECT(ADDRESS(ROW($N26)-RSI_Periods +1, MATCH("Upmove", Price_Header,0))): INDIRECT(ADDRESS(ROW($N26),MATCH("Upmove", Price_Header,0)))))</f>
        <v>0.66785699999999992</v>
      </c>
      <c r="Q26" s="150">
        <f ca="1">IF(ROW($O26)-5&lt;RSI_Periods, "", AVERAGE(INDIRECT(ADDRESS(ROW($O26)-RSI_Periods +1, MATCH("Downmove", Price_Header,0))): INDIRECT(ADDRESS(ROW($O26),MATCH("Downmove", Price_Header,0)))))</f>
        <v>0.78071371428571423</v>
      </c>
      <c r="R26" s="150">
        <f ca="1">IF(tbl_IBM[[#This Row],[Avg_Upmove]]="", "", tbl_IBM[[#This Row],[Avg_Upmove]]/tbl_IBM[[#This Row],[Avg_Downmove]])</f>
        <v>0.85544417598841793</v>
      </c>
      <c r="S26" s="149">
        <f ca="1">IF(ROW($N26)-4&lt;BB_Periods, "", _xlfn.STDEV.S(INDIRECT(ADDRESS(ROW($F26)-RSI_Periods +1, MATCH("Adj Close", Price_Header,0))): INDIRECT(ADDRESS(ROW($F26),MATCH("Adj Close", Price_Header,0)))))</f>
        <v>1.7200008822856239</v>
      </c>
    </row>
    <row r="27" spans="1:19" x14ac:dyDescent="0.25">
      <c r="A27" s="130">
        <v>44084</v>
      </c>
      <c r="B27" s="149">
        <v>122.529999</v>
      </c>
      <c r="C27" s="149">
        <v>123.58000199999999</v>
      </c>
      <c r="D27" s="149">
        <v>120.239998</v>
      </c>
      <c r="E27" s="149">
        <v>120.55999799999999</v>
      </c>
      <c r="F27" s="149">
        <v>120.55999799999999</v>
      </c>
      <c r="G27" s="129">
        <v>3978400</v>
      </c>
      <c r="H27" s="149">
        <f>IF(tbl_IBM[[#This Row],[Date]]=$A$5, $F27, EMA_Beta*$H26 + (1-EMA_Beta)*$F27)</f>
        <v>123.8880918320029</v>
      </c>
      <c r="I27" s="150">
        <f ca="1">IF(tbl_IBM[[#This Row],[RS]]= "", "", 100-(100/(1+tbl_IBM[[#This Row],[RS]])))</f>
        <v>43.917322686707358</v>
      </c>
      <c r="J27" s="149">
        <f ca="1">IF(ROW($N27)-4&lt;BB_Periods, "", AVERAGE(INDIRECT(ADDRESS(ROW($F27)-RSI_Periods +1, MATCH("Adj Close", Price_Header,0))): INDIRECT(ADDRESS(ROW($F27),MATCH("Adj Close", Price_Header,0)))))</f>
        <v>123.78857107142856</v>
      </c>
      <c r="K27" s="149">
        <f ca="1">IF(tbl_IBM[[#This Row],[BB_Mean]]="", "", tbl_IBM[[#This Row],[BB_Mean]]+(2*tbl_IBM[[#This Row],[BB_Stdev]]))</f>
        <v>127.66966150322904</v>
      </c>
      <c r="L27" s="149">
        <f ca="1">IF(tbl_IBM[[#This Row],[BB_Mean]]="", "", tbl_IBM[[#This Row],[BB_Mean]]-(2*tbl_IBM[[#This Row],[BB_Stdev]]))</f>
        <v>119.90748063962809</v>
      </c>
      <c r="M27" s="150">
        <f>IF(ROW(tbl_IBM[[#This Row],[Adj Close]])=5, 0, $F27-$F26)</f>
        <v>-1.700004000000007</v>
      </c>
      <c r="N27" s="150">
        <f>MAX(tbl_IBM[[#This Row],[Move]],0)</f>
        <v>0</v>
      </c>
      <c r="O27" s="150">
        <f>MAX(-tbl_IBM[[#This Row],[Move]],0)</f>
        <v>1.700004000000007</v>
      </c>
      <c r="P27" s="150">
        <f ca="1">IF(ROW($N27)-5&lt;RSI_Periods, "", AVERAGE(INDIRECT(ADDRESS(ROW($N27)-RSI_Periods +1, MATCH("Upmove", Price_Header,0))): INDIRECT(ADDRESS(ROW($N27),MATCH("Upmove", Price_Header,0)))))</f>
        <v>0.66785699999999992</v>
      </c>
      <c r="Q27" s="150">
        <f ca="1">IF(ROW($O27)-5&lt;RSI_Periods, "", AVERAGE(INDIRECT(ADDRESS(ROW($O27)-RSI_Periods +1, MATCH("Downmove", Price_Header,0))): INDIRECT(ADDRESS(ROW($O27),MATCH("Downmove", Price_Header,0)))))</f>
        <v>0.85285728571428621</v>
      </c>
      <c r="R27" s="150">
        <f ca="1">IF(tbl_IBM[[#This Row],[Avg_Upmove]]="", "", tbl_IBM[[#This Row],[Avg_Upmove]]/tbl_IBM[[#This Row],[Avg_Downmove]])</f>
        <v>0.78308177837826098</v>
      </c>
      <c r="S27" s="149">
        <f ca="1">IF(ROW($N27)-4&lt;BB_Periods, "", _xlfn.STDEV.S(INDIRECT(ADDRESS(ROW($F27)-RSI_Periods +1, MATCH("Adj Close", Price_Header,0))): INDIRECT(ADDRESS(ROW($F27),MATCH("Adj Close", Price_Header,0)))))</f>
        <v>1.940545215900239</v>
      </c>
    </row>
    <row r="28" spans="1:19" x14ac:dyDescent="0.25">
      <c r="A28" s="130">
        <v>44085</v>
      </c>
      <c r="B28" s="149">
        <v>121.389999</v>
      </c>
      <c r="C28" s="149">
        <v>122.699997</v>
      </c>
      <c r="D28" s="149">
        <v>120.730003</v>
      </c>
      <c r="E28" s="149">
        <v>121.459999</v>
      </c>
      <c r="F28" s="149">
        <v>121.459999</v>
      </c>
      <c r="G28" s="129">
        <v>3547400</v>
      </c>
      <c r="H28" s="149">
        <f>IF(tbl_IBM[[#This Row],[Date]]=$A$5, $F28, EMA_Beta*$H27 + (1-EMA_Beta)*$F28)</f>
        <v>123.6452825488026</v>
      </c>
      <c r="I28" s="150">
        <f ca="1">IF(tbl_IBM[[#This Row],[RS]]= "", "", 100-(100/(1+tbl_IBM[[#This Row],[RS]])))</f>
        <v>46.167707221267221</v>
      </c>
      <c r="J28" s="149">
        <f ca="1">IF(ROW($N28)-4&lt;BB_Periods, "", AVERAGE(INDIRECT(ADDRESS(ROW($F28)-RSI_Periods +1, MATCH("Adj Close", Price_Header,0))): INDIRECT(ADDRESS(ROW($F28),MATCH("Adj Close", Price_Header,0)))))</f>
        <v>123.66714214285712</v>
      </c>
      <c r="K28" s="149">
        <f ca="1">IF(tbl_IBM[[#This Row],[BB_Mean]]="", "", tbl_IBM[[#This Row],[BB_Mean]]+(2*tbl_IBM[[#This Row],[BB_Stdev]]))</f>
        <v>127.73483951066494</v>
      </c>
      <c r="L28" s="149">
        <f ca="1">IF(tbl_IBM[[#This Row],[BB_Mean]]="", "", tbl_IBM[[#This Row],[BB_Mean]]-(2*tbl_IBM[[#This Row],[BB_Stdev]]))</f>
        <v>119.59944477504929</v>
      </c>
      <c r="M28" s="150">
        <f>IF(ROW(tbl_IBM[[#This Row],[Adj Close]])=5, 0, $F28-$F27)</f>
        <v>0.90000100000000316</v>
      </c>
      <c r="N28" s="150">
        <f>MAX(tbl_IBM[[#This Row],[Move]],0)</f>
        <v>0.90000100000000316</v>
      </c>
      <c r="O28" s="150">
        <f>MAX(-tbl_IBM[[#This Row],[Move]],0)</f>
        <v>0</v>
      </c>
      <c r="P28" s="150">
        <f ca="1">IF(ROW($N28)-5&lt;RSI_Periods, "", AVERAGE(INDIRECT(ADDRESS(ROW($N28)-RSI_Periods +1, MATCH("Upmove", Price_Header,0))): INDIRECT(ADDRESS(ROW($N28),MATCH("Upmove", Price_Header,0)))))</f>
        <v>0.73142835714285737</v>
      </c>
      <c r="Q28" s="150">
        <f ca="1">IF(ROW($O28)-5&lt;RSI_Periods, "", AVERAGE(INDIRECT(ADDRESS(ROW($O28)-RSI_Periods +1, MATCH("Downmove", Price_Header,0))): INDIRECT(ADDRESS(ROW($O28),MATCH("Downmove", Price_Header,0)))))</f>
        <v>0.85285728571428621</v>
      </c>
      <c r="R28" s="150">
        <f ca="1">IF(tbl_IBM[[#This Row],[Avg_Upmove]]="", "", tbl_IBM[[#This Row],[Avg_Upmove]]/tbl_IBM[[#This Row],[Avg_Downmove]])</f>
        <v>0.85762104562461527</v>
      </c>
      <c r="S28" s="149">
        <f ca="1">IF(ROW($N28)-4&lt;BB_Periods, "", _xlfn.STDEV.S(INDIRECT(ADDRESS(ROW($F28)-RSI_Periods +1, MATCH("Adj Close", Price_Header,0))): INDIRECT(ADDRESS(ROW($F28),MATCH("Adj Close", Price_Header,0)))))</f>
        <v>2.0338486839039116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</vt:i4>
      </vt:variant>
    </vt:vector>
  </HeadingPairs>
  <TitlesOfParts>
    <vt:vector size="25" baseType="lpstr">
      <vt:lpstr>Home</vt:lpstr>
      <vt:lpstr>Transactions</vt:lpstr>
      <vt:lpstr>Lookup</vt:lpstr>
      <vt:lpstr>Positions</vt:lpstr>
      <vt:lpstr>HD</vt:lpstr>
      <vt:lpstr>AAPL</vt:lpstr>
      <vt:lpstr>WMT</vt:lpstr>
      <vt:lpstr>RIOT</vt:lpstr>
      <vt:lpstr>IBM</vt:lpstr>
      <vt:lpstr>ORCL</vt:lpstr>
      <vt:lpstr>Dashboard</vt:lpstr>
      <vt:lpstr>Dashboard_backend</vt:lpstr>
      <vt:lpstr>Adj_Close_HD</vt:lpstr>
      <vt:lpstr>BB_Periods</vt:lpstr>
      <vt:lpstr>BB_Width</vt:lpstr>
      <vt:lpstr>Date_List</vt:lpstr>
      <vt:lpstr>EMA_Beta</vt:lpstr>
      <vt:lpstr>Metrics</vt:lpstr>
      <vt:lpstr>pos_header</vt:lpstr>
      <vt:lpstr>Price_AAPL</vt:lpstr>
      <vt:lpstr>Price_HD</vt:lpstr>
      <vt:lpstr>Price_Header</vt:lpstr>
      <vt:lpstr>RSI_Periods</vt:lpstr>
      <vt:lpstr>Symbol</vt:lpstr>
      <vt:lpstr>Transactions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2020-09-13T13:25:13Z</cp:lastPrinted>
  <dcterms:created xsi:type="dcterms:W3CDTF">2020-09-12T01:33:26Z</dcterms:created>
  <dcterms:modified xsi:type="dcterms:W3CDTF">2020-09-15T01:15:54Z</dcterms:modified>
</cp:coreProperties>
</file>