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cer\Desktop\JaJa\FN312\"/>
    </mc:Choice>
  </mc:AlternateContent>
  <xr:revisionPtr revIDLastSave="0" documentId="13_ncr:1_{78B65DEF-72D8-409C-BD19-489E363F6107}" xr6:coauthVersionLast="45" xr6:coauthVersionMax="45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Dashboard" sheetId="15" r:id="rId16"/>
    <sheet name="Dashboard_backend" sheetId="16" r:id="rId17"/>
  </sheets>
  <definedNames>
    <definedName name="Adj_Close_HD">tbl_HD[Adj Close]</definedName>
    <definedName name="BB_Periods">Lookup!$I$5</definedName>
    <definedName name="BB_Width">Lookup!$I$6</definedName>
    <definedName name="Date_List">tbl_HD[Date]</definedName>
    <definedName name="EMA_Beta">Lookup!$I$3</definedName>
    <definedName name="Metrics">Lookup!$E$4:$E$6</definedName>
    <definedName name="pos_header">tbl_position[#Headers]</definedName>
    <definedName name="Price_AAPL">tbl_AAPL[Adj Close]</definedName>
    <definedName name="Price_HD">tbl_HD[Adj Close]</definedName>
    <definedName name="Price_Header">tbl_HD[#Headers]</definedName>
    <definedName name="RSI_Periods">Lookup!$I$4</definedName>
    <definedName name="Symbol">tbl_symbol[Symbol]</definedName>
    <definedName name="Test">IF(#REF!="HD", Price_HD, Price_AAPL)</definedName>
    <definedName name="Total_filtered">#REF!</definedName>
    <definedName name="Transactions">Lookup!$C$4:$C$7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4" l="1"/>
  <c r="J21" i="4"/>
  <c r="AG5" i="16"/>
  <c r="AG6" i="16"/>
  <c r="AG7" i="16"/>
  <c r="AG8" i="16"/>
  <c r="AG9" i="16"/>
  <c r="AH13" i="16"/>
  <c r="AK13" i="16" s="1"/>
  <c r="AH14" i="16"/>
  <c r="AK14" i="16" s="1"/>
  <c r="AH15" i="16"/>
  <c r="AK15" i="16" s="1"/>
  <c r="AH16" i="16"/>
  <c r="AK16" i="16" s="1"/>
  <c r="AH17" i="16"/>
  <c r="AK17" i="16" s="1"/>
  <c r="AH18" i="16"/>
  <c r="AK18" i="16" s="1"/>
  <c r="AH12" i="16"/>
  <c r="AK12" i="16" s="1"/>
  <c r="AH11" i="16"/>
  <c r="AG11" i="16"/>
  <c r="B22" i="4"/>
  <c r="C22" i="4"/>
  <c r="D22" i="4"/>
  <c r="E22" i="4"/>
  <c r="F22" i="4"/>
  <c r="G22" i="4"/>
  <c r="H22" i="4"/>
  <c r="I22" i="4"/>
  <c r="K22" i="4"/>
  <c r="B21" i="4"/>
  <c r="C21" i="4"/>
  <c r="D21" i="4"/>
  <c r="E21" i="4"/>
  <c r="F21" i="4"/>
  <c r="G21" i="4"/>
  <c r="H21" i="4"/>
  <c r="I21" i="4"/>
  <c r="K21" i="4"/>
  <c r="B20" i="4"/>
  <c r="C20" i="4"/>
  <c r="D20" i="4"/>
  <c r="E20" i="4"/>
  <c r="F20" i="4"/>
  <c r="G20" i="4"/>
  <c r="H20" i="4"/>
  <c r="I20" i="4"/>
  <c r="J20" i="4"/>
  <c r="K20" i="4"/>
  <c r="B19" i="4"/>
  <c r="C19" i="4"/>
  <c r="D19" i="4"/>
  <c r="E19" i="4"/>
  <c r="F19" i="4"/>
  <c r="G19" i="4"/>
  <c r="H19" i="4"/>
  <c r="I19" i="4"/>
  <c r="J19" i="4"/>
  <c r="K19" i="4"/>
  <c r="B18" i="4"/>
  <c r="C18" i="4"/>
  <c r="D18" i="4"/>
  <c r="E18" i="4"/>
  <c r="F18" i="4"/>
  <c r="G18" i="4"/>
  <c r="H18" i="4"/>
  <c r="I18" i="4"/>
  <c r="J18" i="4"/>
  <c r="K18" i="4"/>
  <c r="B17" i="4"/>
  <c r="C17" i="4"/>
  <c r="D17" i="4"/>
  <c r="E17" i="4"/>
  <c r="F17" i="4"/>
  <c r="G17" i="4"/>
  <c r="H17" i="4"/>
  <c r="I17" i="4"/>
  <c r="J17" i="4"/>
  <c r="K17" i="4"/>
  <c r="B16" i="4"/>
  <c r="C16" i="4"/>
  <c r="D16" i="4"/>
  <c r="E16" i="4"/>
  <c r="F16" i="4"/>
  <c r="G16" i="4"/>
  <c r="H16" i="4"/>
  <c r="I16" i="4"/>
  <c r="J16" i="4"/>
  <c r="K16" i="4"/>
  <c r="M44" i="20" l="1"/>
  <c r="N44" i="20" s="1"/>
  <c r="M43" i="20"/>
  <c r="N43" i="20" s="1"/>
  <c r="M42" i="20"/>
  <c r="N42" i="20" s="1"/>
  <c r="M41" i="20"/>
  <c r="N41" i="20" s="1"/>
  <c r="M40" i="20"/>
  <c r="O40" i="20" s="1"/>
  <c r="M39" i="20"/>
  <c r="N39" i="20" s="1"/>
  <c r="M38" i="20"/>
  <c r="N38" i="20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M38" i="19"/>
  <c r="N38" i="19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44" i="17"/>
  <c r="N44" i="17" s="1"/>
  <c r="O44" i="17"/>
  <c r="M43" i="17"/>
  <c r="N43" i="17" s="1"/>
  <c r="M42" i="17"/>
  <c r="N42" i="17" s="1"/>
  <c r="M41" i="17"/>
  <c r="N41" i="17" s="1"/>
  <c r="M40" i="17"/>
  <c r="O40" i="17" s="1"/>
  <c r="M39" i="17"/>
  <c r="N39" i="17" s="1"/>
  <c r="M38" i="17"/>
  <c r="N38" i="17" s="1"/>
  <c r="M44" i="13"/>
  <c r="N44" i="13" s="1"/>
  <c r="M43" i="13"/>
  <c r="N43" i="13" s="1"/>
  <c r="M42" i="13"/>
  <c r="N42" i="13" s="1"/>
  <c r="M41" i="13"/>
  <c r="N41" i="13" s="1"/>
  <c r="M40" i="13"/>
  <c r="O40" i="13" s="1"/>
  <c r="M39" i="13"/>
  <c r="N39" i="13" s="1"/>
  <c r="M38" i="13"/>
  <c r="N38" i="13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O38" i="12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O39" i="11" s="1"/>
  <c r="M38" i="11"/>
  <c r="N38" i="11" s="1"/>
  <c r="M44" i="10"/>
  <c r="N44" i="10" s="1"/>
  <c r="M43" i="10"/>
  <c r="N43" i="10" s="1"/>
  <c r="M42" i="10"/>
  <c r="N42" i="10" s="1"/>
  <c r="M41" i="10"/>
  <c r="N41" i="10" s="1"/>
  <c r="M40" i="10"/>
  <c r="O40" i="10" s="1"/>
  <c r="M39" i="10"/>
  <c r="N39" i="10" s="1"/>
  <c r="M38" i="10"/>
  <c r="N38" i="10" s="1"/>
  <c r="M44" i="5"/>
  <c r="N44" i="5" s="1"/>
  <c r="M43" i="5"/>
  <c r="N43" i="5" s="1"/>
  <c r="M42" i="5"/>
  <c r="O42" i="5" s="1"/>
  <c r="M41" i="5"/>
  <c r="O41" i="5" s="1"/>
  <c r="M40" i="5"/>
  <c r="O40" i="5" s="1"/>
  <c r="M39" i="5"/>
  <c r="N39" i="5" s="1"/>
  <c r="M38" i="5"/>
  <c r="N38" i="5" s="1"/>
  <c r="M44" i="7"/>
  <c r="N44" i="7" s="1"/>
  <c r="M43" i="7"/>
  <c r="O43" i="7" s="1"/>
  <c r="M42" i="7"/>
  <c r="N42" i="7" s="1"/>
  <c r="M41" i="7"/>
  <c r="N41" i="7" s="1"/>
  <c r="M40" i="7"/>
  <c r="N40" i="7" s="1"/>
  <c r="M39" i="7"/>
  <c r="N39" i="7" s="1"/>
  <c r="M38" i="7"/>
  <c r="N38" i="7" s="1"/>
  <c r="H57" i="2"/>
  <c r="I57" i="2"/>
  <c r="J57" i="2"/>
  <c r="K57" i="2"/>
  <c r="L57" i="2"/>
  <c r="M57" i="2"/>
  <c r="O57" i="2" s="1"/>
  <c r="N57" i="2"/>
  <c r="P57" i="2"/>
  <c r="Q57" i="2"/>
  <c r="R57" i="2"/>
  <c r="S57" i="2"/>
  <c r="H56" i="2"/>
  <c r="I56" i="2"/>
  <c r="J56" i="2"/>
  <c r="K56" i="2"/>
  <c r="L56" i="2"/>
  <c r="M56" i="2"/>
  <c r="P56" i="2"/>
  <c r="Q56" i="2"/>
  <c r="R56" i="2"/>
  <c r="S56" i="2"/>
  <c r="H55" i="2"/>
  <c r="I55" i="2"/>
  <c r="J55" i="2"/>
  <c r="K55" i="2"/>
  <c r="L55" i="2"/>
  <c r="M55" i="2"/>
  <c r="P55" i="2"/>
  <c r="Q55" i="2"/>
  <c r="R55" i="2"/>
  <c r="S55" i="2"/>
  <c r="S44" i="20"/>
  <c r="J44" i="20"/>
  <c r="S43" i="20"/>
  <c r="J43" i="20"/>
  <c r="J42" i="20"/>
  <c r="S42" i="20"/>
  <c r="S41" i="20"/>
  <c r="J41" i="20"/>
  <c r="S40" i="20"/>
  <c r="J40" i="20"/>
  <c r="J39" i="20"/>
  <c r="S39" i="20"/>
  <c r="S38" i="20"/>
  <c r="J38" i="20"/>
  <c r="S44" i="19"/>
  <c r="J44" i="19"/>
  <c r="J43" i="19"/>
  <c r="S43" i="19"/>
  <c r="S42" i="19"/>
  <c r="J42" i="19"/>
  <c r="J41" i="19"/>
  <c r="S41" i="19"/>
  <c r="J40" i="19"/>
  <c r="S40" i="19"/>
  <c r="J39" i="19"/>
  <c r="S39" i="19"/>
  <c r="J38" i="19"/>
  <c r="S38" i="19"/>
  <c r="S44" i="18"/>
  <c r="J44" i="18"/>
  <c r="S43" i="18"/>
  <c r="J43" i="18"/>
  <c r="S42" i="18"/>
  <c r="J42" i="18"/>
  <c r="S41" i="18"/>
  <c r="J41" i="18"/>
  <c r="J40" i="18"/>
  <c r="S40" i="18"/>
  <c r="J39" i="18"/>
  <c r="S39" i="18"/>
  <c r="S38" i="18"/>
  <c r="J38" i="18"/>
  <c r="S44" i="17"/>
  <c r="J44" i="17"/>
  <c r="J43" i="17"/>
  <c r="S43" i="17"/>
  <c r="S42" i="17"/>
  <c r="J42" i="17"/>
  <c r="S41" i="17"/>
  <c r="J41" i="17"/>
  <c r="J40" i="17"/>
  <c r="S40" i="17"/>
  <c r="S39" i="17"/>
  <c r="J39" i="17"/>
  <c r="S38" i="17"/>
  <c r="J38" i="17"/>
  <c r="S44" i="13"/>
  <c r="J44" i="13"/>
  <c r="J43" i="13"/>
  <c r="S43" i="13"/>
  <c r="J42" i="13"/>
  <c r="S42" i="13"/>
  <c r="J41" i="13"/>
  <c r="S41" i="13"/>
  <c r="S40" i="13"/>
  <c r="J40" i="13"/>
  <c r="S39" i="13"/>
  <c r="J39" i="13"/>
  <c r="J38" i="13"/>
  <c r="S38" i="13"/>
  <c r="S44" i="12"/>
  <c r="J44" i="12"/>
  <c r="J43" i="12"/>
  <c r="S43" i="12"/>
  <c r="J42" i="12"/>
  <c r="S42" i="12"/>
  <c r="J40" i="12"/>
  <c r="S41" i="12"/>
  <c r="J41" i="12"/>
  <c r="S40" i="12"/>
  <c r="J39" i="12"/>
  <c r="S39" i="12"/>
  <c r="S38" i="12"/>
  <c r="J38" i="12"/>
  <c r="J44" i="11"/>
  <c r="S44" i="11"/>
  <c r="J43" i="11"/>
  <c r="S43" i="11"/>
  <c r="J42" i="11"/>
  <c r="S42" i="11"/>
  <c r="S41" i="11"/>
  <c r="J41" i="11"/>
  <c r="J40" i="11"/>
  <c r="S40" i="11"/>
  <c r="S39" i="11"/>
  <c r="J39" i="11"/>
  <c r="J38" i="11"/>
  <c r="S38" i="11"/>
  <c r="J44" i="10"/>
  <c r="S44" i="10"/>
  <c r="J43" i="10"/>
  <c r="S43" i="10"/>
  <c r="J42" i="10"/>
  <c r="S42" i="10"/>
  <c r="J41" i="10"/>
  <c r="S41" i="10"/>
  <c r="J40" i="10"/>
  <c r="S40" i="10"/>
  <c r="J39" i="10"/>
  <c r="S39" i="10"/>
  <c r="J38" i="10"/>
  <c r="S38" i="10"/>
  <c r="J44" i="5"/>
  <c r="S44" i="5"/>
  <c r="J43" i="5"/>
  <c r="S43" i="5"/>
  <c r="J42" i="5"/>
  <c r="S42" i="5"/>
  <c r="J41" i="5"/>
  <c r="S41" i="5"/>
  <c r="J40" i="5"/>
  <c r="S40" i="5"/>
  <c r="S39" i="5"/>
  <c r="J39" i="5"/>
  <c r="S38" i="5"/>
  <c r="J38" i="5"/>
  <c r="J44" i="7"/>
  <c r="S44" i="7"/>
  <c r="J43" i="7"/>
  <c r="S43" i="7"/>
  <c r="S42" i="7"/>
  <c r="J42" i="7"/>
  <c r="J41" i="7"/>
  <c r="S41" i="7"/>
  <c r="J40" i="7"/>
  <c r="S40" i="7"/>
  <c r="S39" i="7"/>
  <c r="J39" i="7"/>
  <c r="S38" i="7"/>
  <c r="J38" i="7"/>
  <c r="O44" i="20" l="1"/>
  <c r="O43" i="20"/>
  <c r="L44" i="20"/>
  <c r="K44" i="20"/>
  <c r="L43" i="20"/>
  <c r="K43" i="20"/>
  <c r="O41" i="20"/>
  <c r="N40" i="20"/>
  <c r="L42" i="20"/>
  <c r="K42" i="20"/>
  <c r="O42" i="20"/>
  <c r="L41" i="20"/>
  <c r="K41" i="20"/>
  <c r="O39" i="20"/>
  <c r="L40" i="20"/>
  <c r="K40" i="20"/>
  <c r="L39" i="20"/>
  <c r="K39" i="20"/>
  <c r="O38" i="20"/>
  <c r="L38" i="20"/>
  <c r="K38" i="20"/>
  <c r="O44" i="19"/>
  <c r="O43" i="19"/>
  <c r="L44" i="19"/>
  <c r="K44" i="19"/>
  <c r="O42" i="19"/>
  <c r="L43" i="19"/>
  <c r="K43" i="19"/>
  <c r="O41" i="19"/>
  <c r="L42" i="19"/>
  <c r="K42" i="19"/>
  <c r="O38" i="19"/>
  <c r="O40" i="19"/>
  <c r="L41" i="19"/>
  <c r="K41" i="19"/>
  <c r="L40" i="19"/>
  <c r="K40" i="19"/>
  <c r="L39" i="19"/>
  <c r="K39" i="19"/>
  <c r="O39" i="19"/>
  <c r="L38" i="19"/>
  <c r="K38" i="19"/>
  <c r="O44" i="18"/>
  <c r="O43" i="18"/>
  <c r="L44" i="18"/>
  <c r="K44" i="18"/>
  <c r="O42" i="18"/>
  <c r="L43" i="18"/>
  <c r="K43" i="18"/>
  <c r="L42" i="18"/>
  <c r="K42" i="18"/>
  <c r="O41" i="18"/>
  <c r="O40" i="18"/>
  <c r="O38" i="18"/>
  <c r="L41" i="18"/>
  <c r="K41" i="18"/>
  <c r="L40" i="18"/>
  <c r="K40" i="18"/>
  <c r="L39" i="18"/>
  <c r="K39" i="18"/>
  <c r="O39" i="18"/>
  <c r="L38" i="18"/>
  <c r="K38" i="18"/>
  <c r="O43" i="17"/>
  <c r="L44" i="17"/>
  <c r="K44" i="17"/>
  <c r="O42" i="17"/>
  <c r="L43" i="17"/>
  <c r="K43" i="17"/>
  <c r="O41" i="17"/>
  <c r="L42" i="17"/>
  <c r="K42" i="17"/>
  <c r="N40" i="17"/>
  <c r="L41" i="17"/>
  <c r="K41" i="17"/>
  <c r="O38" i="17"/>
  <c r="L40" i="17"/>
  <c r="K40" i="17"/>
  <c r="O39" i="17"/>
  <c r="L39" i="17"/>
  <c r="K39" i="17"/>
  <c r="L38" i="17"/>
  <c r="K38" i="17"/>
  <c r="O44" i="13"/>
  <c r="L44" i="13"/>
  <c r="K44" i="13"/>
  <c r="N40" i="13"/>
  <c r="L43" i="13"/>
  <c r="K43" i="13"/>
  <c r="O41" i="13"/>
  <c r="O43" i="13"/>
  <c r="L42" i="13"/>
  <c r="K42" i="13"/>
  <c r="O42" i="13"/>
  <c r="L41" i="13"/>
  <c r="K41" i="13"/>
  <c r="O39" i="13"/>
  <c r="L40" i="13"/>
  <c r="K40" i="13"/>
  <c r="O38" i="13"/>
  <c r="L39" i="13"/>
  <c r="K39" i="13"/>
  <c r="L38" i="13"/>
  <c r="K38" i="13"/>
  <c r="O44" i="12"/>
  <c r="O43" i="12"/>
  <c r="O41" i="12"/>
  <c r="L44" i="12"/>
  <c r="K44" i="12"/>
  <c r="L43" i="12"/>
  <c r="K43" i="12"/>
  <c r="O40" i="12"/>
  <c r="L42" i="12"/>
  <c r="K42" i="12"/>
  <c r="O42" i="12"/>
  <c r="N38" i="12"/>
  <c r="L41" i="12"/>
  <c r="K41" i="12"/>
  <c r="L40" i="12"/>
  <c r="K40" i="12"/>
  <c r="L39" i="12"/>
  <c r="K39" i="12"/>
  <c r="O39" i="12"/>
  <c r="L38" i="12"/>
  <c r="K38" i="12"/>
  <c r="O44" i="11"/>
  <c r="L44" i="11"/>
  <c r="K44" i="11"/>
  <c r="O42" i="11"/>
  <c r="O41" i="11"/>
  <c r="L43" i="11"/>
  <c r="K43" i="11"/>
  <c r="O43" i="11"/>
  <c r="N39" i="11"/>
  <c r="L42" i="11"/>
  <c r="K42" i="11"/>
  <c r="K41" i="11"/>
  <c r="L41" i="11"/>
  <c r="O40" i="11"/>
  <c r="L40" i="11"/>
  <c r="K40" i="11"/>
  <c r="K39" i="11"/>
  <c r="L39" i="11"/>
  <c r="O38" i="11"/>
  <c r="L38" i="11"/>
  <c r="K38" i="11"/>
  <c r="O44" i="10"/>
  <c r="O43" i="10"/>
  <c r="L44" i="10"/>
  <c r="K44" i="10"/>
  <c r="O42" i="10"/>
  <c r="N40" i="10"/>
  <c r="L43" i="10"/>
  <c r="K43" i="10"/>
  <c r="O41" i="10"/>
  <c r="L42" i="10"/>
  <c r="K42" i="10"/>
  <c r="L41" i="10"/>
  <c r="K41" i="10"/>
  <c r="O39" i="10"/>
  <c r="L40" i="10"/>
  <c r="K40" i="10"/>
  <c r="L39" i="10"/>
  <c r="K39" i="10"/>
  <c r="O38" i="10"/>
  <c r="L38" i="10"/>
  <c r="K38" i="10"/>
  <c r="O44" i="5"/>
  <c r="N42" i="5"/>
  <c r="L44" i="5"/>
  <c r="K44" i="5"/>
  <c r="O43" i="5"/>
  <c r="L43" i="5"/>
  <c r="K43" i="5"/>
  <c r="N40" i="5"/>
  <c r="O39" i="5"/>
  <c r="N41" i="5"/>
  <c r="L42" i="5"/>
  <c r="K42" i="5"/>
  <c r="L41" i="5"/>
  <c r="K41" i="5"/>
  <c r="L40" i="5"/>
  <c r="K40" i="5"/>
  <c r="O38" i="5"/>
  <c r="L39" i="5"/>
  <c r="K39" i="5"/>
  <c r="L38" i="5"/>
  <c r="K38" i="5"/>
  <c r="O44" i="7"/>
  <c r="N43" i="7"/>
  <c r="L44" i="7"/>
  <c r="K44" i="7"/>
  <c r="O42" i="7"/>
  <c r="O40" i="7"/>
  <c r="L43" i="7"/>
  <c r="K43" i="7"/>
  <c r="L42" i="7"/>
  <c r="K42" i="7"/>
  <c r="O41" i="7"/>
  <c r="L41" i="7"/>
  <c r="K41" i="7"/>
  <c r="L40" i="7"/>
  <c r="K40" i="7"/>
  <c r="O39" i="7"/>
  <c r="L39" i="7"/>
  <c r="K39" i="7"/>
  <c r="O38" i="7"/>
  <c r="L38" i="7"/>
  <c r="K38" i="7"/>
  <c r="O56" i="2"/>
  <c r="N56" i="2"/>
  <c r="O55" i="2"/>
  <c r="N55" i="2"/>
  <c r="AG10" i="16"/>
  <c r="AH9" i="16"/>
  <c r="G3" i="15"/>
  <c r="B15" i="4"/>
  <c r="C15" i="4"/>
  <c r="D15" i="4"/>
  <c r="E15" i="4"/>
  <c r="F15" i="4"/>
  <c r="G15" i="4"/>
  <c r="H15" i="4"/>
  <c r="I15" i="4"/>
  <c r="J15" i="4"/>
  <c r="K15" i="4"/>
  <c r="B13" i="4"/>
  <c r="C13" i="4"/>
  <c r="D13" i="4"/>
  <c r="E13" i="4"/>
  <c r="F13" i="4"/>
  <c r="G13" i="4"/>
  <c r="H13" i="4"/>
  <c r="I13" i="4"/>
  <c r="J13" i="4"/>
  <c r="K13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4" i="4"/>
  <c r="C14" i="4"/>
  <c r="D14" i="4"/>
  <c r="E14" i="4"/>
  <c r="F14" i="4"/>
  <c r="G14" i="4"/>
  <c r="H14" i="4"/>
  <c r="I14" i="4"/>
  <c r="J14" i="4"/>
  <c r="K14" i="4"/>
  <c r="B58" i="2"/>
  <c r="S33" i="10"/>
  <c r="S37" i="10"/>
  <c r="AH8" i="16" l="1"/>
  <c r="AH5" i="16"/>
  <c r="AH6" i="16"/>
  <c r="AH10" i="16"/>
  <c r="AH7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 s="1"/>
  <c r="H54" i="2"/>
  <c r="I54" i="2"/>
  <c r="J54" i="2"/>
  <c r="K54" i="2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J35" i="17"/>
  <c r="S33" i="20"/>
  <c r="S33" i="19"/>
  <c r="J37" i="12"/>
  <c r="S35" i="18"/>
  <c r="J36" i="20"/>
  <c r="J36" i="19"/>
  <c r="S36" i="10"/>
  <c r="J37" i="10"/>
  <c r="S37" i="17"/>
  <c r="J36" i="18"/>
  <c r="J36" i="12"/>
  <c r="J36" i="7"/>
  <c r="J37" i="19"/>
  <c r="S36" i="7"/>
  <c r="S37" i="18"/>
  <c r="S37" i="12"/>
  <c r="S37" i="19"/>
  <c r="S36" i="17"/>
  <c r="S34" i="20"/>
  <c r="J37" i="5"/>
  <c r="J34" i="18"/>
  <c r="J36" i="11"/>
  <c r="J34" i="17"/>
  <c r="J33" i="19"/>
  <c r="S37" i="11"/>
  <c r="S37" i="7"/>
  <c r="J37" i="17"/>
  <c r="S35" i="19"/>
  <c r="S35" i="17"/>
  <c r="J37" i="11"/>
  <c r="S37" i="13"/>
  <c r="S36" i="19"/>
  <c r="S36" i="11"/>
  <c r="J37" i="18"/>
  <c r="J35" i="20"/>
  <c r="J33" i="18"/>
  <c r="S36" i="13"/>
  <c r="J35" i="19"/>
  <c r="S37" i="20"/>
  <c r="J36" i="10"/>
  <c r="S36" i="12"/>
  <c r="J36" i="13"/>
  <c r="S36" i="5"/>
  <c r="S34" i="18"/>
  <c r="S33" i="17"/>
  <c r="J37" i="13"/>
  <c r="J33" i="17"/>
  <c r="S36" i="18"/>
  <c r="J36" i="17"/>
  <c r="S34" i="19"/>
  <c r="S33" i="18"/>
  <c r="J35" i="18"/>
  <c r="J33" i="20"/>
  <c r="J37" i="7"/>
  <c r="J37" i="20"/>
  <c r="J34" i="20"/>
  <c r="J34" i="19"/>
  <c r="S36" i="20"/>
  <c r="S35" i="20"/>
  <c r="J36" i="5"/>
  <c r="S37" i="5"/>
  <c r="S34" i="17"/>
  <c r="N54" i="2" l="1"/>
  <c r="O36" i="7"/>
  <c r="O54" i="2"/>
  <c r="O37" i="1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S33" i="11"/>
  <c r="J33" i="11"/>
  <c r="J35" i="12"/>
  <c r="S35" i="12"/>
  <c r="J33" i="13"/>
  <c r="J34" i="13"/>
  <c r="S35" i="13"/>
  <c r="J33" i="12"/>
  <c r="S34" i="11"/>
  <c r="J35" i="13"/>
  <c r="J34" i="11"/>
  <c r="J34" i="12"/>
  <c r="S34" i="13"/>
  <c r="S33" i="13"/>
  <c r="S34" i="12"/>
  <c r="S35" i="11"/>
  <c r="S33" i="12"/>
  <c r="J35" i="11"/>
  <c r="N35" i="13" l="1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S33" i="7"/>
  <c r="J33" i="7"/>
  <c r="S35" i="5"/>
  <c r="S34" i="5"/>
  <c r="J35" i="10"/>
  <c r="S35" i="7"/>
  <c r="S34" i="7"/>
  <c r="J33" i="5"/>
  <c r="J35" i="7"/>
  <c r="J33" i="10"/>
  <c r="S34" i="10"/>
  <c r="J34" i="7"/>
  <c r="J34" i="10"/>
  <c r="S35" i="10"/>
  <c r="J35" i="5"/>
  <c r="S33" i="5"/>
  <c r="J34" i="5"/>
  <c r="O35" i="5" l="1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N52" i="2" l="1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G24" i="15"/>
  <c r="H24" i="15"/>
  <c r="H26" i="15"/>
  <c r="F25" i="15"/>
  <c r="B29" i="15"/>
  <c r="G28" i="15"/>
  <c r="E23" i="15"/>
  <c r="H21" i="15"/>
  <c r="E22" i="15"/>
  <c r="F27" i="15"/>
  <c r="B21" i="15"/>
  <c r="C24" i="15"/>
  <c r="C21" i="15"/>
  <c r="F29" i="15"/>
  <c r="F21" i="15"/>
  <c r="C30" i="15"/>
  <c r="D22" i="15"/>
  <c r="E29" i="15"/>
  <c r="E30" i="15"/>
  <c r="E24" i="15"/>
  <c r="D27" i="15"/>
  <c r="C28" i="15"/>
  <c r="H29" i="15"/>
  <c r="B24" i="15"/>
  <c r="H28" i="15"/>
  <c r="D21" i="15"/>
  <c r="D24" i="15"/>
  <c r="E26" i="15"/>
  <c r="D23" i="15"/>
  <c r="E21" i="15"/>
  <c r="B25" i="15"/>
  <c r="H22" i="15"/>
  <c r="F28" i="15"/>
  <c r="G25" i="15"/>
  <c r="C23" i="15"/>
  <c r="D30" i="15"/>
  <c r="D25" i="15"/>
  <c r="C26" i="15"/>
  <c r="G30" i="15"/>
  <c r="F24" i="15"/>
  <c r="E25" i="15"/>
  <c r="C25" i="15"/>
  <c r="C27" i="15"/>
  <c r="B28" i="15"/>
  <c r="D28" i="15"/>
  <c r="F26" i="15"/>
  <c r="C22" i="15"/>
  <c r="B22" i="15"/>
  <c r="C29" i="15"/>
  <c r="F30" i="15"/>
  <c r="F23" i="15"/>
  <c r="G23" i="15"/>
  <c r="G29" i="15"/>
  <c r="B30" i="15"/>
  <c r="H30" i="15"/>
  <c r="E28" i="15"/>
  <c r="H23" i="15"/>
  <c r="E27" i="15"/>
  <c r="F22" i="15"/>
  <c r="G22" i="15"/>
  <c r="H25" i="15"/>
  <c r="D26" i="15"/>
  <c r="G21" i="15"/>
  <c r="H27" i="15"/>
  <c r="B26" i="15"/>
  <c r="G27" i="15"/>
  <c r="B27" i="15"/>
  <c r="G26" i="15"/>
  <c r="D29" i="15"/>
  <c r="B23" i="15"/>
  <c r="C11" i="16" l="1"/>
  <c r="C12" i="16"/>
  <c r="C13" i="16"/>
  <c r="C14" i="16"/>
  <c r="K5" i="4"/>
  <c r="K7" i="4"/>
  <c r="K8" i="4"/>
  <c r="K9" i="4"/>
  <c r="K10" i="4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Q44" i="20"/>
  <c r="Q43" i="20"/>
  <c r="Q44" i="19"/>
  <c r="Q43" i="19"/>
  <c r="Q44" i="17"/>
  <c r="Q43" i="17"/>
  <c r="Q42" i="17"/>
  <c r="Q41" i="17"/>
  <c r="Q40" i="17"/>
  <c r="Q39" i="17"/>
  <c r="Q38" i="17"/>
  <c r="P44" i="13"/>
  <c r="P43" i="13"/>
  <c r="P42" i="13"/>
  <c r="P44" i="12"/>
  <c r="P43" i="12"/>
  <c r="P42" i="12"/>
  <c r="P44" i="11"/>
  <c r="P43" i="11"/>
  <c r="P42" i="11"/>
  <c r="P44" i="5"/>
  <c r="P43" i="5"/>
  <c r="P42" i="5"/>
  <c r="P44" i="7"/>
  <c r="P43" i="7"/>
  <c r="P42" i="7"/>
  <c r="S31" i="5"/>
  <c r="J30" i="5"/>
  <c r="S32" i="10"/>
  <c r="S18" i="17"/>
  <c r="S28" i="17"/>
  <c r="J29" i="19"/>
  <c r="J21" i="17"/>
  <c r="J32" i="13"/>
  <c r="S28" i="20"/>
  <c r="J21" i="18"/>
  <c r="J29" i="11"/>
  <c r="S30" i="12"/>
  <c r="J32" i="20"/>
  <c r="Q29" i="17"/>
  <c r="S25" i="18"/>
  <c r="J20" i="18"/>
  <c r="J27" i="20"/>
  <c r="S23" i="18"/>
  <c r="J29" i="12"/>
  <c r="Q27" i="17"/>
  <c r="J23" i="20"/>
  <c r="S29" i="5"/>
  <c r="S20" i="19"/>
  <c r="J23" i="18"/>
  <c r="S20" i="18"/>
  <c r="S32" i="17"/>
  <c r="S31" i="18"/>
  <c r="J26" i="18"/>
  <c r="D11" i="16"/>
  <c r="S30" i="10"/>
  <c r="J19" i="17"/>
  <c r="S29" i="7"/>
  <c r="J26" i="20"/>
  <c r="J25" i="17"/>
  <c r="S29" i="20"/>
  <c r="J32" i="10"/>
  <c r="J20" i="20"/>
  <c r="S21" i="18"/>
  <c r="J31" i="10"/>
  <c r="J25" i="20"/>
  <c r="Q20" i="17"/>
  <c r="J27" i="19"/>
  <c r="S30" i="13"/>
  <c r="S27" i="17"/>
  <c r="Q31" i="17"/>
  <c r="Q30" i="17"/>
  <c r="S22" i="19"/>
  <c r="J32" i="12"/>
  <c r="Q35" i="17"/>
  <c r="J24" i="17"/>
  <c r="S30" i="11"/>
  <c r="S23" i="20"/>
  <c r="S32" i="19"/>
  <c r="S23" i="17"/>
  <c r="J25" i="19"/>
  <c r="J32" i="7"/>
  <c r="S31" i="13"/>
  <c r="S19" i="20"/>
  <c r="J28" i="19"/>
  <c r="J32" i="17"/>
  <c r="S28" i="18"/>
  <c r="D12" i="16"/>
  <c r="Q37" i="17"/>
  <c r="Q19" i="17"/>
  <c r="S31" i="12"/>
  <c r="J18" i="17"/>
  <c r="S30" i="5"/>
  <c r="J31" i="7"/>
  <c r="S30" i="18"/>
  <c r="S31" i="10"/>
  <c r="J21" i="19"/>
  <c r="S27" i="20"/>
  <c r="S22" i="20"/>
  <c r="Q21" i="17"/>
  <c r="J30" i="10"/>
  <c r="S31" i="11"/>
  <c r="Q28" i="17"/>
  <c r="S32" i="13"/>
  <c r="S25" i="19"/>
  <c r="J29" i="20"/>
  <c r="Q25" i="17"/>
  <c r="S25" i="17"/>
  <c r="J22" i="18"/>
  <c r="S24" i="20"/>
  <c r="S29" i="11"/>
  <c r="S22" i="17"/>
  <c r="Q22" i="17"/>
  <c r="J19" i="19"/>
  <c r="J27" i="17"/>
  <c r="S18" i="20"/>
  <c r="S32" i="7"/>
  <c r="S30" i="17"/>
  <c r="D13" i="16"/>
  <c r="J24" i="19"/>
  <c r="Q36" i="17"/>
  <c r="J30" i="19"/>
  <c r="J20" i="19"/>
  <c r="J29" i="5"/>
  <c r="J22" i="20"/>
  <c r="S23" i="19"/>
  <c r="J30" i="20"/>
  <c r="S27" i="19"/>
  <c r="S18" i="19"/>
  <c r="J29" i="18"/>
  <c r="J31" i="19"/>
  <c r="S26" i="18"/>
  <c r="J31" i="18"/>
  <c r="J20" i="17"/>
  <c r="S20" i="17"/>
  <c r="J24" i="20"/>
  <c r="J25" i="18"/>
  <c r="J19" i="20"/>
  <c r="S21" i="20"/>
  <c r="S30" i="20"/>
  <c r="S32" i="11"/>
  <c r="S31" i="19"/>
  <c r="S29" i="18"/>
  <c r="J29" i="13"/>
  <c r="S19" i="18"/>
  <c r="S24" i="19"/>
  <c r="J28" i="17"/>
  <c r="S19" i="19"/>
  <c r="S29" i="12"/>
  <c r="J18" i="18"/>
  <c r="J23" i="17"/>
  <c r="J30" i="17"/>
  <c r="S32" i="12"/>
  <c r="J31" i="20"/>
  <c r="Q34" i="17"/>
  <c r="J30" i="12"/>
  <c r="J31" i="12"/>
  <c r="S29" i="19"/>
  <c r="S20" i="20"/>
  <c r="J30" i="11"/>
  <c r="Q33" i="17"/>
  <c r="S32" i="5"/>
  <c r="J31" i="11"/>
  <c r="J18" i="19"/>
  <c r="S26" i="17"/>
  <c r="Q32" i="17"/>
  <c r="J30" i="13"/>
  <c r="J19" i="18"/>
  <c r="S31" i="7"/>
  <c r="J32" i="19"/>
  <c r="S22" i="18"/>
  <c r="S30" i="7"/>
  <c r="Q23" i="17"/>
  <c r="J32" i="5"/>
  <c r="S27" i="18"/>
  <c r="J30" i="18"/>
  <c r="S24" i="17"/>
  <c r="S31" i="20"/>
  <c r="S29" i="10"/>
  <c r="J31" i="5"/>
  <c r="J28" i="18"/>
  <c r="S29" i="17"/>
  <c r="J26" i="19"/>
  <c r="S31" i="17"/>
  <c r="S26" i="19"/>
  <c r="S32" i="20"/>
  <c r="J18" i="20"/>
  <c r="J22" i="19"/>
  <c r="J31" i="13"/>
  <c r="J23" i="19"/>
  <c r="J24" i="18"/>
  <c r="J28" i="20"/>
  <c r="Q24" i="17"/>
  <c r="J22" i="17"/>
  <c r="S28" i="19"/>
  <c r="J32" i="11"/>
  <c r="J29" i="7"/>
  <c r="D14" i="16"/>
  <c r="J29" i="10"/>
  <c r="S26" i="20"/>
  <c r="J21" i="20"/>
  <c r="Q26" i="17"/>
  <c r="S32" i="18"/>
  <c r="J27" i="18"/>
  <c r="S21" i="19"/>
  <c r="J31" i="17"/>
  <c r="J29" i="17"/>
  <c r="J26" i="17"/>
  <c r="S21" i="17"/>
  <c r="J30" i="7"/>
  <c r="S24" i="18"/>
  <c r="S19" i="17"/>
  <c r="S18" i="18"/>
  <c r="S30" i="19"/>
  <c r="S29" i="13"/>
  <c r="J32" i="18"/>
  <c r="S25" i="20"/>
  <c r="S45" i="20" l="1"/>
  <c r="S45" i="19"/>
  <c r="S45" i="18"/>
  <c r="S45" i="17"/>
  <c r="H32" i="17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U5" i="4" s="1"/>
  <c r="AK5" i="16"/>
  <c r="AK6" i="16"/>
  <c r="P44" i="20"/>
  <c r="P43" i="20"/>
  <c r="Q42" i="20"/>
  <c r="P42" i="20"/>
  <c r="P41" i="20"/>
  <c r="Q41" i="20"/>
  <c r="P40" i="20"/>
  <c r="Q40" i="20"/>
  <c r="P39" i="20"/>
  <c r="Q39" i="20"/>
  <c r="P38" i="20"/>
  <c r="Q38" i="20"/>
  <c r="P44" i="19"/>
  <c r="P43" i="19"/>
  <c r="P42" i="19"/>
  <c r="Q42" i="19"/>
  <c r="P41" i="19"/>
  <c r="Q41" i="19"/>
  <c r="P40" i="19"/>
  <c r="Q40" i="19"/>
  <c r="P39" i="19"/>
  <c r="Q39" i="19"/>
  <c r="Q38" i="19"/>
  <c r="P38" i="19"/>
  <c r="Q44" i="18"/>
  <c r="P44" i="18"/>
  <c r="P43" i="18"/>
  <c r="Q43" i="18"/>
  <c r="P42" i="18"/>
  <c r="Q42" i="18"/>
  <c r="Q41" i="18"/>
  <c r="P41" i="18"/>
  <c r="Q40" i="18"/>
  <c r="P40" i="18"/>
  <c r="Q39" i="18"/>
  <c r="P39" i="18"/>
  <c r="Q38" i="18"/>
  <c r="P38" i="18"/>
  <c r="P44" i="17"/>
  <c r="P43" i="17"/>
  <c r="P42" i="17"/>
  <c r="P41" i="17"/>
  <c r="P40" i="17"/>
  <c r="P39" i="17"/>
  <c r="P38" i="17"/>
  <c r="Q44" i="13"/>
  <c r="Q43" i="13"/>
  <c r="Q42" i="13"/>
  <c r="Q44" i="12"/>
  <c r="Q43" i="12"/>
  <c r="Q42" i="12"/>
  <c r="Q44" i="11"/>
  <c r="Q43" i="11"/>
  <c r="Q42" i="11"/>
  <c r="P44" i="10"/>
  <c r="Q44" i="10"/>
  <c r="Q43" i="10"/>
  <c r="P43" i="10"/>
  <c r="Q42" i="10"/>
  <c r="P42" i="10"/>
  <c r="Q44" i="5"/>
  <c r="Q43" i="5"/>
  <c r="Q42" i="5"/>
  <c r="Q44" i="7"/>
  <c r="Q43" i="7"/>
  <c r="Q42" i="7"/>
  <c r="Q35" i="18"/>
  <c r="Q31" i="19"/>
  <c r="P23" i="20"/>
  <c r="P32" i="18"/>
  <c r="Q23" i="19"/>
  <c r="P24" i="18"/>
  <c r="Q30" i="18"/>
  <c r="P32" i="17"/>
  <c r="P26" i="18"/>
  <c r="Q30" i="20"/>
  <c r="Q25" i="18"/>
  <c r="P20" i="20"/>
  <c r="Q35" i="19"/>
  <c r="Q30" i="19"/>
  <c r="P36" i="18"/>
  <c r="Q33" i="18"/>
  <c r="P36" i="19"/>
  <c r="Q27" i="20"/>
  <c r="P37" i="18"/>
  <c r="P28" i="19"/>
  <c r="Q20" i="19"/>
  <c r="P29" i="20"/>
  <c r="P35" i="20"/>
  <c r="P26" i="17"/>
  <c r="P22" i="17"/>
  <c r="Q31" i="20"/>
  <c r="P28" i="20"/>
  <c r="Q28" i="20"/>
  <c r="P34" i="18"/>
  <c r="Q22" i="19"/>
  <c r="P22" i="18"/>
  <c r="Q26" i="18"/>
  <c r="Q37" i="18"/>
  <c r="P29" i="17"/>
  <c r="Q19" i="19"/>
  <c r="P20" i="19"/>
  <c r="Q26" i="19"/>
  <c r="P21" i="18"/>
  <c r="Q29" i="19"/>
  <c r="P34" i="17"/>
  <c r="Q26" i="20"/>
  <c r="Q25" i="19"/>
  <c r="P27" i="18"/>
  <c r="P37" i="20"/>
  <c r="Q36" i="20"/>
  <c r="P35" i="17"/>
  <c r="Q32" i="20"/>
  <c r="Q34" i="20"/>
  <c r="P23" i="19"/>
  <c r="P32" i="19"/>
  <c r="P19" i="17"/>
  <c r="Q21" i="20"/>
  <c r="P26" i="20"/>
  <c r="Q28" i="18"/>
  <c r="Q22" i="20"/>
  <c r="P37" i="17"/>
  <c r="P37" i="19"/>
  <c r="Q35" i="20"/>
  <c r="Q31" i="18"/>
  <c r="P29" i="19"/>
  <c r="Q19" i="20"/>
  <c r="Q34" i="19"/>
  <c r="P21" i="17"/>
  <c r="P19" i="20"/>
  <c r="P25" i="19"/>
  <c r="Q29" i="18"/>
  <c r="P27" i="20"/>
  <c r="Q21" i="19"/>
  <c r="Q23" i="20"/>
  <c r="P21" i="20"/>
  <c r="P34" i="20"/>
  <c r="P21" i="19"/>
  <c r="Q20" i="18"/>
  <c r="P36" i="17"/>
  <c r="P30" i="17"/>
  <c r="P20" i="18"/>
  <c r="Q37" i="19"/>
  <c r="P33" i="18"/>
  <c r="P25" i="20"/>
  <c r="P30" i="19"/>
  <c r="P19" i="18"/>
  <c r="Q37" i="20"/>
  <c r="Q27" i="19"/>
  <c r="Q27" i="18"/>
  <c r="P36" i="20"/>
  <c r="P30" i="20"/>
  <c r="Q24" i="19"/>
  <c r="P31" i="20"/>
  <c r="P22" i="20"/>
  <c r="P30" i="18"/>
  <c r="Q20" i="20"/>
  <c r="P31" i="18"/>
  <c r="Q25" i="20"/>
  <c r="Q23" i="18"/>
  <c r="Q36" i="18"/>
  <c r="P29" i="18"/>
  <c r="P19" i="19"/>
  <c r="Q29" i="20"/>
  <c r="Q19" i="18"/>
  <c r="Q33" i="19"/>
  <c r="P28" i="18"/>
  <c r="P23" i="17"/>
  <c r="P27" i="17"/>
  <c r="P25" i="17"/>
  <c r="P35" i="18"/>
  <c r="P23" i="18"/>
  <c r="P35" i="19"/>
  <c r="Q22" i="18"/>
  <c r="Q33" i="20"/>
  <c r="Q24" i="20"/>
  <c r="P24" i="17"/>
  <c r="P27" i="19"/>
  <c r="Q21" i="18"/>
  <c r="P33" i="17"/>
  <c r="Q36" i="19"/>
  <c r="P24" i="20"/>
  <c r="P33" i="20"/>
  <c r="Q32" i="18"/>
  <c r="P26" i="19"/>
  <c r="P24" i="19"/>
  <c r="Q32" i="19"/>
  <c r="P32" i="20"/>
  <c r="P28" i="17"/>
  <c r="P31" i="19"/>
  <c r="Q24" i="18"/>
  <c r="Q34" i="18"/>
  <c r="P20" i="17"/>
  <c r="Q28" i="19"/>
  <c r="P34" i="19"/>
  <c r="P22" i="19"/>
  <c r="P31" i="17"/>
  <c r="P33" i="19"/>
  <c r="P25" i="18"/>
  <c r="R44" i="20" l="1"/>
  <c r="I44" i="20" s="1"/>
  <c r="R43" i="20"/>
  <c r="I43" i="20" s="1"/>
  <c r="R42" i="20"/>
  <c r="I42" i="20" s="1"/>
  <c r="R41" i="20"/>
  <c r="I41" i="20" s="1"/>
  <c r="R40" i="20"/>
  <c r="I40" i="20" s="1"/>
  <c r="R39" i="20"/>
  <c r="I39" i="20" s="1"/>
  <c r="R38" i="20"/>
  <c r="I38" i="20" s="1"/>
  <c r="R44" i="19"/>
  <c r="I44" i="19" s="1"/>
  <c r="R43" i="19"/>
  <c r="I43" i="19" s="1"/>
  <c r="R42" i="19"/>
  <c r="I42" i="19" s="1"/>
  <c r="R41" i="19"/>
  <c r="I41" i="19" s="1"/>
  <c r="R40" i="19"/>
  <c r="I40" i="19" s="1"/>
  <c r="R39" i="19"/>
  <c r="I39" i="19" s="1"/>
  <c r="R38" i="19"/>
  <c r="I38" i="19" s="1"/>
  <c r="R44" i="18"/>
  <c r="I44" i="18" s="1"/>
  <c r="R43" i="18"/>
  <c r="I43" i="18" s="1"/>
  <c r="R42" i="18"/>
  <c r="I42" i="18" s="1"/>
  <c r="R41" i="18"/>
  <c r="I41" i="18" s="1"/>
  <c r="R40" i="18"/>
  <c r="I40" i="18" s="1"/>
  <c r="R39" i="18"/>
  <c r="I39" i="18" s="1"/>
  <c r="R38" i="18"/>
  <c r="I38" i="18" s="1"/>
  <c r="R44" i="17"/>
  <c r="I44" i="17" s="1"/>
  <c r="R43" i="17"/>
  <c r="I43" i="17" s="1"/>
  <c r="R42" i="17"/>
  <c r="I42" i="17" s="1"/>
  <c r="R41" i="17"/>
  <c r="I41" i="17" s="1"/>
  <c r="R40" i="17"/>
  <c r="I40" i="17" s="1"/>
  <c r="R39" i="17"/>
  <c r="I39" i="17" s="1"/>
  <c r="R38" i="17"/>
  <c r="I38" i="17" s="1"/>
  <c r="R44" i="13"/>
  <c r="I44" i="13" s="1"/>
  <c r="R43" i="13"/>
  <c r="I43" i="13" s="1"/>
  <c r="R42" i="13"/>
  <c r="I42" i="13" s="1"/>
  <c r="R44" i="12"/>
  <c r="I44" i="12" s="1"/>
  <c r="R43" i="12"/>
  <c r="I43" i="12" s="1"/>
  <c r="R42" i="12"/>
  <c r="I42" i="12" s="1"/>
  <c r="R44" i="11"/>
  <c r="I44" i="11" s="1"/>
  <c r="R43" i="11"/>
  <c r="I43" i="11" s="1"/>
  <c r="R42" i="11"/>
  <c r="I42" i="11" s="1"/>
  <c r="R44" i="10"/>
  <c r="I44" i="10" s="1"/>
  <c r="R43" i="10"/>
  <c r="I43" i="10" s="1"/>
  <c r="R42" i="10"/>
  <c r="I42" i="10" s="1"/>
  <c r="R44" i="5"/>
  <c r="I44" i="5" s="1"/>
  <c r="R43" i="5"/>
  <c r="I43" i="5" s="1"/>
  <c r="R42" i="5"/>
  <c r="I42" i="5" s="1"/>
  <c r="R44" i="7"/>
  <c r="I44" i="7" s="1"/>
  <c r="R43" i="7"/>
  <c r="I43" i="7" s="1"/>
  <c r="R42" i="7"/>
  <c r="I42" i="7" s="1"/>
  <c r="R5" i="4"/>
  <c r="R37" i="17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T5" i="4"/>
  <c r="S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T10" i="16"/>
  <c r="Z16" i="16"/>
  <c r="V9" i="16"/>
  <c r="U8" i="16"/>
  <c r="U10" i="16"/>
  <c r="V17" i="16"/>
  <c r="U14" i="16"/>
  <c r="U9" i="16"/>
  <c r="U7" i="16"/>
  <c r="U5" i="16"/>
  <c r="U17" i="16"/>
  <c r="V7" i="16"/>
  <c r="AA15" i="16"/>
  <c r="AA17" i="16"/>
  <c r="Y16" i="16"/>
  <c r="Y18" i="16"/>
  <c r="U11" i="16"/>
  <c r="V8" i="16"/>
  <c r="V6" i="16"/>
  <c r="U15" i="16"/>
  <c r="T13" i="16"/>
  <c r="V12" i="16"/>
  <c r="V16" i="16"/>
  <c r="Y17" i="16"/>
  <c r="T6" i="16"/>
  <c r="T14" i="16"/>
  <c r="T12" i="16"/>
  <c r="T18" i="16"/>
  <c r="U12" i="16"/>
  <c r="T5" i="16"/>
  <c r="U16" i="16"/>
  <c r="V13" i="16"/>
  <c r="AB14" i="16" l="1"/>
  <c r="AB12" i="16"/>
  <c r="AB13" i="16"/>
  <c r="AB18" i="16"/>
  <c r="AB5" i="16"/>
  <c r="AB10" i="16"/>
  <c r="AB6" i="16"/>
  <c r="K7" i="16"/>
  <c r="K8" i="16" s="1"/>
  <c r="K9" i="16" s="1"/>
  <c r="K10" i="16" s="1"/>
  <c r="K6" i="16"/>
  <c r="L5" i="16"/>
  <c r="L6" i="16" s="1"/>
  <c r="L7" i="16" s="1"/>
  <c r="L8" i="16" s="1"/>
  <c r="L9" i="16" s="1"/>
  <c r="L10" i="16" s="1"/>
  <c r="C6" i="16"/>
  <c r="C7" i="16"/>
  <c r="C8" i="16"/>
  <c r="C9" i="16"/>
  <c r="C10" i="16"/>
  <c r="C5" i="16"/>
  <c r="T15" i="16"/>
  <c r="AA16" i="16"/>
  <c r="T9" i="16"/>
  <c r="Y15" i="16"/>
  <c r="V11" i="16"/>
  <c r="Z17" i="16"/>
  <c r="D7" i="16"/>
  <c r="Z18" i="16"/>
  <c r="U18" i="16"/>
  <c r="U13" i="16"/>
  <c r="T7" i="16"/>
  <c r="Z15" i="16"/>
  <c r="AA18" i="16"/>
  <c r="T17" i="16"/>
  <c r="V10" i="16"/>
  <c r="D5" i="16"/>
  <c r="D9" i="16"/>
  <c r="V15" i="16"/>
  <c r="D10" i="16"/>
  <c r="T8" i="16"/>
  <c r="T11" i="16"/>
  <c r="D6" i="16"/>
  <c r="U6" i="16"/>
  <c r="V18" i="16"/>
  <c r="D8" i="16"/>
  <c r="V14" i="16"/>
  <c r="T16" i="16"/>
  <c r="V5" i="16"/>
  <c r="AB16" i="16" l="1"/>
  <c r="AB15" i="16"/>
  <c r="AB17" i="16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Q41" i="13"/>
  <c r="Q40" i="13"/>
  <c r="Q40" i="12"/>
  <c r="Q41" i="12"/>
  <c r="Q41" i="11"/>
  <c r="Q40" i="11"/>
  <c r="J23" i="12"/>
  <c r="S25" i="12"/>
  <c r="J23" i="11"/>
  <c r="S23" i="11"/>
  <c r="S26" i="12"/>
  <c r="S18" i="12"/>
  <c r="S18" i="13"/>
  <c r="S19" i="13"/>
  <c r="S20" i="13"/>
  <c r="S27" i="13"/>
  <c r="J22" i="11"/>
  <c r="J20" i="11"/>
  <c r="J27" i="13"/>
  <c r="J20" i="12"/>
  <c r="S19" i="11"/>
  <c r="J18" i="13"/>
  <c r="J26" i="13"/>
  <c r="J20" i="13"/>
  <c r="S27" i="12"/>
  <c r="S26" i="13"/>
  <c r="S18" i="11"/>
  <c r="S25" i="13"/>
  <c r="S22" i="12"/>
  <c r="J18" i="11"/>
  <c r="S19" i="12"/>
  <c r="S24" i="13"/>
  <c r="J26" i="11"/>
  <c r="S27" i="11"/>
  <c r="J22" i="13"/>
  <c r="J23" i="13"/>
  <c r="S28" i="12"/>
  <c r="S22" i="13"/>
  <c r="S21" i="13"/>
  <c r="S25" i="11"/>
  <c r="J27" i="11"/>
  <c r="S20" i="11"/>
  <c r="J27" i="12"/>
  <c r="S28" i="11"/>
  <c r="J24" i="11"/>
  <c r="S22" i="11"/>
  <c r="J18" i="12"/>
  <c r="J28" i="13"/>
  <c r="J28" i="11"/>
  <c r="J19" i="13"/>
  <c r="J25" i="11"/>
  <c r="J26" i="12"/>
  <c r="S28" i="13"/>
  <c r="S20" i="12"/>
  <c r="J24" i="12"/>
  <c r="J22" i="12"/>
  <c r="J24" i="13"/>
  <c r="S21" i="12"/>
  <c r="J21" i="12"/>
  <c r="S23" i="13"/>
  <c r="J21" i="13"/>
  <c r="J19" i="12"/>
  <c r="J21" i="11"/>
  <c r="S24" i="11"/>
  <c r="J28" i="12"/>
  <c r="S21" i="11"/>
  <c r="J19" i="11"/>
  <c r="S24" i="12"/>
  <c r="J25" i="13"/>
  <c r="S23" i="12"/>
  <c r="S26" i="11"/>
  <c r="J25" i="12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45" i="13"/>
  <c r="S45" i="12"/>
  <c r="S45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P41" i="13"/>
  <c r="P40" i="13"/>
  <c r="Q39" i="13"/>
  <c r="P39" i="13"/>
  <c r="P38" i="13"/>
  <c r="Q38" i="13"/>
  <c r="P41" i="12"/>
  <c r="P40" i="12"/>
  <c r="Q39" i="12"/>
  <c r="P39" i="12"/>
  <c r="P38" i="12"/>
  <c r="Q38" i="12"/>
  <c r="P41" i="11"/>
  <c r="P40" i="11"/>
  <c r="Q39" i="11"/>
  <c r="P39" i="11"/>
  <c r="P38" i="11"/>
  <c r="Q38" i="11"/>
  <c r="Q41" i="5"/>
  <c r="Q40" i="5"/>
  <c r="Q39" i="5"/>
  <c r="Q38" i="5"/>
  <c r="P41" i="7"/>
  <c r="P40" i="7"/>
  <c r="P39" i="7"/>
  <c r="P38" i="7"/>
  <c r="P36" i="13"/>
  <c r="AA12" i="16"/>
  <c r="P32" i="12"/>
  <c r="P22" i="11"/>
  <c r="P23" i="12"/>
  <c r="Q25" i="11"/>
  <c r="S27" i="7"/>
  <c r="Q30" i="11"/>
  <c r="S26" i="10"/>
  <c r="J21" i="7"/>
  <c r="P34" i="11"/>
  <c r="Q23" i="13"/>
  <c r="P31" i="12"/>
  <c r="S26" i="5"/>
  <c r="S28" i="10"/>
  <c r="Q35" i="13"/>
  <c r="J24" i="10"/>
  <c r="P23" i="7"/>
  <c r="Q36" i="11"/>
  <c r="Q31" i="11"/>
  <c r="J27" i="5"/>
  <c r="J18" i="5"/>
  <c r="J21" i="10"/>
  <c r="Q31" i="12"/>
  <c r="Q31" i="13"/>
  <c r="J22" i="5"/>
  <c r="AA13" i="16"/>
  <c r="P33" i="12"/>
  <c r="P31" i="11"/>
  <c r="Z13" i="16"/>
  <c r="P26" i="13"/>
  <c r="S23" i="7"/>
  <c r="P26" i="11"/>
  <c r="Q19" i="12"/>
  <c r="Q33" i="13"/>
  <c r="Q26" i="13"/>
  <c r="S18" i="10"/>
  <c r="J20" i="5"/>
  <c r="P37" i="13"/>
  <c r="S25" i="7"/>
  <c r="Q33" i="11"/>
  <c r="P28" i="11"/>
  <c r="Q34" i="12"/>
  <c r="S22" i="7"/>
  <c r="J18" i="10"/>
  <c r="P25" i="12"/>
  <c r="P34" i="13"/>
  <c r="S24" i="5"/>
  <c r="S21" i="5"/>
  <c r="J20" i="7"/>
  <c r="P37" i="11"/>
  <c r="Q25" i="12"/>
  <c r="S26" i="7"/>
  <c r="Q36" i="13"/>
  <c r="J26" i="10"/>
  <c r="P35" i="11"/>
  <c r="Q21" i="11"/>
  <c r="J25" i="10"/>
  <c r="Q25" i="13"/>
  <c r="J27" i="7"/>
  <c r="J26" i="5"/>
  <c r="S21" i="10"/>
  <c r="J19" i="7"/>
  <c r="Q28" i="13"/>
  <c r="Q34" i="13"/>
  <c r="P20" i="11"/>
  <c r="S25" i="10"/>
  <c r="Q27" i="11"/>
  <c r="J28" i="10"/>
  <c r="Q22" i="12"/>
  <c r="P30" i="13"/>
  <c r="Q32" i="13"/>
  <c r="S20" i="5"/>
  <c r="Q23" i="11"/>
  <c r="S22" i="10"/>
  <c r="P25" i="11"/>
  <c r="Q32" i="12"/>
  <c r="P19" i="12"/>
  <c r="P19" i="13"/>
  <c r="Y12" i="16"/>
  <c r="Q26" i="11"/>
  <c r="Q29" i="12"/>
  <c r="J19" i="5"/>
  <c r="Q20" i="13"/>
  <c r="AA11" i="16"/>
  <c r="Q22" i="13"/>
  <c r="P29" i="12"/>
  <c r="J24" i="7"/>
  <c r="Q22" i="11"/>
  <c r="P23" i="13"/>
  <c r="J20" i="10"/>
  <c r="Q35" i="12"/>
  <c r="J28" i="5"/>
  <c r="P28" i="12"/>
  <c r="Q37" i="12"/>
  <c r="P21" i="13"/>
  <c r="Q20" i="11"/>
  <c r="S23" i="10"/>
  <c r="S24" i="10"/>
  <c r="P36" i="12"/>
  <c r="P34" i="12"/>
  <c r="S28" i="7"/>
  <c r="Q26" i="12"/>
  <c r="Q34" i="11"/>
  <c r="P22" i="12"/>
  <c r="S23" i="5"/>
  <c r="P21" i="12"/>
  <c r="P31" i="13"/>
  <c r="P29" i="11"/>
  <c r="Q36" i="12"/>
  <c r="P33" i="13"/>
  <c r="J26" i="7"/>
  <c r="S27" i="5"/>
  <c r="P24" i="11"/>
  <c r="Q28" i="12"/>
  <c r="J24" i="5"/>
  <c r="S20" i="10"/>
  <c r="P20" i="12"/>
  <c r="Z14" i="16"/>
  <c r="P28" i="13"/>
  <c r="J22" i="7"/>
  <c r="AA14" i="16"/>
  <c r="Q28" i="11"/>
  <c r="Q29" i="11"/>
  <c r="P27" i="11"/>
  <c r="Q19" i="11"/>
  <c r="J23" i="7"/>
  <c r="J18" i="7"/>
  <c r="Q23" i="12"/>
  <c r="J25" i="5"/>
  <c r="S22" i="5"/>
  <c r="S27" i="10"/>
  <c r="Q35" i="11"/>
  <c r="Z12" i="16"/>
  <c r="S21" i="7"/>
  <c r="P24" i="12"/>
  <c r="P22" i="7"/>
  <c r="P32" i="13"/>
  <c r="S19" i="7"/>
  <c r="J25" i="7"/>
  <c r="Q30" i="13"/>
  <c r="P20" i="13"/>
  <c r="Q24" i="12"/>
  <c r="S19" i="5"/>
  <c r="Y14" i="16"/>
  <c r="P37" i="12"/>
  <c r="S20" i="7"/>
  <c r="S19" i="10"/>
  <c r="P23" i="11"/>
  <c r="P30" i="11"/>
  <c r="P26" i="12"/>
  <c r="J28" i="7"/>
  <c r="S28" i="5"/>
  <c r="Q24" i="11"/>
  <c r="Q21" i="13"/>
  <c r="Q19" i="13"/>
  <c r="P33" i="11"/>
  <c r="J22" i="10"/>
  <c r="Q27" i="13"/>
  <c r="S18" i="7"/>
  <c r="Q32" i="11"/>
  <c r="P25" i="13"/>
  <c r="Q27" i="12"/>
  <c r="Z11" i="16"/>
  <c r="J21" i="5"/>
  <c r="P27" i="13"/>
  <c r="P22" i="13"/>
  <c r="Q33" i="12"/>
  <c r="Q29" i="13"/>
  <c r="S18" i="5"/>
  <c r="Q21" i="12"/>
  <c r="P29" i="13"/>
  <c r="Y11" i="16"/>
  <c r="Q37" i="13"/>
  <c r="J23" i="10"/>
  <c r="P27" i="12"/>
  <c r="S25" i="5"/>
  <c r="Q20" i="12"/>
  <c r="P30" i="12"/>
  <c r="Q37" i="11"/>
  <c r="P32" i="11"/>
  <c r="P35" i="12"/>
  <c r="J23" i="5"/>
  <c r="P36" i="11"/>
  <c r="Y13" i="16"/>
  <c r="P24" i="13"/>
  <c r="P19" i="11"/>
  <c r="Q30" i="12"/>
  <c r="P35" i="13"/>
  <c r="Q24" i="13"/>
  <c r="P21" i="11"/>
  <c r="J27" i="10"/>
  <c r="J19" i="10"/>
  <c r="S24" i="7"/>
  <c r="R41" i="13" l="1"/>
  <c r="I41" i="13" s="1"/>
  <c r="R40" i="13"/>
  <c r="I40" i="13" s="1"/>
  <c r="R39" i="13"/>
  <c r="I39" i="13" s="1"/>
  <c r="R38" i="13"/>
  <c r="I38" i="13" s="1"/>
  <c r="R40" i="12"/>
  <c r="I40" i="12" s="1"/>
  <c r="R41" i="12"/>
  <c r="I41" i="12" s="1"/>
  <c r="R39" i="12"/>
  <c r="I39" i="12" s="1"/>
  <c r="R38" i="12"/>
  <c r="I38" i="12" s="1"/>
  <c r="R41" i="11"/>
  <c r="I41" i="11" s="1"/>
  <c r="R40" i="11"/>
  <c r="I40" i="11" s="1"/>
  <c r="R39" i="11"/>
  <c r="I39" i="11" s="1"/>
  <c r="R38" i="11"/>
  <c r="I38" i="11" s="1"/>
  <c r="H43" i="7"/>
  <c r="H44" i="7" s="1"/>
  <c r="R37" i="11"/>
  <c r="I37" i="11" s="1"/>
  <c r="R37" i="12"/>
  <c r="I37" i="12" s="1"/>
  <c r="R37" i="13"/>
  <c r="I37" i="13" s="1"/>
  <c r="R36" i="12"/>
  <c r="I36" i="12" s="1"/>
  <c r="R36" i="11"/>
  <c r="I36" i="11" s="1"/>
  <c r="R36" i="13"/>
  <c r="I36" i="13" s="1"/>
  <c r="R35" i="13"/>
  <c r="I35" i="13" s="1"/>
  <c r="R34" i="13"/>
  <c r="I34" i="13" s="1"/>
  <c r="R33" i="13"/>
  <c r="I33" i="13" s="1"/>
  <c r="R35" i="12"/>
  <c r="I35" i="12" s="1"/>
  <c r="R34" i="12"/>
  <c r="I34" i="12" s="1"/>
  <c r="R33" i="12"/>
  <c r="I33" i="12" s="1"/>
  <c r="R35" i="11"/>
  <c r="I35" i="11" s="1"/>
  <c r="R34" i="11"/>
  <c r="I34" i="11" s="1"/>
  <c r="R33" i="11"/>
  <c r="I33" i="11" s="1"/>
  <c r="H27" i="12"/>
  <c r="L26" i="10"/>
  <c r="L23" i="10"/>
  <c r="L28" i="10"/>
  <c r="L20" i="10"/>
  <c r="L18" i="10"/>
  <c r="L21" i="10"/>
  <c r="L19" i="10"/>
  <c r="L24" i="10"/>
  <c r="L27" i="10"/>
  <c r="L25" i="10"/>
  <c r="L22" i="10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L19" i="5"/>
  <c r="L27" i="5"/>
  <c r="L21" i="5"/>
  <c r="L23" i="5"/>
  <c r="L20" i="5"/>
  <c r="L22" i="5"/>
  <c r="L28" i="5"/>
  <c r="L24" i="5"/>
  <c r="L26" i="5"/>
  <c r="L25" i="5"/>
  <c r="L18" i="5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26" i="10"/>
  <c r="K23" i="10"/>
  <c r="K28" i="10"/>
  <c r="K20" i="10"/>
  <c r="K18" i="10"/>
  <c r="K21" i="10"/>
  <c r="K19" i="10"/>
  <c r="K24" i="10"/>
  <c r="K27" i="10"/>
  <c r="K25" i="10"/>
  <c r="K22" i="10"/>
  <c r="K27" i="5"/>
  <c r="K21" i="5"/>
  <c r="K23" i="5"/>
  <c r="K20" i="5"/>
  <c r="K22" i="5"/>
  <c r="K28" i="5"/>
  <c r="K19" i="5"/>
  <c r="K24" i="5"/>
  <c r="K26" i="5"/>
  <c r="K25" i="5"/>
  <c r="K18" i="5"/>
  <c r="L21" i="7"/>
  <c r="L26" i="7"/>
  <c r="L18" i="7"/>
  <c r="L28" i="7"/>
  <c r="L27" i="7"/>
  <c r="L20" i="7"/>
  <c r="L22" i="7"/>
  <c r="L24" i="7"/>
  <c r="L23" i="7"/>
  <c r="L19" i="7"/>
  <c r="L25" i="7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K21" i="7"/>
  <c r="K26" i="7"/>
  <c r="K18" i="7"/>
  <c r="K28" i="7"/>
  <c r="K27" i="7"/>
  <c r="K20" i="7"/>
  <c r="K22" i="7"/>
  <c r="K24" i="7"/>
  <c r="K23" i="7"/>
  <c r="K19" i="7"/>
  <c r="K25" i="7"/>
  <c r="R29" i="13"/>
  <c r="I29" i="13" s="1"/>
  <c r="R30" i="13"/>
  <c r="I30" i="13" s="1"/>
  <c r="R31" i="13"/>
  <c r="I31" i="13" s="1"/>
  <c r="R32" i="13"/>
  <c r="I32" i="13" s="1"/>
  <c r="R29" i="12"/>
  <c r="I29" i="12" s="1"/>
  <c r="R30" i="12"/>
  <c r="I30" i="12" s="1"/>
  <c r="R31" i="12"/>
  <c r="I31" i="12" s="1"/>
  <c r="R32" i="12"/>
  <c r="I32" i="12" s="1"/>
  <c r="R29" i="11"/>
  <c r="I29" i="11" s="1"/>
  <c r="R30" i="11"/>
  <c r="I30" i="11" s="1"/>
  <c r="R31" i="11"/>
  <c r="I31" i="11" s="1"/>
  <c r="R32" i="11"/>
  <c r="I32" i="11" s="1"/>
  <c r="S45" i="10"/>
  <c r="S45" i="5"/>
  <c r="S45" i="7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3" i="12"/>
  <c r="I23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P41" i="10"/>
  <c r="Q41" i="10"/>
  <c r="Q40" i="10"/>
  <c r="P40" i="10"/>
  <c r="Q39" i="10"/>
  <c r="P39" i="10"/>
  <c r="Q38" i="10"/>
  <c r="P38" i="10"/>
  <c r="P41" i="5"/>
  <c r="P40" i="5"/>
  <c r="P39" i="5"/>
  <c r="P38" i="5"/>
  <c r="Q41" i="7"/>
  <c r="Q40" i="7"/>
  <c r="Q39" i="7"/>
  <c r="Q38" i="7"/>
  <c r="Y8" i="16"/>
  <c r="Q23" i="5"/>
  <c r="P31" i="10"/>
  <c r="P35" i="7"/>
  <c r="Y6" i="16"/>
  <c r="P35" i="5"/>
  <c r="Q25" i="7"/>
  <c r="P31" i="5"/>
  <c r="Q19" i="5"/>
  <c r="Z6" i="16"/>
  <c r="Z9" i="16"/>
  <c r="Y5" i="16"/>
  <c r="P31" i="7"/>
  <c r="Q33" i="5"/>
  <c r="P32" i="7"/>
  <c r="P25" i="5"/>
  <c r="P33" i="7"/>
  <c r="P34" i="5"/>
  <c r="Q22" i="7"/>
  <c r="P20" i="10"/>
  <c r="Q20" i="7"/>
  <c r="Q35" i="7"/>
  <c r="P37" i="5"/>
  <c r="Q30" i="10"/>
  <c r="Q20" i="10"/>
  <c r="Q26" i="7"/>
  <c r="Q30" i="7"/>
  <c r="Z7" i="16"/>
  <c r="Q23" i="10"/>
  <c r="Q25" i="10"/>
  <c r="Q31" i="7"/>
  <c r="P36" i="5"/>
  <c r="Q37" i="5"/>
  <c r="Q33" i="10"/>
  <c r="P25" i="10"/>
  <c r="Y9" i="16"/>
  <c r="Q30" i="5"/>
  <c r="Q33" i="7"/>
  <c r="Q28" i="5"/>
  <c r="AA7" i="16"/>
  <c r="P19" i="5"/>
  <c r="P19" i="7"/>
  <c r="P36" i="7"/>
  <c r="P23" i="5"/>
  <c r="Q37" i="10"/>
  <c r="Q21" i="5"/>
  <c r="P27" i="5"/>
  <c r="Q32" i="10"/>
  <c r="Q35" i="10"/>
  <c r="AA8" i="16"/>
  <c r="P22" i="10"/>
  <c r="Q36" i="5"/>
  <c r="Q22" i="5"/>
  <c r="P21" i="7"/>
  <c r="P21" i="10"/>
  <c r="P28" i="5"/>
  <c r="Q21" i="7"/>
  <c r="P26" i="7"/>
  <c r="Q27" i="7"/>
  <c r="Y7" i="16"/>
  <c r="P36" i="10"/>
  <c r="P37" i="10"/>
  <c r="P27" i="7"/>
  <c r="Q31" i="5"/>
  <c r="Q34" i="5"/>
  <c r="Z8" i="16"/>
  <c r="Q29" i="10"/>
  <c r="Y10" i="16"/>
  <c r="P30" i="7"/>
  <c r="Q20" i="5"/>
  <c r="P29" i="7"/>
  <c r="P20" i="5"/>
  <c r="P37" i="7"/>
  <c r="Q36" i="7"/>
  <c r="Q24" i="10"/>
  <c r="Q28" i="7"/>
  <c r="Q32" i="7"/>
  <c r="P33" i="5"/>
  <c r="Q34" i="10"/>
  <c r="P26" i="5"/>
  <c r="P30" i="10"/>
  <c r="Q24" i="5"/>
  <c r="Q35" i="5"/>
  <c r="P34" i="10"/>
  <c r="Q37" i="7"/>
  <c r="Z10" i="16"/>
  <c r="Q26" i="10"/>
  <c r="P32" i="10"/>
  <c r="P30" i="5"/>
  <c r="Q21" i="10"/>
  <c r="P28" i="10"/>
  <c r="P28" i="7"/>
  <c r="P23" i="10"/>
  <c r="Q27" i="5"/>
  <c r="P27" i="10"/>
  <c r="P29" i="10"/>
  <c r="P29" i="5"/>
  <c r="AA9" i="16"/>
  <c r="Q24" i="7"/>
  <c r="Q26" i="5"/>
  <c r="P34" i="7"/>
  <c r="P24" i="5"/>
  <c r="Q25" i="5"/>
  <c r="Q28" i="10"/>
  <c r="Q31" i="10"/>
  <c r="Q29" i="7"/>
  <c r="Q19" i="10"/>
  <c r="P24" i="10"/>
  <c r="AA6" i="16"/>
  <c r="Q19" i="7"/>
  <c r="Z5" i="16"/>
  <c r="P26" i="10"/>
  <c r="AA10" i="16"/>
  <c r="P19" i="10"/>
  <c r="P21" i="5"/>
  <c r="P25" i="7"/>
  <c r="Q34" i="7"/>
  <c r="Q23" i="7"/>
  <c r="Q36" i="10"/>
  <c r="Q22" i="10"/>
  <c r="AA5" i="16"/>
  <c r="P35" i="10"/>
  <c r="P32" i="5"/>
  <c r="Q27" i="10"/>
  <c r="P33" i="10"/>
  <c r="P22" i="5"/>
  <c r="Q29" i="5"/>
  <c r="P24" i="7"/>
  <c r="P20" i="7"/>
  <c r="Q32" i="5"/>
  <c r="R41" i="10" l="1"/>
  <c r="I41" i="10" s="1"/>
  <c r="R40" i="10"/>
  <c r="I40" i="10" s="1"/>
  <c r="R39" i="10"/>
  <c r="I39" i="10" s="1"/>
  <c r="R38" i="10"/>
  <c r="I38" i="10" s="1"/>
  <c r="R41" i="5"/>
  <c r="I41" i="5" s="1"/>
  <c r="R40" i="5"/>
  <c r="I40" i="5" s="1"/>
  <c r="R39" i="5"/>
  <c r="I39" i="5" s="1"/>
  <c r="R38" i="5"/>
  <c r="I38" i="5" s="1"/>
  <c r="R41" i="7"/>
  <c r="I41" i="7" s="1"/>
  <c r="R40" i="7"/>
  <c r="I40" i="7" s="1"/>
  <c r="R39" i="7"/>
  <c r="I39" i="7" s="1"/>
  <c r="R38" i="7"/>
  <c r="I38" i="7" s="1"/>
  <c r="R37" i="7"/>
  <c r="I37" i="7" s="1"/>
  <c r="R37" i="5"/>
  <c r="I37" i="5" s="1"/>
  <c r="R37" i="10"/>
  <c r="I37" i="10" s="1"/>
  <c r="R36" i="10"/>
  <c r="I36" i="10" s="1"/>
  <c r="R36" i="5"/>
  <c r="I36" i="5" s="1"/>
  <c r="R36" i="7"/>
  <c r="I36" i="7" s="1"/>
  <c r="R35" i="10"/>
  <c r="I35" i="10" s="1"/>
  <c r="R34" i="10"/>
  <c r="I34" i="10" s="1"/>
  <c r="R33" i="10"/>
  <c r="I33" i="10" s="1"/>
  <c r="R35" i="5"/>
  <c r="I35" i="5" s="1"/>
  <c r="R34" i="5"/>
  <c r="I34" i="5" s="1"/>
  <c r="R33" i="5"/>
  <c r="I33" i="5" s="1"/>
  <c r="R35" i="7"/>
  <c r="I35" i="7" s="1"/>
  <c r="R34" i="7"/>
  <c r="I34" i="7" s="1"/>
  <c r="R33" i="7"/>
  <c r="I33" i="7" s="1"/>
  <c r="H28" i="12"/>
  <c r="R29" i="10"/>
  <c r="I29" i="10" s="1"/>
  <c r="R30" i="10"/>
  <c r="I30" i="10" s="1"/>
  <c r="R31" i="10"/>
  <c r="I31" i="10" s="1"/>
  <c r="R32" i="10"/>
  <c r="I32" i="10" s="1"/>
  <c r="R29" i="5"/>
  <c r="I29" i="5" s="1"/>
  <c r="R30" i="5"/>
  <c r="I30" i="5" s="1"/>
  <c r="R31" i="5"/>
  <c r="I31" i="5" s="1"/>
  <c r="R32" i="5"/>
  <c r="I32" i="5" s="1"/>
  <c r="R29" i="7"/>
  <c r="I29" i="7" s="1"/>
  <c r="R30" i="7"/>
  <c r="I30" i="7" s="1"/>
  <c r="R31" i="7"/>
  <c r="I31" i="7" s="1"/>
  <c r="R32" i="7"/>
  <c r="I32" i="7" s="1"/>
  <c r="R27" i="5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X11" i="16"/>
  <c r="X14" i="16"/>
  <c r="X16" i="16"/>
  <c r="X17" i="16"/>
  <c r="X13" i="16"/>
  <c r="W11" i="16"/>
  <c r="X18" i="16"/>
  <c r="X12" i="16"/>
  <c r="X15" i="16"/>
  <c r="H29" i="12" l="1"/>
  <c r="I24" i="7"/>
  <c r="I23" i="7"/>
  <c r="I20" i="7"/>
  <c r="I28" i="7"/>
  <c r="I19" i="7"/>
  <c r="I25" i="7"/>
  <c r="I27" i="7"/>
  <c r="I22" i="7"/>
  <c r="I26" i="7"/>
  <c r="I21" i="7"/>
  <c r="X7" i="16"/>
  <c r="W5" i="16"/>
  <c r="X5" i="16"/>
  <c r="X6" i="16"/>
  <c r="X9" i="16"/>
  <c r="X8" i="16"/>
  <c r="W12" i="16"/>
  <c r="X10" i="16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13" i="16"/>
  <c r="W6" i="16"/>
  <c r="S6" i="4" l="1"/>
  <c r="S7" i="4" s="1"/>
  <c r="S8" i="4" s="1"/>
  <c r="S9" i="4" s="1"/>
  <c r="S10" i="4" s="1"/>
  <c r="S11" i="4" s="1"/>
  <c r="S12" i="4" s="1"/>
  <c r="S13" i="4" s="1"/>
  <c r="S14" i="4" s="1"/>
  <c r="S15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U6" i="4"/>
  <c r="U7" i="4" s="1"/>
  <c r="U8" i="4" s="1"/>
  <c r="U9" i="4" s="1"/>
  <c r="U10" i="4" s="1"/>
  <c r="U11" i="4" s="1"/>
  <c r="U12" i="4" s="1"/>
  <c r="U13" i="4" s="1"/>
  <c r="U14" i="4" s="1"/>
  <c r="U15" i="4" s="1"/>
  <c r="T6" i="4"/>
  <c r="T7" i="4" s="1"/>
  <c r="T8" i="4" s="1"/>
  <c r="T9" i="4" s="1"/>
  <c r="T10" i="4" s="1"/>
  <c r="T11" i="4" s="1"/>
  <c r="T12" i="4" s="1"/>
  <c r="T13" i="4" s="1"/>
  <c r="T14" i="4" s="1"/>
  <c r="T15" i="4" s="1"/>
  <c r="K6" i="4"/>
  <c r="J6" i="4"/>
  <c r="I6" i="4"/>
  <c r="H6" i="4"/>
  <c r="H31" i="12"/>
  <c r="AK7" i="16"/>
  <c r="C6" i="4"/>
  <c r="E6" i="4"/>
  <c r="F6" i="4"/>
  <c r="G6" i="4"/>
  <c r="B6" i="4"/>
  <c r="P58" i="2"/>
  <c r="O8" i="2"/>
  <c r="O12" i="2"/>
  <c r="S58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O11" i="2"/>
  <c r="O15" i="2"/>
  <c r="O19" i="2"/>
  <c r="N16" i="2"/>
  <c r="N12" i="2"/>
  <c r="N8" i="2"/>
  <c r="N18" i="2"/>
  <c r="N14" i="2"/>
  <c r="N10" i="2"/>
  <c r="N6" i="2"/>
  <c r="O5" i="2"/>
  <c r="W14" i="16"/>
  <c r="W7" i="16"/>
  <c r="T16" i="4" l="1"/>
  <c r="T17" i="4" s="1"/>
  <c r="T18" i="4" s="1"/>
  <c r="T19" i="4" s="1"/>
  <c r="T20" i="4" s="1"/>
  <c r="T21" i="4" s="1"/>
  <c r="T22" i="4" s="1"/>
  <c r="U16" i="4"/>
  <c r="U17" i="4" s="1"/>
  <c r="U18" i="4" s="1"/>
  <c r="U19" i="4" s="1"/>
  <c r="U20" i="4" s="1"/>
  <c r="U21" i="4" s="1"/>
  <c r="U22" i="4" s="1"/>
  <c r="E13" i="16" s="1"/>
  <c r="F13" i="16" s="1"/>
  <c r="R16" i="4"/>
  <c r="R17" i="4" s="1"/>
  <c r="R18" i="4" s="1"/>
  <c r="R19" i="4" s="1"/>
  <c r="R20" i="4" s="1"/>
  <c r="R21" i="4" s="1"/>
  <c r="R22" i="4" s="1"/>
  <c r="S16" i="4"/>
  <c r="S17" i="4" s="1"/>
  <c r="S18" i="4" s="1"/>
  <c r="S19" i="4" s="1"/>
  <c r="S20" i="4" s="1"/>
  <c r="S21" i="4" s="1"/>
  <c r="S22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H32" i="12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8" i="16"/>
  <c r="O9" i="16"/>
  <c r="O5" i="16"/>
  <c r="O6" i="16"/>
  <c r="O10" i="16"/>
  <c r="O7" i="16"/>
  <c r="P6" i="16"/>
  <c r="P10" i="16"/>
  <c r="P5" i="16"/>
  <c r="P7" i="16"/>
  <c r="P9" i="16"/>
  <c r="P8" i="16"/>
  <c r="M6" i="16"/>
  <c r="M10" i="16"/>
  <c r="M7" i="16"/>
  <c r="M5" i="16"/>
  <c r="M8" i="16"/>
  <c r="M9" i="16"/>
  <c r="W5" i="4"/>
  <c r="W6" i="4" s="1"/>
  <c r="W7" i="4" s="1"/>
  <c r="W8" i="4" s="1"/>
  <c r="W9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N8" i="16"/>
  <c r="N6" i="16"/>
  <c r="N10" i="16"/>
  <c r="N5" i="16"/>
  <c r="N9" i="16"/>
  <c r="N7" i="16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W16" i="16"/>
  <c r="V5" i="4"/>
  <c r="W8" i="16"/>
  <c r="W18" i="16"/>
  <c r="W15" i="16"/>
  <c r="W17" i="16"/>
  <c r="P16" i="4" l="1"/>
  <c r="P17" i="4" s="1"/>
  <c r="P18" i="4" s="1"/>
  <c r="P19" i="4" s="1"/>
  <c r="P20" i="4" s="1"/>
  <c r="P21" i="4" s="1"/>
  <c r="P22" i="4" s="1"/>
  <c r="E9" i="16" s="1"/>
  <c r="F9" i="16" s="1"/>
  <c r="X16" i="4"/>
  <c r="X17" i="4" s="1"/>
  <c r="X18" i="4" s="1"/>
  <c r="X19" i="4" s="1"/>
  <c r="X20" i="4" s="1"/>
  <c r="X21" i="4" s="1"/>
  <c r="X22" i="4" s="1"/>
  <c r="M16" i="4"/>
  <c r="M17" i="4" s="1"/>
  <c r="M18" i="4" s="1"/>
  <c r="M19" i="4" s="1"/>
  <c r="M20" i="4" s="1"/>
  <c r="M21" i="4" s="1"/>
  <c r="M22" i="4" s="1"/>
  <c r="Q16" i="4"/>
  <c r="Q17" i="4" s="1"/>
  <c r="Q18" i="4" s="1"/>
  <c r="Q19" i="4" s="1"/>
  <c r="Q20" i="4" s="1"/>
  <c r="Q21" i="4" s="1"/>
  <c r="Q22" i="4" s="1"/>
  <c r="O16" i="4"/>
  <c r="O17" i="4" s="1"/>
  <c r="O18" i="4" s="1"/>
  <c r="O19" i="4" s="1"/>
  <c r="O20" i="4" s="1"/>
  <c r="O21" i="4" s="1"/>
  <c r="O22" i="4" s="1"/>
  <c r="E14" i="16" s="1"/>
  <c r="F14" i="16" s="1"/>
  <c r="L16" i="4"/>
  <c r="L17" i="4" s="1"/>
  <c r="L18" i="4" s="1"/>
  <c r="L19" i="4" s="1"/>
  <c r="L20" i="4" s="1"/>
  <c r="L21" i="4" s="1"/>
  <c r="L22" i="4" s="1"/>
  <c r="N16" i="4"/>
  <c r="N17" i="4" s="1"/>
  <c r="N18" i="4" s="1"/>
  <c r="N19" i="4" s="1"/>
  <c r="N20" i="4" s="1"/>
  <c r="N21" i="4" s="1"/>
  <c r="N22" i="4" s="1"/>
  <c r="G12" i="15"/>
  <c r="G13" i="15"/>
  <c r="W10" i="4"/>
  <c r="AJ5" i="16"/>
  <c r="G11" i="15"/>
  <c r="G10" i="15"/>
  <c r="E12" i="16"/>
  <c r="F12" i="16" s="1"/>
  <c r="E10" i="16"/>
  <c r="F10" i="16" s="1"/>
  <c r="E7" i="16"/>
  <c r="F7" i="16" s="1"/>
  <c r="E6" i="16"/>
  <c r="F6" i="16" s="1"/>
  <c r="V6" i="4"/>
  <c r="W9" i="16"/>
  <c r="E11" i="16" l="1"/>
  <c r="F11" i="16" s="1"/>
  <c r="E8" i="16"/>
  <c r="F8" i="16" s="1"/>
  <c r="W11" i="4"/>
  <c r="AJ6" i="16"/>
  <c r="E5" i="16"/>
  <c r="F5" i="16" s="1"/>
  <c r="Y6" i="4"/>
  <c r="Y5" i="4"/>
  <c r="W10" i="16"/>
  <c r="W12" i="4" l="1"/>
  <c r="AJ7" i="16"/>
  <c r="F15" i="16"/>
  <c r="D10" i="15" s="1"/>
  <c r="C10" i="15"/>
  <c r="C11" i="15"/>
  <c r="C12" i="15"/>
  <c r="W13" i="4" l="1"/>
  <c r="AJ8" i="16"/>
  <c r="D12" i="15"/>
  <c r="D11" i="15"/>
  <c r="V10" i="4"/>
  <c r="V9" i="4"/>
  <c r="W14" i="4" l="1"/>
  <c r="AJ9" i="16"/>
  <c r="Y10" i="4"/>
  <c r="Y9" i="4"/>
  <c r="V8" i="4"/>
  <c r="W15" i="4" l="1"/>
  <c r="AJ10" i="16"/>
  <c r="Y8" i="4"/>
  <c r="V7" i="4"/>
  <c r="W16" i="4" l="1"/>
  <c r="AJ11" i="16"/>
  <c r="Y7" i="4"/>
  <c r="AI6" i="16" s="1"/>
  <c r="W17" i="4" l="1"/>
  <c r="AJ12" i="16"/>
  <c r="AI5" i="16"/>
  <c r="V11" i="4"/>
  <c r="V12" i="4"/>
  <c r="V14" i="4"/>
  <c r="W18" i="4" l="1"/>
  <c r="AJ13" i="16"/>
  <c r="Y12" i="4"/>
  <c r="Y14" i="4"/>
  <c r="Y11" i="4"/>
  <c r="AI7" i="16" s="1"/>
  <c r="V13" i="4"/>
  <c r="W19" i="4" l="1"/>
  <c r="AJ14" i="16"/>
  <c r="AI8" i="16"/>
  <c r="Y13" i="4"/>
  <c r="AI10" i="16" s="1"/>
  <c r="V15" i="4"/>
  <c r="W20" i="4" l="1"/>
  <c r="AJ15" i="16"/>
  <c r="AI9" i="16"/>
  <c r="Y15" i="4"/>
  <c r="W21" i="4" l="1"/>
  <c r="AJ16" i="16"/>
  <c r="AI11" i="16"/>
  <c r="V16" i="4"/>
  <c r="W22" i="4" l="1"/>
  <c r="AJ17" i="16"/>
  <c r="Y16" i="4"/>
  <c r="AI12" i="16" s="1"/>
  <c r="V17" i="4"/>
  <c r="AJ18" i="16" l="1"/>
  <c r="G6" i="15"/>
  <c r="F6" i="15"/>
  <c r="Y17" i="4"/>
  <c r="AI13" i="16" s="1"/>
  <c r="V18" i="4"/>
  <c r="Y18" i="4" l="1"/>
  <c r="AI14" i="16" s="1"/>
  <c r="V19" i="4"/>
  <c r="Y19" i="4" l="1"/>
  <c r="AI15" i="16" s="1"/>
  <c r="V20" i="4"/>
  <c r="Y20" i="4" l="1"/>
  <c r="AI16" i="16" s="1"/>
  <c r="V21" i="4"/>
  <c r="Y21" i="4" l="1"/>
  <c r="AI17" i="16" s="1"/>
  <c r="V22" i="4"/>
  <c r="Y22" i="4" l="1"/>
  <c r="AI18" i="16" s="1"/>
  <c r="F5" i="15" l="1"/>
  <c r="G5" i="15"/>
</calcChain>
</file>

<file path=xl/sharedStrings.xml><?xml version="1.0" encoding="utf-8"?>
<sst xmlns="http://schemas.openxmlformats.org/spreadsheetml/2006/main" count="722" uniqueCount="301">
  <si>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</si>
  <si>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</si>
  <si>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</si>
  <si>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</si>
  <si>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</si>
  <si>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</si>
  <si>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</si>
  <si>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</si>
  <si>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</si>
  <si>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</si>
  <si>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</si>
  <si>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</si>
  <si>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</si>
  <si>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</si>
  <si>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</si>
  <si>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</si>
  <si>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</si>
  <si>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</si>
  <si>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</si>
  <si>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</si>
  <si>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</si>
  <si>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</si>
  <si>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</si>
  <si>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</si>
  <si>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</si>
  <si>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</si>
  <si>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</si>
  <si>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</si>
  <si>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</si>
  <si>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</si>
  <si>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</si>
  <si>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</si>
  <si>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</si>
  <si>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</si>
  <si>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</si>
  <si>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</si>
  <si>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</si>
  <si>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</si>
  <si>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</si>
  <si>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</si>
  <si>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</si>
  <si>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</si>
  <si>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</si>
  <si>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</si>
  <si>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</si>
  <si>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</si>
  <si>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</si>
  <si>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</si>
  <si>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</si>
  <si>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</si>
  <si>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</si>
  <si>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</si>
  <si>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</si>
  <si>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</si>
  <si>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</si>
  <si>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</si>
  <si>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</si>
  <si>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</si>
  <si>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</si>
  <si>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</si>
  <si>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</si>
  <si>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</si>
  <si>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</si>
  <si>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</si>
  <si>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</si>
  <si>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</si>
  <si>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</si>
  <si>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</si>
  <si>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</si>
  <si>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</si>
  <si>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</si>
  <si>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</si>
  <si>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</si>
  <si>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</si>
  <si>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</si>
  <si>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</si>
  <si>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</si>
  <si>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</si>
  <si>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</si>
  <si>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</si>
  <si>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</si>
  <si>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</si>
  <si>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</si>
  <si>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</si>
  <si>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</si>
  <si>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</si>
  <si>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</si>
  <si>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</si>
  <si>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</si>
  <si>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</si>
  <si>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</si>
  <si>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</si>
  <si>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</si>
  <si>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</si>
  <si>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</si>
  <si>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</si>
  <si>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</si>
  <si>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</si>
  <si>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</si>
  <si>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</si>
  <si>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</si>
  <si>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</si>
  <si>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</si>
  <si>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</si>
  <si>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</si>
  <si>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</si>
  <si>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</si>
  <si>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</si>
  <si>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</si>
  <si>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</si>
  <si>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</si>
  <si>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</si>
  <si>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</si>
  <si>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</si>
  <si>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</si>
  <si>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</si>
  <si>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</si>
  <si>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</si>
  <si>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</si>
  <si>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</si>
  <si>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</si>
  <si>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</si>
  <si>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</si>
  <si>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</si>
  <si>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</si>
  <si>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</si>
  <si>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</si>
  <si>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</si>
  <si>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</si>
  <si>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</si>
  <si>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</si>
  <si>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</si>
  <si>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</si>
  <si>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</si>
  <si>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</si>
  <si>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</si>
  <si>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</si>
  <si>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</si>
  <si>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</si>
  <si>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</si>
  <si>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</si>
  <si>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</si>
  <si>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</si>
  <si>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</si>
  <si>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</si>
  <si>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</si>
  <si>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</si>
  <si>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</si>
  <si>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</si>
  <si>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</si>
  <si>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</si>
  <si>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</si>
  <si>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</si>
  <si>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</si>
  <si>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</si>
  <si>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</si>
  <si>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</si>
  <si>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</si>
  <si>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</si>
  <si>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</si>
  <si>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</si>
  <si>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</si>
  <si>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</si>
  <si>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</si>
  <si>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</si>
  <si>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</si>
  <si>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</si>
  <si>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</si>
  <si>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</si>
  <si>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</si>
  <si>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</si>
  <si>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</si>
  <si>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</si>
  <si>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</si>
  <si>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</si>
  <si>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</si>
  <si>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</si>
  <si>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</si>
  <si>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</si>
  <si>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</si>
  <si>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</si>
  <si>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</si>
  <si>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</si>
  <si>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</si>
  <si>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</si>
  <si>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</si>
  <si>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</si>
  <si>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</si>
  <si>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</si>
  <si>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</si>
  <si>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</si>
  <si>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</si>
  <si>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</si>
  <si>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</si>
  <si>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</si>
  <si>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</si>
  <si>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</si>
  <si>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</si>
  <si>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</si>
  <si>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</si>
  <si>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</si>
  <si>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</si>
  <si>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</si>
  <si>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</si>
  <si>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</si>
  <si>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</si>
  <si>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</si>
  <si>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</si>
  <si>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</si>
  <si>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</si>
  <si>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</si>
  <si>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</si>
  <si>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</si>
  <si>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</si>
  <si>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</si>
  <si>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</si>
  <si>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</si>
  <si>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</si>
  <si>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</si>
  <si>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</si>
  <si>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</si>
  <si>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</si>
  <si>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</si>
  <si>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</si>
  <si>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</si>
  <si>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</si>
  <si>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</si>
  <si>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</si>
  <si>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</si>
  <si>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</si>
  <si>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</si>
  <si>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</si>
  <si>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</si>
  <si>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</si>
  <si>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</si>
  <si>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</si>
  <si>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</si>
  <si>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</si>
  <si>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</si>
  <si>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</si>
  <si>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</si>
  <si>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</si>
  <si>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</si>
  <si>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</si>
  <si>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</si>
  <si>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</si>
  <si>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</si>
  <si>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</si>
  <si>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</si>
  <si>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</si>
  <si>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</si>
  <si>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</si>
  <si>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</si>
  <si>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</si>
  <si>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</si>
  <si>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</si>
  <si>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</si>
  <si>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</si>
  <si>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</si>
  <si>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</si>
  <si>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</si>
  <si>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</si>
  <si>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</si>
  <si>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</si>
  <si>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</si>
  <si>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</si>
  <si>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</si>
  <si>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</si>
  <si>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</si>
  <si>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</si>
  <si>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</si>
  <si>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</si>
  <si>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</si>
  <si>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</si>
  <si>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</si>
  <si>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</si>
  <si>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</si>
  <si>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</si>
  <si>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</si>
  <si>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</si>
  <si>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</si>
  <si>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</si>
  <si>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</si>
  <si>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</si>
  <si>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</si>
  <si>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</si>
  <si>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</si>
  <si>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</si>
  <si>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</si>
  <si>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</si>
  <si>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</si>
  <si>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</si>
  <si>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</si>
  <si>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</si>
  <si>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</si>
  <si>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</si>
  <si>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</si>
  <si>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</si>
  <si>
    <t>9/24/20 12:20p</t>
  </si>
  <si>
    <t>9/28/20 10:13a</t>
  </si>
  <si>
    <t>9/28/20 10:35a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</si>
</sst>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  <xf numFmtId="44" fontId="37" fillId="0" borderId="0" xfId="1" applyNumberFormat="1" applyFont="1"/>
  </cellXfs>
  <cellStyles count="2">
    <cellStyle name="Currency" xfId="1" builtinId="4"/>
    <cellStyle name="Normal" xfId="0" builtinId="0"/>
  </cellStyles>
  <dxfs count="2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" formatCode="0"/>
    </dxf>
    <dxf>
      <numFmt numFmtId="34" formatCode="_(&quot;$&quot;* #,##0.00_);_(&quot;$&quot;* \(#,##0.00\);_(&quot;$&quot;* &quot;-&quot;??_);_(@_)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9286.7999999999993</c:v>
                </c:pt>
                <c:pt idx="1">
                  <c:v>11976.413</c:v>
                </c:pt>
                <c:pt idx="2">
                  <c:v>18236.400000000001</c:v>
                </c:pt>
                <c:pt idx="3">
                  <c:v>15758.5</c:v>
                </c:pt>
                <c:pt idx="4">
                  <c:v>11024.1</c:v>
                </c:pt>
                <c:pt idx="5">
                  <c:v>7702.5</c:v>
                </c:pt>
                <c:pt idx="6">
                  <c:v>9817.7000000000007</c:v>
                </c:pt>
                <c:pt idx="7">
                  <c:v>7539.6</c:v>
                </c:pt>
                <c:pt idx="8">
                  <c:v>7065.7</c:v>
                </c:pt>
                <c:pt idx="9">
                  <c:v>9234.2999999999993</c:v>
                </c:pt>
                <c:pt idx="10">
                  <c:v>11605.3</c:v>
                </c:pt>
                <c:pt idx="11">
                  <c:v>14430.3</c:v>
                </c:pt>
                <c:pt idx="12">
                  <c:v>8195</c:v>
                </c:pt>
                <c:pt idx="13">
                  <c:v>4748.8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81816"/>
        <c:axId val="271881424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136.259995</c:v>
                </c:pt>
                <c:pt idx="1">
                  <c:v>136.69000199999999</c:v>
                </c:pt>
                <c:pt idx="2">
                  <c:v>135.29</c:v>
                </c:pt>
                <c:pt idx="3">
                  <c:v>137.07</c:v>
                </c:pt>
                <c:pt idx="4">
                  <c:v>138.31</c:v>
                </c:pt>
                <c:pt idx="5">
                  <c:v>135.99</c:v>
                </c:pt>
                <c:pt idx="6">
                  <c:v>136.69999999999999</c:v>
                </c:pt>
                <c:pt idx="7">
                  <c:v>137.27000000000001</c:v>
                </c:pt>
                <c:pt idx="8">
                  <c:v>137.25</c:v>
                </c:pt>
                <c:pt idx="9">
                  <c:v>137.13999999999999</c:v>
                </c:pt>
                <c:pt idx="10">
                  <c:v>139.91</c:v>
                </c:pt>
                <c:pt idx="11">
                  <c:v>143.08000000000001</c:v>
                </c:pt>
                <c:pt idx="12">
                  <c:v>140.5</c:v>
                </c:pt>
                <c:pt idx="13">
                  <c:v>141.80000000000001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79072"/>
        <c:axId val="271879856"/>
      </c:lineChart>
      <c:catAx>
        <c:axId val="2718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856"/>
        <c:crosses val="autoZero"/>
        <c:auto val="1"/>
        <c:lblAlgn val="ctr"/>
        <c:lblOffset val="100"/>
        <c:noMultiLvlLbl val="0"/>
      </c:catAx>
      <c:valAx>
        <c:axId val="2718798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072"/>
        <c:crosses val="autoZero"/>
        <c:crossBetween val="between"/>
      </c:valAx>
      <c:valAx>
        <c:axId val="27188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1816"/>
        <c:crosses val="max"/>
        <c:crossBetween val="between"/>
      </c:valAx>
      <c:catAx>
        <c:axId val="271881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7188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136.259995</c:v>
                </c:pt>
                <c:pt idx="1">
                  <c:v>136.69000199999999</c:v>
                </c:pt>
                <c:pt idx="2">
                  <c:v>135.29</c:v>
                </c:pt>
                <c:pt idx="3">
                  <c:v>137.07</c:v>
                </c:pt>
                <c:pt idx="4">
                  <c:v>138.31</c:v>
                </c:pt>
                <c:pt idx="5">
                  <c:v>135.99</c:v>
                </c:pt>
                <c:pt idx="6">
                  <c:v>136.69999999999999</c:v>
                </c:pt>
                <c:pt idx="7">
                  <c:v>137.27000000000001</c:v>
                </c:pt>
                <c:pt idx="8">
                  <c:v>137.25</c:v>
                </c:pt>
                <c:pt idx="9">
                  <c:v>137.13999999999999</c:v>
                </c:pt>
                <c:pt idx="10">
                  <c:v>139.91</c:v>
                </c:pt>
                <c:pt idx="11">
                  <c:v>143.08000000000001</c:v>
                </c:pt>
                <c:pt idx="12">
                  <c:v>140.5</c:v>
                </c:pt>
                <c:pt idx="13">
                  <c:v>141.80000000000001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247.99382957781384</c:v>
                </c:pt>
                <c:pt idx="1">
                  <c:v>236.86344682003246</c:v>
                </c:pt>
                <c:pt idx="2">
                  <c:v>226.70610213802922</c:v>
                </c:pt>
                <c:pt idx="3">
                  <c:v>217.7424919242263</c:v>
                </c:pt>
                <c:pt idx="4">
                  <c:v>209.79924273180367</c:v>
                </c:pt>
                <c:pt idx="5">
                  <c:v>202.4183184586233</c:v>
                </c:pt>
                <c:pt idx="6">
                  <c:v>195.84648661276097</c:v>
                </c:pt>
                <c:pt idx="7">
                  <c:v>189.98883795148487</c:v>
                </c:pt>
                <c:pt idx="8">
                  <c:v>184.71495415633638</c:v>
                </c:pt>
                <c:pt idx="9">
                  <c:v>179.95745874070275</c:v>
                </c:pt>
                <c:pt idx="10">
                  <c:v>175.95271286663245</c:v>
                </c:pt>
                <c:pt idx="11">
                  <c:v>172.66544157996921</c:v>
                </c:pt>
                <c:pt idx="12">
                  <c:v>169.44889742197228</c:v>
                </c:pt>
                <c:pt idx="13">
                  <c:v>166.68400767977505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536856"/>
        <c:axId val="357690464"/>
      </c:lineChart>
      <c:catAx>
        <c:axId val="22753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464"/>
        <c:crosses val="autoZero"/>
        <c:auto val="1"/>
        <c:lblAlgn val="ctr"/>
        <c:lblOffset val="100"/>
        <c:noMultiLvlLbl val="0"/>
      </c:catAx>
      <c:valAx>
        <c:axId val="3576904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9.0699595974394924</c:v>
                </c:pt>
                <c:pt idx="1">
                  <c:v>9.6499865370712712</c:v>
                </c:pt>
                <c:pt idx="2">
                  <c:v>10.473008886972693</c:v>
                </c:pt>
                <c:pt idx="3">
                  <c:v>11.951896413503505</c:v>
                </c:pt>
                <c:pt idx="4">
                  <c:v>7.9876284375911268</c:v>
                </c:pt>
                <c:pt idx="5">
                  <c:v>8.1626349468461825</c:v>
                </c:pt>
                <c:pt idx="6">
                  <c:v>9.7007920330269997</c:v>
                </c:pt>
                <c:pt idx="7">
                  <c:v>10.930680027297655</c:v>
                </c:pt>
                <c:pt idx="8">
                  <c:v>11.577318793545885</c:v>
                </c:pt>
                <c:pt idx="9">
                  <c:v>7.7245063208231386</c:v>
                </c:pt>
                <c:pt idx="10">
                  <c:v>5.3941920884568475</c:v>
                </c:pt>
                <c:pt idx="11">
                  <c:v>8.1993576159902375</c:v>
                </c:pt>
                <c:pt idx="12">
                  <c:v>58.717081773369692</c:v>
                </c:pt>
                <c:pt idx="13">
                  <c:v>61.384604063125039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86544"/>
        <c:axId val="357690072"/>
      </c:lineChart>
      <c:catAx>
        <c:axId val="3576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072"/>
        <c:crosses val="autoZero"/>
        <c:auto val="1"/>
        <c:lblAlgn val="ctr"/>
        <c:lblOffset val="100"/>
        <c:noMultiLvlLbl val="0"/>
      </c:catAx>
      <c:valAx>
        <c:axId val="3576900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251.4778562857143</c:v>
                </c:pt>
                <c:pt idx="1">
                  <c:v>237.57785578571426</c:v>
                </c:pt>
                <c:pt idx="2">
                  <c:v>225.03142707142851</c:v>
                </c:pt>
                <c:pt idx="3">
                  <c:v>213.63928435714283</c:v>
                </c:pt>
                <c:pt idx="4">
                  <c:v>201.60214242857143</c:v>
                </c:pt>
                <c:pt idx="5">
                  <c:v>189.87214307142858</c:v>
                </c:pt>
                <c:pt idx="6">
                  <c:v>179.94357078571426</c:v>
                </c:pt>
                <c:pt idx="7">
                  <c:v>171.10999921428566</c:v>
                </c:pt>
                <c:pt idx="8">
                  <c:v>162.90785621428569</c:v>
                </c:pt>
                <c:pt idx="9">
                  <c:v>154.25285635714286</c:v>
                </c:pt>
                <c:pt idx="10">
                  <c:v>145.34571457142857</c:v>
                </c:pt>
                <c:pt idx="11">
                  <c:v>137.54571464285715</c:v>
                </c:pt>
                <c:pt idx="12">
                  <c:v>137.77285700000002</c:v>
                </c:pt>
                <c:pt idx="13">
                  <c:v>138.0899997857143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384.60965025515327</c:v>
                </c:pt>
                <c:pt idx="1">
                  <c:v>375.36763313788651</c:v>
                </c:pt>
                <c:pt idx="2">
                  <c:v>365.99688342842148</c:v>
                </c:pt>
                <c:pt idx="3">
                  <c:v>355.47943057157886</c:v>
                </c:pt>
                <c:pt idx="4">
                  <c:v>337.86775751153567</c:v>
                </c:pt>
                <c:pt idx="5">
                  <c:v>317.57634223209936</c:v>
                </c:pt>
                <c:pt idx="6">
                  <c:v>300.30579347878512</c:v>
                </c:pt>
                <c:pt idx="7">
                  <c:v>283.7716766492577</c:v>
                </c:pt>
                <c:pt idx="8">
                  <c:v>266.53385559011662</c:v>
                </c:pt>
                <c:pt idx="9">
                  <c:v>242.68069328608476</c:v>
                </c:pt>
                <c:pt idx="10">
                  <c:v>206.93896809032904</c:v>
                </c:pt>
                <c:pt idx="11">
                  <c:v>141.39083737812251</c:v>
                </c:pt>
                <c:pt idx="12">
                  <c:v>141.92406426409318</c:v>
                </c:pt>
                <c:pt idx="13">
                  <c:v>142.75228752722319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118.34606231627529</c:v>
                </c:pt>
                <c:pt idx="1">
                  <c:v>99.78807843354204</c:v>
                </c:pt>
                <c:pt idx="2">
                  <c:v>84.065970714435537</c:v>
                </c:pt>
                <c:pt idx="3">
                  <c:v>71.799138142706795</c:v>
                </c:pt>
                <c:pt idx="4">
                  <c:v>65.33652734560718</c:v>
                </c:pt>
                <c:pt idx="5">
                  <c:v>62.167943910757813</c:v>
                </c:pt>
                <c:pt idx="6">
                  <c:v>59.581348092643395</c:v>
                </c:pt>
                <c:pt idx="7">
                  <c:v>58.44832177931363</c:v>
                </c:pt>
                <c:pt idx="8">
                  <c:v>59.281856838454772</c:v>
                </c:pt>
                <c:pt idx="9">
                  <c:v>65.825019428200974</c:v>
                </c:pt>
                <c:pt idx="10">
                  <c:v>83.752461052528105</c:v>
                </c:pt>
                <c:pt idx="11">
                  <c:v>133.70059190759179</c:v>
                </c:pt>
                <c:pt idx="12">
                  <c:v>133.62164973590686</c:v>
                </c:pt>
                <c:pt idx="13">
                  <c:v>133.42771204420541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90856"/>
        <c:axId val="357684584"/>
      </c:lineChart>
      <c:catAx>
        <c:axId val="3576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4584"/>
        <c:crosses val="autoZero"/>
        <c:auto val="1"/>
        <c:lblAlgn val="ctr"/>
        <c:lblOffset val="100"/>
        <c:noMultiLvlLbl val="0"/>
      </c:catAx>
      <c:valAx>
        <c:axId val="357684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61575.199999999997</c:v>
                </c:pt>
                <c:pt idx="1">
                  <c:v>57949.2</c:v>
                </c:pt>
                <c:pt idx="2">
                  <c:v>63351.7</c:v>
                </c:pt>
                <c:pt idx="3">
                  <c:v>37751.699999999997</c:v>
                </c:pt>
                <c:pt idx="4">
                  <c:v>50051.7</c:v>
                </c:pt>
                <c:pt idx="5">
                  <c:v>43897.299999999996</c:v>
                </c:pt>
                <c:pt idx="6">
                  <c:v>43897.299999999996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84976"/>
        <c:axId val="357688896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99755.299849999996</c:v>
                </c:pt>
                <c:pt idx="1">
                  <c:v>99446.298949999997</c:v>
                </c:pt>
                <c:pt idx="2">
                  <c:v>98836.3</c:v>
                </c:pt>
                <c:pt idx="3">
                  <c:v>97840.3</c:v>
                </c:pt>
                <c:pt idx="4">
                  <c:v>97149.8</c:v>
                </c:pt>
                <c:pt idx="5">
                  <c:v>96487.3</c:v>
                </c:pt>
                <c:pt idx="6">
                  <c:v>95942.200000000012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684976"/>
        <c:axId val="357688896"/>
      </c:lineChart>
      <c:catAx>
        <c:axId val="3576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8896"/>
        <c:crosses val="autoZero"/>
        <c:auto val="1"/>
        <c:lblAlgn val="ctr"/>
        <c:lblOffset val="100"/>
        <c:noMultiLvlLbl val="0"/>
      </c:catAx>
      <c:valAx>
        <c:axId val="35768889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5768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 val="11"/>
</file>

<file path=xl/ctrlProps/ctrlProp2.xml><?xml version="1.0" encoding="utf-8"?>
<formControlPr xmlns="http://schemas.microsoft.com/office/spreadsheetml/2009/9/main" objectType="Scroll" dx="22" fmlaLink="$V$3" horiz="1" max="5" page="10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18</xdr:row>
          <xdr:rowOff>165100</xdr:rowOff>
        </xdr:from>
        <xdr:to>
          <xdr:col>8</xdr:col>
          <xdr:colOff>114300</xdr:colOff>
          <xdr:row>29</xdr:row>
          <xdr:rowOff>177800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F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184150</xdr:colOff>
          <xdr:row>13</xdr:row>
          <xdr:rowOff>57150</xdr:rowOff>
        </xdr:from>
        <xdr:to>
          <xdr:col>20</xdr:col>
          <xdr:colOff>203200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F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ransaction" displayName="tbl_transaction" ref="A4:S58" totalsRowCount="1">
  <autoFilter ref="A4:S57" xr:uid="{00000000-0009-0000-0100-000003000000}"/>
  <tableColumns count="19">
    <tableColumn id="1" xr3:uid="{00000000-0010-0000-0000-000001000000}" name="Symbol" totalsRowLabel="Total"/>
    <tableColumn id="2" xr3:uid="{00000000-0010-0000-0000-000002000000}" name="Order Date" totalsRowFunction="count"/>
    <tableColumn id="3" xr3:uid="{00000000-0010-0000-0000-000003000000}" name="Transaction Date"/>
    <tableColumn id="4" xr3:uid="{00000000-0010-0000-0000-000004000000}" name="Transactions"/>
    <tableColumn id="5" xr3:uid="{00000000-0010-0000-0000-000005000000}" name="Cancel Reason"/>
    <tableColumn id="6" xr3:uid="{00000000-0010-0000-0000-000006000000}" name="Amount" dataDxfId="156"/>
    <tableColumn id="7" xr3:uid="{00000000-0010-0000-0000-000007000000}" name="Execution_Price" dataDxfId="155"/>
    <tableColumn id="8" xr3:uid="{00000000-0010-0000-0000-000008000000}" name="Month_order" dataDxfId="154">
      <calculatedColumnFormula>VALUE(LEFT(tbl_transaction[[#This Row],[Order Date]],FIND("/",tbl_transaction[[#This Row],[Order Date]])-1))</calculatedColumnFormula>
    </tableColumn>
    <tableColumn id="9" xr3:uid="{00000000-0010-0000-0000-000009000000}" name="Date_order" dataDxfId="153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xr3:uid="{00000000-0010-0000-0000-00000A000000}" name="Year_order" dataDxfId="152">
      <calculatedColumnFormula>MID(tbl_transaction[[#This Row],[Order Date]], FIND("/",tbl_transaction[[#This Row],[Order Date]], FIND("/", tbl_transaction[[#This Row],[Order Date]])+1)+1, 2)</calculatedColumnFormula>
    </tableColumn>
    <tableColumn id="11" xr3:uid="{00000000-0010-0000-0000-00000B000000}" name="Month_Transact" dataDxfId="151">
      <calculatedColumnFormula>VALUE(LEFT(tbl_transaction[[#This Row],[Transaction Date]],FIND("/",tbl_transaction[[#This Row],[Transaction Date]])-1))</calculatedColumnFormula>
    </tableColumn>
    <tableColumn id="12" xr3:uid="{00000000-0010-0000-0000-00000C000000}" name="Date_Transact" dataDxfId="150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xr3:uid="{00000000-0010-0000-0000-00000D000000}" name="Year_Transact" dataDxfId="149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xr3:uid="{00000000-0010-0000-0000-00000E000000}" name="Order_Date" dataDxfId="148">
      <calculatedColumnFormula>DATE(tbl_transaction[[#This Row],[Year_order]]+2000, tbl_transaction[[#This Row],[Month_order]], tbl_transaction[[#This Row],[Date_order]])</calculatedColumnFormula>
    </tableColumn>
    <tableColumn id="15" xr3:uid="{00000000-0010-0000-0000-00000F000000}" name="Transaction_Date" dataDxfId="147">
      <calculatedColumnFormula>DATE(tbl_transaction[[#This Row],[Year_Transact]]+2000,tbl_transaction[[#This Row],[Month_Transact]],tbl_transaction[[#This Row],[Date_Transact]])</calculatedColumnFormula>
    </tableColumn>
    <tableColumn id="16" xr3:uid="{00000000-0010-0000-0000-000010000000}" name="Net_Cash_Change" totalsRowFunction="sum" dataDxfId="146" totalsRowDxfId="142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xr3:uid="{00000000-0010-0000-0000-000011000000}" name="Net_Stock_Change" dataDxfId="145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xr3:uid="{00000000-0010-0000-0000-000012000000}" name="Net_Debt_Change" dataDxfId="144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xr3:uid="{00000000-0010-0000-0000-000013000000}" name="Stock Holding Change" totalsRowFunction="sum" dataDxfId="143" totalsRowDxfId="141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_IBM" displayName="tbl_IBM" ref="A4:S45" totalsRowCount="1">
  <autoFilter ref="A4:S44" xr:uid="{00000000-0009-0000-0100-00000C000000}"/>
  <tableColumns count="19">
    <tableColumn id="1" xr3:uid="{00000000-0010-0000-0900-000001000000}" name="Date" totalsRowLabel="Total" dataDxfId="80"/>
    <tableColumn id="2" xr3:uid="{00000000-0010-0000-0900-000002000000}" name="Open" dataDxfId="79"/>
    <tableColumn id="3" xr3:uid="{00000000-0010-0000-0900-000003000000}" name="High" dataDxfId="78"/>
    <tableColumn id="4" xr3:uid="{00000000-0010-0000-0900-000004000000}" name="Low" dataDxfId="77"/>
    <tableColumn id="5" xr3:uid="{00000000-0010-0000-0900-000005000000}" name="Close" dataDxfId="76"/>
    <tableColumn id="6" xr3:uid="{00000000-0010-0000-0900-000006000000}" name="Adj Close" dataDxfId="75"/>
    <tableColumn id="7" xr3:uid="{00000000-0010-0000-0900-000007000000}" name="Volume"/>
    <tableColumn id="8" xr3:uid="{00000000-0010-0000-0900-000008000000}" name="EMA" dataDxfId="74">
      <calculatedColumnFormula>IF(tbl_IBM[[#This Row],[Date]]=$A$5, $F5, EMA_Beta*$H4 + (1-EMA_Beta)*$F5)</calculatedColumnFormula>
    </tableColumn>
    <tableColumn id="9" xr3:uid="{00000000-0010-0000-0900-000009000000}" name="RSI" dataDxfId="73">
      <calculatedColumnFormula>IF(tbl_IBM[[#This Row],[RS]]= "", "", 100-(100/(1+tbl_IBM[[#This Row],[RS]])))</calculatedColumnFormula>
    </tableColumn>
    <tableColumn id="10" xr3:uid="{00000000-0010-0000-0900-00000A000000}" name="BB_Mean" dataDxfId="72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900-00000B000000}" name="BB_Upper" dataDxfId="71">
      <calculatedColumnFormula>IF(tbl_IBM[[#This Row],[BB_Mean]]="", "", tbl_IBM[[#This Row],[BB_Mean]]+(BB_Width*tbl_IBM[[#This Row],[BB_Stdev]]))</calculatedColumnFormula>
    </tableColumn>
    <tableColumn id="12" xr3:uid="{00000000-0010-0000-0900-00000C000000}" name="BB_Lower" dataDxfId="70">
      <calculatedColumnFormula>IF(tbl_IBM[[#This Row],[BB_Mean]]="", "", tbl_IBM[[#This Row],[BB_Mean]]-(BB_Width*tbl_IBM[[#This Row],[BB_Stdev]]))</calculatedColumnFormula>
    </tableColumn>
    <tableColumn id="13" xr3:uid="{00000000-0010-0000-0900-00000D000000}" name="Move" dataDxfId="69">
      <calculatedColumnFormula>IF(ROW(tbl_IBM[[#This Row],[Adj Close]])=5, 0, $F5-$F4)</calculatedColumnFormula>
    </tableColumn>
    <tableColumn id="14" xr3:uid="{00000000-0010-0000-0900-00000E000000}" name="Upmove" dataDxfId="68">
      <calculatedColumnFormula>MAX(tbl_IBM[[#This Row],[Move]],0)</calculatedColumnFormula>
    </tableColumn>
    <tableColumn id="15" xr3:uid="{00000000-0010-0000-0900-00000F000000}" name="Downmove" dataDxfId="67">
      <calculatedColumnFormula>MAX(-tbl_IBM[[#This Row],[Move]],0)</calculatedColumnFormula>
    </tableColumn>
    <tableColumn id="16" xr3:uid="{00000000-0010-0000-0900-000010000000}" name="Avg_Upmove" dataDxfId="6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900-000011000000}" name="Avg_Downmove" dataDxfId="6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900-000012000000}" name="RS" dataDxfId="64">
      <calculatedColumnFormula>IF(tbl_IBM[[#This Row],[Avg_Upmove]]="", "", tbl_IBM[[#This Row],[Avg_Upmove]]/tbl_IBM[[#This Row],[Avg_Downmove]])</calculatedColumnFormula>
    </tableColumn>
    <tableColumn id="19" xr3:uid="{00000000-0010-0000-0900-000013000000}" name="BB_Stdev" totalsRowFunction="count" dataDxfId="63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bl_ORCL" displayName="tbl_ORCL" ref="A4:S45" totalsRowCount="1">
  <autoFilter ref="A4:S44" xr:uid="{00000000-0009-0000-0100-00000D000000}"/>
  <tableColumns count="19">
    <tableColumn id="1" xr3:uid="{00000000-0010-0000-0A00-000001000000}" name="Date" totalsRowLabel="Total" dataDxfId="202"/>
    <tableColumn id="2" xr3:uid="{00000000-0010-0000-0A00-000002000000}" name="Open" totalsRowDxfId="62" dataCellStyle="Currency"/>
    <tableColumn id="3" xr3:uid="{00000000-0010-0000-0A00-000003000000}" name="High" totalsRowDxfId="61" dataCellStyle="Currency"/>
    <tableColumn id="4" xr3:uid="{00000000-0010-0000-0A00-000004000000}" name="Low" totalsRowDxfId="60" dataCellStyle="Currency"/>
    <tableColumn id="5" xr3:uid="{00000000-0010-0000-0A00-000005000000}" name="Close" totalsRowDxfId="59" dataCellStyle="Currency"/>
    <tableColumn id="6" xr3:uid="{00000000-0010-0000-0A00-000006000000}" name="Adj Close" totalsRowDxfId="58" dataCellStyle="Currency"/>
    <tableColumn id="7" xr3:uid="{00000000-0010-0000-0A00-000007000000}" name="Volume"/>
    <tableColumn id="8" xr3:uid="{00000000-0010-0000-0A00-000008000000}" name="EMA" dataDxfId="201" totalsRowDxfId="57" dataCellStyle="Currency">
      <calculatedColumnFormula>IF(tbl_ORCL[[#This Row],[Date]]=$A$5, $F5, EMA_Beta*$H4 + (1-EMA_Beta)*$F5)</calculatedColumnFormula>
    </tableColumn>
    <tableColumn id="9" xr3:uid="{00000000-0010-0000-0A00-000009000000}" name="RSI" dataDxfId="200" totalsRowDxfId="56" dataCellStyle="Currency">
      <calculatedColumnFormula>IF(tbl_ORCL[[#This Row],[RS]]= "", "", 100-(100/(1+tbl_ORCL[[#This Row],[RS]])))</calculatedColumnFormula>
    </tableColumn>
    <tableColumn id="10" xr3:uid="{00000000-0010-0000-0A00-00000A000000}" name="BB_Mean" dataDxfId="199" totalsRowDxfId="5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A00-00000B000000}" name="BB_Upper" dataDxfId="198" totalsRowDxfId="54" dataCellStyle="Currency">
      <calculatedColumnFormula>IF(tbl_ORCL[[#This Row],[BB_Mean]]="", "", tbl_ORCL[[#This Row],[BB_Mean]]+(BB_Width*tbl_ORCL[[#This Row],[BB_Stdev]]))</calculatedColumnFormula>
    </tableColumn>
    <tableColumn id="12" xr3:uid="{00000000-0010-0000-0A00-00000C000000}" name="BB_Lower" dataDxfId="197" totalsRowDxfId="53" dataCellStyle="Currency">
      <calculatedColumnFormula>IF(tbl_ORCL[[#This Row],[BB_Mean]]="", "", tbl_ORCL[[#This Row],[BB_Mean]]-(BB_Width*tbl_ORCL[[#This Row],[BB_Stdev]]))</calculatedColumnFormula>
    </tableColumn>
    <tableColumn id="13" xr3:uid="{00000000-0010-0000-0A00-00000D000000}" name="Move" dataDxfId="196" totalsRowDxfId="52" dataCellStyle="Currency">
      <calculatedColumnFormula>IF(ROW(tbl_ORCL[[#This Row],[Adj Close]])=5, 0, $F5-$F4)</calculatedColumnFormula>
    </tableColumn>
    <tableColumn id="14" xr3:uid="{00000000-0010-0000-0A00-00000E000000}" name="Upmove" dataDxfId="195" totalsRowDxfId="51" dataCellStyle="Currency">
      <calculatedColumnFormula>MAX(tbl_ORCL[[#This Row],[Move]],0)</calculatedColumnFormula>
    </tableColumn>
    <tableColumn id="15" xr3:uid="{00000000-0010-0000-0A00-00000F000000}" name="Downmove" dataDxfId="194" totalsRowDxfId="50" dataCellStyle="Currency">
      <calculatedColumnFormula>MAX(-tbl_ORCL[[#This Row],[Move]],0)</calculatedColumnFormula>
    </tableColumn>
    <tableColumn id="16" xr3:uid="{00000000-0010-0000-0A00-000010000000}" name="Avg_Upmove" dataDxfId="193" totalsRowDxfId="49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A00-000011000000}" name="Avg_Downmove" dataDxfId="192" totalsRowDxfId="48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A00-000012000000}" name="RS" dataDxfId="191" totalsRowDxfId="47" dataCellStyle="Currency">
      <calculatedColumnFormula>IF(tbl_ORCL[[#This Row],[Avg_Upmove]]="", "", tbl_ORCL[[#This Row],[Avg_Upmove]]/tbl_ORCL[[#This Row],[Avg_Downmove]])</calculatedColumnFormula>
    </tableColumn>
    <tableColumn id="19" xr3:uid="{00000000-0010-0000-0A00-000013000000}" name="BB_Stdev" totalsRowFunction="count" dataDxfId="190" totalsRowDxfId="46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bl_AKRO" displayName="tbl_AKRO" ref="A4:S45" totalsRowCount="1">
  <autoFilter ref="A4:S44" xr:uid="{00000000-0009-0000-0100-00000E000000}"/>
  <tableColumns count="19">
    <tableColumn id="1" xr3:uid="{00000000-0010-0000-0B00-000001000000}" name="Date" totalsRowLabel="Total" dataDxfId="189"/>
    <tableColumn id="2" xr3:uid="{00000000-0010-0000-0B00-000002000000}" name="Open" totalsRowDxfId="45" dataCellStyle="Currency"/>
    <tableColumn id="3" xr3:uid="{00000000-0010-0000-0B00-000003000000}" name="High" totalsRowDxfId="44" dataCellStyle="Currency"/>
    <tableColumn id="4" xr3:uid="{00000000-0010-0000-0B00-000004000000}" name="Low" totalsRowDxfId="43" dataCellStyle="Currency"/>
    <tableColumn id="5" xr3:uid="{00000000-0010-0000-0B00-000005000000}" name="Close" totalsRowDxfId="42" dataCellStyle="Currency"/>
    <tableColumn id="6" xr3:uid="{00000000-0010-0000-0B00-000006000000}" name="Adj Close" totalsRowDxfId="41" dataCellStyle="Currency"/>
    <tableColumn id="7" xr3:uid="{00000000-0010-0000-0B00-000007000000}" name="Volume"/>
    <tableColumn id="8" xr3:uid="{00000000-0010-0000-0B00-000008000000}" name="EMA" totalsRowDxfId="40" dataCellStyle="Currency">
      <calculatedColumnFormula>IF(tbl_AKRO[[#This Row],[Date]]=$A$5, $F5, EMA_Beta*$H4 + (1-EMA_Beta)*$F5)</calculatedColumnFormula>
    </tableColumn>
    <tableColumn id="9" xr3:uid="{00000000-0010-0000-0B00-000009000000}" name="RSI" dataDxfId="188">
      <calculatedColumnFormula>IF(tbl_AKRO[[#This Row],[RS]]= "", "", 100-(100/(1+tbl_AKRO[[#This Row],[RS]])))</calculatedColumnFormula>
    </tableColumn>
    <tableColumn id="10" xr3:uid="{00000000-0010-0000-0B00-00000A000000}" name="BB_Mean" totalsRowDxfId="39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B00-00000B000000}" name="BB_Upper" dataDxfId="187" totalsRowDxfId="38" dataCellStyle="Currency">
      <calculatedColumnFormula>IF(tbl_AKRO[[#This Row],[BB_Mean]]="", "", tbl_AKRO[[#This Row],[BB_Mean]]+(BB_Width*tbl_AKRO[[#This Row],[BB_Stdev]]))</calculatedColumnFormula>
    </tableColumn>
    <tableColumn id="12" xr3:uid="{00000000-0010-0000-0B00-00000C000000}" name="BB_Lower" dataDxfId="186" totalsRowDxfId="37" dataCellStyle="Currency">
      <calculatedColumnFormula>IF(tbl_AKRO[[#This Row],[BB_Mean]]="", "", tbl_AKRO[[#This Row],[BB_Mean]]-(BB_Width*tbl_AKRO[[#This Row],[BB_Stdev]]))</calculatedColumnFormula>
    </tableColumn>
    <tableColumn id="13" xr3:uid="{00000000-0010-0000-0B00-00000D000000}" name="Move" dataDxfId="185">
      <calculatedColumnFormula>IF(ROW(tbl_AKRO[[#This Row],[Adj Close]])=5, 0, $F5-$F4)</calculatedColumnFormula>
    </tableColumn>
    <tableColumn id="14" xr3:uid="{00000000-0010-0000-0B00-00000E000000}" name="Upmove" dataDxfId="184">
      <calculatedColumnFormula>MAX(tbl_AKRO[[#This Row],[Move]],0)</calculatedColumnFormula>
    </tableColumn>
    <tableColumn id="15" xr3:uid="{00000000-0010-0000-0B00-00000F000000}" name="Downmove" dataDxfId="183">
      <calculatedColumnFormula>MAX(-tbl_AKRO[[#This Row],[Move]],0)</calculatedColumnFormula>
    </tableColumn>
    <tableColumn id="16" xr3:uid="{00000000-0010-0000-0B00-000010000000}" name="Avg_Upmove" dataDxfId="18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B00-000011000000}" name="Avg_Downmove" dataDxfId="18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B00-000012000000}" name="RS" dataDxfId="180">
      <calculatedColumnFormula>IF(tbl_AKRO[[#This Row],[Avg_Upmove]]="", "", tbl_AKRO[[#This Row],[Avg_Upmove]]/tbl_AKRO[[#This Row],[Avg_Downmove]])</calculatedColumnFormula>
    </tableColumn>
    <tableColumn id="19" xr3:uid="{00000000-0010-0000-0B00-000013000000}" name="BB_Stdev" totalsRowFunction="count" totalsRowDxfId="36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bl_FDX" displayName="tbl_FDX" ref="A4:S45" totalsRowCount="1">
  <autoFilter ref="A4:S44" xr:uid="{00000000-0009-0000-0100-000010000000}"/>
  <tableColumns count="19">
    <tableColumn id="1" xr3:uid="{00000000-0010-0000-0C00-000001000000}" name="Date" totalsRowLabel="Total" dataDxfId="35"/>
    <tableColumn id="2" xr3:uid="{00000000-0010-0000-0C00-000002000000}" name="Open" totalsRowDxfId="26" dataCellStyle="Currency"/>
    <tableColumn id="3" xr3:uid="{00000000-0010-0000-0C00-000003000000}" name="High" totalsRowDxfId="25" dataCellStyle="Currency"/>
    <tableColumn id="4" xr3:uid="{00000000-0010-0000-0C00-000004000000}" name="Low" totalsRowDxfId="24" dataCellStyle="Currency"/>
    <tableColumn id="5" xr3:uid="{00000000-0010-0000-0C00-000005000000}" name="Close" totalsRowDxfId="23" dataCellStyle="Currency"/>
    <tableColumn id="6" xr3:uid="{00000000-0010-0000-0C00-000006000000}" name="Adj Close" totalsRowDxfId="22" dataCellStyle="Currency"/>
    <tableColumn id="7" xr3:uid="{00000000-0010-0000-0C00-000007000000}" name="Volume"/>
    <tableColumn id="8" xr3:uid="{00000000-0010-0000-0C00-000008000000}" name="EMA" totalsRowDxfId="21" dataCellStyle="Currency">
      <calculatedColumnFormula>IF(tbl_FDX[[#This Row],[Date]]=$A$5, $F5, EMA_Beta*$H4 + (1-EMA_Beta)*$F5)</calculatedColumnFormula>
    </tableColumn>
    <tableColumn id="9" xr3:uid="{00000000-0010-0000-0C00-000009000000}" name="RSI" dataDxfId="34">
      <calculatedColumnFormula>IF(tbl_FDX[[#This Row],[RS]]= "", "", 100-(100/(1+tbl_FDX[[#This Row],[RS]])))</calculatedColumnFormula>
    </tableColumn>
    <tableColumn id="10" xr3:uid="{00000000-0010-0000-0C00-00000A000000}" name="BB_Mean" totalsRowDxfId="2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C00-00000B000000}" name="BB_Upper" totalsRowDxfId="19" dataCellStyle="Currency">
      <calculatedColumnFormula>IF(tbl_FDX[[#This Row],[BB_Mean]]="", "", tbl_FDX[[#This Row],[BB_Mean]]+(BB_Width*tbl_FDX[[#This Row],[BB_Stdev]]))</calculatedColumnFormula>
    </tableColumn>
    <tableColumn id="12" xr3:uid="{00000000-0010-0000-0C00-00000C000000}" name="BB_Lower" dataDxfId="33" totalsRowDxfId="18" dataCellStyle="Currency">
      <calculatedColumnFormula>IF(tbl_FDX[[#This Row],[BB_Mean]]="", "", tbl_FDX[[#This Row],[BB_Mean]]-(BB_Width*tbl_FDX[[#This Row],[BB_Stdev]]))</calculatedColumnFormula>
    </tableColumn>
    <tableColumn id="13" xr3:uid="{00000000-0010-0000-0C00-00000D000000}" name="Move" dataDxfId="32">
      <calculatedColumnFormula>IF(ROW(tbl_FDX[[#This Row],[Adj Close]])=5, 0, $F5-$F4)</calculatedColumnFormula>
    </tableColumn>
    <tableColumn id="14" xr3:uid="{00000000-0010-0000-0C00-00000E000000}" name="Upmove" dataDxfId="31">
      <calculatedColumnFormula>MAX(tbl_FDX[[#This Row],[Move]],0)</calculatedColumnFormula>
    </tableColumn>
    <tableColumn id="15" xr3:uid="{00000000-0010-0000-0C00-00000F000000}" name="Downmove" dataDxfId="30">
      <calculatedColumnFormula>MAX(-tbl_FDX[[#This Row],[Move]],0)</calculatedColumnFormula>
    </tableColumn>
    <tableColumn id="16" xr3:uid="{00000000-0010-0000-0C00-000010000000}" name="Avg_Upmove" dataDxfId="2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C00-000011000000}" name="Avg_Downmove" dataDxfId="2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C00-000012000000}" name="RS" dataDxfId="27">
      <calculatedColumnFormula>IF(tbl_FDX[[#This Row],[Avg_Upmove]]="", "", tbl_FDX[[#This Row],[Avg_Upmove]]/tbl_FDX[[#This Row],[Avg_Downmove]])</calculatedColumnFormula>
    </tableColumn>
    <tableColumn id="19" xr3:uid="{00000000-0010-0000-0C00-000013000000}" name="BB_Stdev" totalsRowFunction="count" totalsRowDxfId="1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bl_NKLA" displayName="tbl_NKLA" ref="A4:S45" totalsRowCount="1">
  <autoFilter ref="A4:S44" xr:uid="{00000000-0009-0000-0100-000011000000}"/>
  <tableColumns count="19">
    <tableColumn id="1" xr3:uid="{00000000-0010-0000-0D00-000001000000}" name="Date" totalsRowLabel="Total" dataDxfId="179"/>
    <tableColumn id="2" xr3:uid="{00000000-0010-0000-0D00-000002000000}" name="Open"/>
    <tableColumn id="3" xr3:uid="{00000000-0010-0000-0D00-000003000000}" name="High"/>
    <tableColumn id="4" xr3:uid="{00000000-0010-0000-0D00-000004000000}" name="Low"/>
    <tableColumn id="5" xr3:uid="{00000000-0010-0000-0D00-000005000000}" name="Close"/>
    <tableColumn id="6" xr3:uid="{00000000-0010-0000-0D00-000006000000}" name="Adj Close"/>
    <tableColumn id="7" xr3:uid="{00000000-0010-0000-0D00-000007000000}" name="Volume"/>
    <tableColumn id="8" xr3:uid="{00000000-0010-0000-0D00-000008000000}" name="EMA" totalsRowDxfId="4" dataCellStyle="Currency">
      <calculatedColumnFormula>IF(tbl_NKLA[[#This Row],[Date]]=$A$5, $F5, EMA_Beta*$H4 + (1-EMA_Beta)*$F5)</calculatedColumnFormula>
    </tableColumn>
    <tableColumn id="9" xr3:uid="{00000000-0010-0000-0D00-000009000000}" name="RSI" dataDxfId="178">
      <calculatedColumnFormula>IF(tbl_NKLA[[#This Row],[RS]]= "", "", 100-(100/(1+tbl_NKLA[[#This Row],[RS]])))</calculatedColumnFormula>
    </tableColumn>
    <tableColumn id="10" xr3:uid="{00000000-0010-0000-0D00-00000A000000}" name="BB_Mean" totalsRowDxfId="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D00-00000B000000}" name="BB_Upper" totalsRowDxfId="2" dataCellStyle="Currency">
      <calculatedColumnFormula>IF(tbl_NKLA[[#This Row],[BB_Mean]]="", "", tbl_NKLA[[#This Row],[BB_Mean]]+(BB_Width*tbl_NKLA[[#This Row],[BB_Stdev]]))</calculatedColumnFormula>
    </tableColumn>
    <tableColumn id="12" xr3:uid="{00000000-0010-0000-0D00-00000C000000}" name="BB_Lower" totalsRowDxfId="1" dataCellStyle="Currency">
      <calculatedColumnFormula>IF(tbl_NKLA[[#This Row],[BB_Mean]]="", "", tbl_NKLA[[#This Row],[BB_Mean]]-(BB_Width*tbl_NKLA[[#This Row],[BB_Stdev]]))</calculatedColumnFormula>
    </tableColumn>
    <tableColumn id="13" xr3:uid="{00000000-0010-0000-0D00-00000D000000}" name="Move" dataDxfId="177">
      <calculatedColumnFormula>IF(ROW(tbl_NKLA[[#This Row],[Adj Close]])=5, 0, $F5-$F4)</calculatedColumnFormula>
    </tableColumn>
    <tableColumn id="14" xr3:uid="{00000000-0010-0000-0D00-00000E000000}" name="Upmove" dataDxfId="176">
      <calculatedColumnFormula>MAX(tbl_NKLA[[#This Row],[Move]],0)</calculatedColumnFormula>
    </tableColumn>
    <tableColumn id="15" xr3:uid="{00000000-0010-0000-0D00-00000F000000}" name="Downmove" dataDxfId="175">
      <calculatedColumnFormula>MAX(-tbl_NKLA[[#This Row],[Move]],0)</calculatedColumnFormula>
    </tableColumn>
    <tableColumn id="16" xr3:uid="{00000000-0010-0000-0D00-000010000000}" name="Avg_Upmove" dataDxfId="17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D00-000011000000}" name="Avg_Downmove" dataDxfId="17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D00-000012000000}" name="RS" dataDxfId="172">
      <calculatedColumnFormula>IF(tbl_NKLA[[#This Row],[Avg_Upmove]]="", "", tbl_NKLA[[#This Row],[Avg_Upmove]]/tbl_NKLA[[#This Row],[Avg_Downmove]])</calculatedColumnFormula>
    </tableColumn>
    <tableColumn id="19" xr3:uid="{00000000-0010-0000-0D00-000013000000}" name="BB_Stdev" totalsRowFunction="count" totalsRowDxfId="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bl_SPXS" displayName="tbl_SPXS" ref="A4:S45" totalsRowCount="1">
  <autoFilter ref="A4:S44" xr:uid="{00000000-0009-0000-0100-000012000000}"/>
  <tableColumns count="19">
    <tableColumn id="1" xr3:uid="{00000000-0010-0000-0E00-000001000000}" name="Date" totalsRowLabel="Total" dataDxfId="171"/>
    <tableColumn id="2" xr3:uid="{00000000-0010-0000-0E00-000002000000}" name="Open" totalsRowDxfId="16" dataCellStyle="Currency"/>
    <tableColumn id="3" xr3:uid="{00000000-0010-0000-0E00-000003000000}" name="High" totalsRowDxfId="15" dataCellStyle="Currency"/>
    <tableColumn id="4" xr3:uid="{00000000-0010-0000-0E00-000004000000}" name="Low" totalsRowDxfId="14" dataCellStyle="Currency"/>
    <tableColumn id="5" xr3:uid="{00000000-0010-0000-0E00-000005000000}" name="Close" totalsRowDxfId="13" dataCellStyle="Currency"/>
    <tableColumn id="6" xr3:uid="{00000000-0010-0000-0E00-000006000000}" name="Adj Close" totalsRowDxfId="12" dataCellStyle="Currency"/>
    <tableColumn id="7" xr3:uid="{00000000-0010-0000-0E00-000007000000}" name="Volume"/>
    <tableColumn id="8" xr3:uid="{00000000-0010-0000-0E00-000008000000}" name="EMA" totalsRowDxfId="11" dataCellStyle="Currency">
      <calculatedColumnFormula>IF(tbl_SPXS[[#This Row],[Date]]=$A$5, $F5, EMA_Beta*$H4 + (1-EMA_Beta)*$F5)</calculatedColumnFormula>
    </tableColumn>
    <tableColumn id="9" xr3:uid="{00000000-0010-0000-0E00-000009000000}" name="RSI" dataDxfId="170">
      <calculatedColumnFormula>IF(tbl_SPXS[[#This Row],[RS]]= "", "", 100-(100/(1+tbl_SPXS[[#This Row],[RS]])))</calculatedColumnFormula>
    </tableColumn>
    <tableColumn id="10" xr3:uid="{00000000-0010-0000-0E00-00000A000000}" name="BB_Mean" totalsRowDxfId="1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E00-00000B000000}" name="BB_Upper" totalsRowDxfId="9" dataCellStyle="Currency">
      <calculatedColumnFormula>IF(tbl_SPXS[[#This Row],[BB_Mean]]="", "", tbl_SPXS[[#This Row],[BB_Mean]]+(BB_Width*tbl_SPXS[[#This Row],[BB_Stdev]]))</calculatedColumnFormula>
    </tableColumn>
    <tableColumn id="12" xr3:uid="{00000000-0010-0000-0E00-00000C000000}" name="BB_Lower" totalsRowDxfId="8" dataCellStyle="Currency">
      <calculatedColumnFormula>IF(tbl_SPXS[[#This Row],[BB_Mean]]="", "", tbl_SPXS[[#This Row],[BB_Mean]]-(BB_Width*tbl_SPXS[[#This Row],[BB_Stdev]]))</calculatedColumnFormula>
    </tableColumn>
    <tableColumn id="13" xr3:uid="{00000000-0010-0000-0E00-00000D000000}" name="Move" dataDxfId="169">
      <calculatedColumnFormula>IF(ROW(tbl_SPXS[[#This Row],[Adj Close]])=5, 0, $F5-$F4)</calculatedColumnFormula>
    </tableColumn>
    <tableColumn id="14" xr3:uid="{00000000-0010-0000-0E00-00000E000000}" name="Upmove" dataDxfId="168">
      <calculatedColumnFormula>MAX(tbl_SPXS[[#This Row],[Move]],0)</calculatedColumnFormula>
    </tableColumn>
    <tableColumn id="15" xr3:uid="{00000000-0010-0000-0E00-00000F000000}" name="Downmove" dataDxfId="167">
      <calculatedColumnFormula>MAX(-tbl_SPXS[[#This Row],[Move]],0)</calculatedColumnFormula>
    </tableColumn>
    <tableColumn id="16" xr3:uid="{00000000-0010-0000-0E00-000010000000}" name="Avg_Upmove" dataDxfId="16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E00-000011000000}" name="Avg_Downmove" dataDxfId="16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E00-000012000000}" name="RS" dataDxfId="164">
      <calculatedColumnFormula>IF(tbl_SPXS[[#This Row],[Avg_Upmove]]="", "", tbl_SPXS[[#This Row],[Avg_Upmove]]/tbl_SPXS[[#This Row],[Avg_Downmove]])</calculatedColumnFormula>
    </tableColumn>
    <tableColumn id="19" xr3:uid="{00000000-0010-0000-0E00-000013000000}" name="BB_Stdev" totalsRowFunction="count" totalsRowDxfId="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bl_holdings" displayName="tbl_holdings" ref="B4:F15" totalsRowCount="1">
  <autoFilter ref="B4:F14" xr:uid="{00000000-0009-0000-0100-00000B000000}"/>
  <tableColumns count="5">
    <tableColumn id="1" xr3:uid="{00000000-0010-0000-0F00-000001000000}" name="Index" totalsRowLabel="Total"/>
    <tableColumn id="2" xr3:uid="{00000000-0010-0000-0F00-000002000000}" name="Stock">
      <calculatedColumnFormula>INDEX(Symbol,B5)</calculatedColumnFormula>
    </tableColumn>
    <tableColumn id="3" xr3:uid="{00000000-0010-0000-0F00-000003000000}" name="Current Price">
      <calculatedColumnFormula>INDEX(INDIRECT("tbl_"&amp;C5),COUNT(INDIRECT("tbl_"&amp;C5&amp;"[Date]")), MATCH("Adj close", Price_Header,0))</calculatedColumnFormula>
    </tableColumn>
    <tableColumn id="4" xr3:uid="{00000000-0010-0000-0F00-000004000000}" name="# Holdings">
      <calculatedColumnFormula>INDEX(tbl_position[], COUNT(tbl_position[Date]), MATCH("Shares_"&amp;C5, pos_header,0))</calculatedColumnFormula>
    </tableColumn>
    <tableColumn id="5" xr3:uid="{00000000-0010-0000-0F00-000005000000}" name="Total" totalsRowFunction="sum" dataDxfId="163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bl_transsummary" displayName="tbl_transsummary" ref="J4:P10" totalsRowShown="0">
  <autoFilter ref="J4:P10" xr:uid="{00000000-0009-0000-0100-00000F000000}"/>
  <tableColumns count="7">
    <tableColumn id="1" xr3:uid="{00000000-0010-0000-1000-000001000000}" name="Index"/>
    <tableColumn id="2" xr3:uid="{00000000-0010-0000-1000-000002000000}" name="Start" dataDxfId="162">
      <calculatedColumnFormula>K4+7</calculatedColumnFormula>
    </tableColumn>
    <tableColumn id="3" xr3:uid="{00000000-0010-0000-1000-000003000000}" name="End" dataDxfId="161">
      <calculatedColumnFormula>L4+7</calculatedColumnFormula>
    </tableColumn>
    <tableColumn id="4" xr3:uid="{00000000-0010-0000-1000-000004000000}" name="BUY" dataDxfId="160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xr3:uid="{00000000-0010-0000-1000-000005000000}" name="SELL" dataDxfId="159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xr3:uid="{00000000-0010-0000-1000-000006000000}" name="SHORT" dataDxfId="158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xr3:uid="{00000000-0010-0000-1000-000007000000}" name="COVER" dataDxfId="157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ymbol" displayName="tbl_symbol" ref="A3:A13" totalsRowShown="0" headerRowDxfId="254">
  <autoFilter ref="A3:A13" xr:uid="{00000000-0009-0000-0100-000001000000}"/>
  <tableColumns count="1">
    <tableColumn id="1" xr3:uid="{00000000-0010-0000-0100-000001000000}" name="Symbo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transtype" displayName="tbl_transtype" ref="C3:C7" totalsRowShown="0" headerRowDxfId="253">
  <autoFilter ref="C3:C7" xr:uid="{00000000-0009-0000-0100-000002000000}"/>
  <tableColumns count="1">
    <tableColumn id="1" xr3:uid="{00000000-0010-0000-0200-000001000000}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bl_Metrics" displayName="tbl_Metrics" ref="E3:E6" totalsRowShown="0" headerRowDxfId="252">
  <autoFilter ref="E3:E6" xr:uid="{00000000-0009-0000-0100-000007000000}"/>
  <tableColumns count="1">
    <tableColumn id="1" xr3:uid="{00000000-0010-0000-0300-000001000000}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position" displayName="tbl_position" ref="A4:Y23" totalsRowCount="1">
  <autoFilter ref="A4:Y22" xr:uid="{00000000-0009-0000-0100-000004000000}"/>
  <tableColumns count="25">
    <tableColumn id="1" xr3:uid="{00000000-0010-0000-0400-000001000000}" name="Date" totalsRowLabel="Total" dataDxfId="140"/>
    <tableColumn id="2" xr3:uid="{00000000-0010-0000-0400-000002000000}" name="Price_AAPL" dataCellStyle="Currency">
      <calculatedColumnFormula>VLOOKUP(tbl_position[[#This Row],[Date]], tbl_AAPL[], 5, 0)</calculatedColumnFormula>
    </tableColumn>
    <tableColumn id="3" xr3:uid="{00000000-0010-0000-0400-000003000000}" name="Price_RIOT" dataDxfId="139" dataCellStyle="Currency">
      <calculatedColumnFormula>VLOOKUP(tbl_position[[#This Row],[Date]], tbl_RIOT[], 5, 0)</calculatedColumnFormula>
    </tableColumn>
    <tableColumn id="4" xr3:uid="{00000000-0010-0000-0400-000004000000}" name="Price_HD" totalsRowDxfId="6" dataCellStyle="Currency">
      <calculatedColumnFormula>VLOOKUP(tbl_position[[#This Row],[Date]], tbl_HD[], 5, 0)</calculatedColumnFormula>
    </tableColumn>
    <tableColumn id="5" xr3:uid="{00000000-0010-0000-0400-000005000000}" name="Price_WMT" dataDxfId="138" dataCellStyle="Currency">
      <calculatedColumnFormula>VLOOKUP(tbl_position[[#This Row],[Date]], tbl_WMT[], 5, 0)</calculatedColumnFormula>
    </tableColumn>
    <tableColumn id="6" xr3:uid="{00000000-0010-0000-0400-000006000000}" name="Price_IBM" dataDxfId="137" dataCellStyle="Currency">
      <calculatedColumnFormula>VLOOKUP(tbl_position[[#This Row],[Date]], tbl_IBM[], 5, 0)</calculatedColumnFormula>
    </tableColumn>
    <tableColumn id="7" xr3:uid="{00000000-0010-0000-0400-000007000000}" name="Price_ORCL" dataDxfId="136" dataCellStyle="Currency">
      <calculatedColumnFormula>VLOOKUP(tbl_position[[#This Row],[Date]], tbl_ORCL[], 5, 0)</calculatedColumnFormula>
    </tableColumn>
    <tableColumn id="20" xr3:uid="{00000000-0010-0000-0400-000014000000}" name="Price_AKRO" dataDxfId="135" dataCellStyle="Currency">
      <calculatedColumnFormula>VLOOKUP(tbl_position[[#This Row],[Date]], tbl_AKRO[], 5, 0)</calculatedColumnFormula>
    </tableColumn>
    <tableColumn id="19" xr3:uid="{00000000-0010-0000-0400-000013000000}" name="Price_FDX" dataDxfId="134" dataCellStyle="Currency">
      <calculatedColumnFormula>VLOOKUP(tbl_position[[#This Row],[Date]], tbl_FDX[], 5, 0)</calculatedColumnFormula>
    </tableColumn>
    <tableColumn id="21" xr3:uid="{00000000-0010-0000-0400-000015000000}" name="Price_NKLA" dataDxfId="133" dataCellStyle="Currency">
      <calculatedColumnFormula>VLOOKUP(tbl_position[[#This Row],[Date]], tbl_NKLA[], 5, 0)</calculatedColumnFormula>
    </tableColumn>
    <tableColumn id="22" xr3:uid="{00000000-0010-0000-0400-000016000000}" name="Price_SPXS" dataDxfId="132" dataCellStyle="Currency">
      <calculatedColumnFormula>VLOOKUP(tbl_position[[#This Row],[Date]], tbl_SPXS[], 5, 0)</calculatedColumnFormula>
    </tableColumn>
    <tableColumn id="8" xr3:uid="{00000000-0010-0000-0400-000008000000}" name="Shares_AAPL" dataDxfId="131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calculatedColumnFormula>
    </tableColumn>
    <tableColumn id="9" xr3:uid="{00000000-0010-0000-0400-000009000000}" name="Shares_RIOT" dataDxfId="130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calculatedColumnFormula>
    </tableColumn>
    <tableColumn id="10" xr3:uid="{00000000-0010-0000-0400-00000A000000}" name="Shares_HD" dataDxfId="129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calculatedColumnFormula>
    </tableColumn>
    <tableColumn id="11" xr3:uid="{00000000-0010-0000-0400-00000B000000}" name="Shares_WMT" dataDxfId="128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calculatedColumnFormula>
    </tableColumn>
    <tableColumn id="12" xr3:uid="{00000000-0010-0000-0400-00000C000000}" name="Shares_IBM" dataDxfId="127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calculatedColumnFormula>
    </tableColumn>
    <tableColumn id="13" xr3:uid="{00000000-0010-0000-0400-00000D000000}" name="Shares_ORCL" dataDxfId="126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calculatedColumnFormula>
    </tableColumn>
    <tableColumn id="26" xr3:uid="{00000000-0010-0000-0400-00001A000000}" name="Shares_AKRO" dataDxfId="125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calculatedColumnFormula>
    </tableColumn>
    <tableColumn id="25" xr3:uid="{00000000-0010-0000-0400-000019000000}" name="Shares_FDX" dataDxfId="124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calculatedColumnFormula>
    </tableColumn>
    <tableColumn id="24" xr3:uid="{00000000-0010-0000-0400-000018000000}" name="Shares_NKLA" dataDxfId="123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calculatedColumnFormula>
    </tableColumn>
    <tableColumn id="23" xr3:uid="{00000000-0010-0000-0400-000017000000}" name="Shares_SPXS" dataDxfId="122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calculatedColumnFormula>
    </tableColumn>
    <tableColumn id="14" xr3:uid="{00000000-0010-0000-0400-00000E000000}" name="Shares_Holding" dataCellStyle="Currency">
      <calculatedColumnFormula xml:space="preserve"> SUMPRODUCT(INDIRECT(ADDRESS(ROW(V5), 2)):INDIRECT(ADDRESS(ROW(V5), MATCH("Shares_AAPL", pos_header,0)-1)), INDIRECT(ADDRESS(ROW(V5), MATCH("Shares_AAPL", pos_header,0))): INDIRECT(ADDRESS(ROW(V5), MATCH("Shares_Holding", pos_header,0)-1)))</calculatedColumnFormula>
    </tableColumn>
    <tableColumn id="15" xr3:uid="{00000000-0010-0000-0400-00000F000000}" name="Cash_Holding" dataDxfId="121" totalsRowDxfId="5" dataCellStyle="Currency">
      <calculatedColumnFormula>SUMIFS(tbl_transaction[Net_Cash_Change], tbl_transaction[Transaction_Date],tbl_position[[#This Row],[Date]])+IF(tbl_position[[#This Row],[Date]]=$A$5, 100000, $W4)</calculatedColumnFormula>
    </tableColumn>
    <tableColumn id="16" xr3:uid="{00000000-0010-0000-0400-000010000000}" name="Liabilities_Holding" dataDxfId="120">
      <calculatedColumnFormula>SUMIFS(tbl_transaction[Net_Debt_Change], tbl_transaction[Transaction_Date],tbl_position[[#This Row],[Date]])+IF(tbl_position[[#This Row],[Date]]=$A$5, 0, $X4)</calculatedColumnFormula>
    </tableColumn>
    <tableColumn id="18" xr3:uid="{00000000-0010-0000-0400-000012000000}" name="Total_Net_Asset" dataDxfId="119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HD" displayName="tbl_HD" ref="A4:S45" totalsRowCount="1">
  <autoFilter ref="A4:S44" xr:uid="{00000000-0009-0000-0100-000005000000}"/>
  <tableColumns count="19">
    <tableColumn id="1" xr3:uid="{00000000-0010-0000-0500-000001000000}" name="Date" totalsRowLabel="Total" dataDxfId="118"/>
    <tableColumn id="2" xr3:uid="{00000000-0010-0000-0500-000002000000}" name="Open" dataDxfId="117"/>
    <tableColumn id="3" xr3:uid="{00000000-0010-0000-0500-000003000000}" name="High" dataDxfId="116"/>
    <tableColumn id="4" xr3:uid="{00000000-0010-0000-0500-000004000000}" name="Low" dataDxfId="115"/>
    <tableColumn id="5" xr3:uid="{00000000-0010-0000-0500-000005000000}" name="Close" dataDxfId="114"/>
    <tableColumn id="6" xr3:uid="{00000000-0010-0000-0500-000006000000}" name="Adj Close" dataDxfId="113"/>
    <tableColumn id="7" xr3:uid="{00000000-0010-0000-0500-000007000000}" name="Volume"/>
    <tableColumn id="8" xr3:uid="{00000000-0010-0000-0500-000008000000}" name="EMA" totalsRowDxfId="103" dataCellStyle="Currency">
      <calculatedColumnFormula>IF(tbl_HD[[#This Row],[Date]]=$A$5, $F5, EMA_Beta*$H4 + (1-EMA_Beta)*$F5)</calculatedColumnFormula>
    </tableColumn>
    <tableColumn id="9" xr3:uid="{00000000-0010-0000-0500-000009000000}" name="RSI" dataDxfId="112">
      <calculatedColumnFormula>IF(tbl_HD[[#This Row],[RS]]= "", "", 100-(100/(1+tbl_HD[[#This Row],[RS]])))</calculatedColumnFormula>
    </tableColumn>
    <tableColumn id="10" xr3:uid="{00000000-0010-0000-0500-00000A000000}" name="BB_Mean" totalsRowDxfId="10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500-00000B000000}" name="BB_Upper" dataDxfId="111" totalsRowDxfId="101" dataCellStyle="Currency">
      <calculatedColumnFormula>IF(tbl_HD[[#This Row],[BB_Mean]]="", "", tbl_HD[[#This Row],[BB_Mean]]+(BB_Width*tbl_HD[[#This Row],[BB_Stdev]]))</calculatedColumnFormula>
    </tableColumn>
    <tableColumn id="12" xr3:uid="{00000000-0010-0000-0500-00000C000000}" name="BB_Lower" dataDxfId="110" totalsRowDxfId="100" dataCellStyle="Currency">
      <calculatedColumnFormula>IF(tbl_HD[[#This Row],[BB_Mean]]="", "", tbl_HD[[#This Row],[BB_Mean]]-(BB_Width*tbl_HD[[#This Row],[BB_Stdev]]))</calculatedColumnFormula>
    </tableColumn>
    <tableColumn id="13" xr3:uid="{00000000-0010-0000-0500-00000D000000}" name="Move" dataDxfId="109">
      <calculatedColumnFormula>IF(ROW(tbl_HD[[#This Row],[Adj Close]])=5, 0, $F5-$F4)</calculatedColumnFormula>
    </tableColumn>
    <tableColumn id="14" xr3:uid="{00000000-0010-0000-0500-00000E000000}" name="Upmove" dataDxfId="108">
      <calculatedColumnFormula>MAX(tbl_HD[[#This Row],[Move]],0)</calculatedColumnFormula>
    </tableColumn>
    <tableColumn id="15" xr3:uid="{00000000-0010-0000-0500-00000F000000}" name="Downmove" dataDxfId="107">
      <calculatedColumnFormula>MAX(-tbl_HD[[#This Row],[Move]],0)</calculatedColumnFormula>
    </tableColumn>
    <tableColumn id="16" xr3:uid="{00000000-0010-0000-0500-000010000000}" name="Avg_Upmove" dataDxfId="10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500-000011000000}" name="Avg_Downmove" dataDxfId="10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500-000012000000}" name="RS" dataDxfId="104">
      <calculatedColumnFormula>IF(tbl_HD[[#This Row],[Avg_Upmove]]="", "", tbl_HD[[#This Row],[Avg_Upmove]]/tbl_HD[[#This Row],[Avg_Downmove]])</calculatedColumnFormula>
    </tableColumn>
    <tableColumn id="19" xr3:uid="{00000000-0010-0000-0500-000013000000}" name="BB_Stdev" totalsRowFunction="count" totalsRowDxfId="9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l_AAPL" displayName="tbl_AAPL" ref="A4:S45" totalsRowCount="1">
  <autoFilter ref="A4:S44" xr:uid="{00000000-0009-0000-0100-000006000000}"/>
  <tableColumns count="19">
    <tableColumn id="1" xr3:uid="{00000000-0010-0000-0600-000001000000}" name="Date" totalsRowLabel="Total" dataDxfId="251"/>
    <tableColumn id="2" xr3:uid="{00000000-0010-0000-0600-000002000000}" name="Open" totalsRowDxfId="98" dataCellStyle="Currency"/>
    <tableColumn id="3" xr3:uid="{00000000-0010-0000-0600-000003000000}" name="High" totalsRowDxfId="97" dataCellStyle="Currency"/>
    <tableColumn id="4" xr3:uid="{00000000-0010-0000-0600-000004000000}" name="Low" totalsRowDxfId="96" dataCellStyle="Currency"/>
    <tableColumn id="5" xr3:uid="{00000000-0010-0000-0600-000005000000}" name="Close" totalsRowDxfId="95" dataCellStyle="Currency"/>
    <tableColumn id="6" xr3:uid="{00000000-0010-0000-0600-000006000000}" name="Adj Close" totalsRowDxfId="94" dataCellStyle="Currency"/>
    <tableColumn id="7" xr3:uid="{00000000-0010-0000-0600-000007000000}" name="Volume"/>
    <tableColumn id="8" xr3:uid="{00000000-0010-0000-0600-000008000000}" name="EMA" dataDxfId="250" totalsRowDxfId="93" dataCellStyle="Currency">
      <calculatedColumnFormula>IF(tbl_AAPL[[#This Row],[Date]]=$A$5, $F5, EMA_Beta*$H4 + (1-EMA_Beta)*$F5)</calculatedColumnFormula>
    </tableColumn>
    <tableColumn id="9" xr3:uid="{00000000-0010-0000-0600-000009000000}" name="RSI" dataDxfId="249" totalsRowDxfId="92" dataCellStyle="Currency">
      <calculatedColumnFormula>IF(tbl_AAPL[[#This Row],[RS]]= "", "", 100-(100/(1+tbl_AAPL[[#This Row],[RS]])))</calculatedColumnFormula>
    </tableColumn>
    <tableColumn id="10" xr3:uid="{00000000-0010-0000-0600-00000A000000}" name="BB_Mean" dataDxfId="248" totalsRowDxfId="9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600-00000B000000}" name="BB_Upper" dataDxfId="247" totalsRowDxfId="90" dataCellStyle="Currency">
      <calculatedColumnFormula>IF(tbl_AAPL[[#This Row],[BB_Mean]]="", "", tbl_AAPL[[#This Row],[BB_Mean]]+(BB_Width*tbl_AAPL[[#This Row],[BB_Stdev]]))</calculatedColumnFormula>
    </tableColumn>
    <tableColumn id="12" xr3:uid="{00000000-0010-0000-0600-00000C000000}" name="BB_Lower" dataDxfId="246" totalsRowDxfId="89" dataCellStyle="Currency">
      <calculatedColumnFormula>IF(tbl_AAPL[[#This Row],[BB_Mean]]="", "", tbl_AAPL[[#This Row],[BB_Mean]]-(BB_Width*tbl_AAPL[[#This Row],[BB_Stdev]]))</calculatedColumnFormula>
    </tableColumn>
    <tableColumn id="13" xr3:uid="{00000000-0010-0000-0600-00000D000000}" name="Move" dataDxfId="245" totalsRowDxfId="88" dataCellStyle="Currency">
      <calculatedColumnFormula>IF(ROW(tbl_AAPL[[#This Row],[Adj Close]])=5, 0, $F5-$F4)</calculatedColumnFormula>
    </tableColumn>
    <tableColumn id="14" xr3:uid="{00000000-0010-0000-0600-00000E000000}" name="Upmove" dataDxfId="244" totalsRowDxfId="87" dataCellStyle="Currency">
      <calculatedColumnFormula>MAX(tbl_AAPL[[#This Row],[Move]],0)</calculatedColumnFormula>
    </tableColumn>
    <tableColumn id="15" xr3:uid="{00000000-0010-0000-0600-00000F000000}" name="Downmove" dataDxfId="243" totalsRowDxfId="86" dataCellStyle="Currency">
      <calculatedColumnFormula>MAX(-tbl_AAPL[[#This Row],[Move]],0)</calculatedColumnFormula>
    </tableColumn>
    <tableColumn id="16" xr3:uid="{00000000-0010-0000-0600-000010000000}" name="Avg_Upmove" dataDxfId="242" totalsRowDxfId="85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600-000011000000}" name="Avg_Downmove" dataDxfId="241" totalsRowDxfId="84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600-000012000000}" name="RS" dataDxfId="240" totalsRowDxfId="83" dataCellStyle="Currency">
      <calculatedColumnFormula>IF(tbl_AAPL[[#This Row],[Avg_Upmove]]="", "", tbl_AAPL[[#This Row],[Avg_Upmove]]/tbl_AAPL[[#This Row],[Avg_Downmove]])</calculatedColumnFormula>
    </tableColumn>
    <tableColumn id="19" xr3:uid="{00000000-0010-0000-0600-000013000000}" name="BB_Stdev" totalsRowFunction="count" dataDxfId="239" totalsRowDxfId="8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bl_WMT" displayName="tbl_WMT" ref="A4:S45" totalsRowCount="1">
  <autoFilter ref="A4:S44" xr:uid="{00000000-0009-0000-0100-000009000000}"/>
  <tableColumns count="19">
    <tableColumn id="1" xr3:uid="{00000000-0010-0000-0700-000001000000}" name="Date" totalsRowLabel="Total" dataDxfId="238"/>
    <tableColumn id="2" xr3:uid="{00000000-0010-0000-0700-000002000000}" name="Open" dataDxfId="237"/>
    <tableColumn id="3" xr3:uid="{00000000-0010-0000-0700-000003000000}" name="High" dataDxfId="236"/>
    <tableColumn id="4" xr3:uid="{00000000-0010-0000-0700-000004000000}" name="Low" dataDxfId="235"/>
    <tableColumn id="5" xr3:uid="{00000000-0010-0000-0700-000005000000}" name="Close" dataDxfId="234"/>
    <tableColumn id="6" xr3:uid="{00000000-0010-0000-0700-000006000000}" name="Adj Close" dataDxfId="233"/>
    <tableColumn id="7" xr3:uid="{00000000-0010-0000-0700-000007000000}" name="Volume"/>
    <tableColumn id="8" xr3:uid="{00000000-0010-0000-0700-000008000000}" name="EMA" dataDxfId="232">
      <calculatedColumnFormula>IF(tbl_WMT[[#This Row],[Date]]=$A$5, $F5, EMA_Beta*$H4 + (1-EMA_Beta)*$F5)</calculatedColumnFormula>
    </tableColumn>
    <tableColumn id="9" xr3:uid="{00000000-0010-0000-0700-000009000000}" name="RSI" dataDxfId="231" totalsRowDxfId="81" dataCellStyle="Currency">
      <calculatedColumnFormula>IF(tbl_WMT[[#This Row],[RS]]= "", "", 100-(100/(1+tbl_WMT[[#This Row],[RS]])))</calculatedColumnFormula>
    </tableColumn>
    <tableColumn id="10" xr3:uid="{00000000-0010-0000-0700-00000A000000}" name="BB_Mean" dataDxfId="230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700-00000B000000}" name="BB_Upper" dataDxfId="229">
      <calculatedColumnFormula>IF(tbl_WMT[[#This Row],[BB_Mean]]="", "", tbl_WMT[[#This Row],[BB_Mean]]+(BB_Width*tbl_WMT[[#This Row],[BB_Stdev]]))</calculatedColumnFormula>
    </tableColumn>
    <tableColumn id="12" xr3:uid="{00000000-0010-0000-0700-00000C000000}" name="BB_Lower" dataDxfId="228">
      <calculatedColumnFormula>IF(tbl_WMT[[#This Row],[BB_Mean]]="", "", tbl_WMT[[#This Row],[BB_Mean]]-(BB_Width*tbl_WMT[[#This Row],[BB_Stdev]]))</calculatedColumnFormula>
    </tableColumn>
    <tableColumn id="13" xr3:uid="{00000000-0010-0000-0700-00000D000000}" name="Move" dataDxfId="227">
      <calculatedColumnFormula>IF(ROW(tbl_WMT[[#This Row],[Adj Close]])=5, 0, $F5-$F4)</calculatedColumnFormula>
    </tableColumn>
    <tableColumn id="14" xr3:uid="{00000000-0010-0000-0700-00000E000000}" name="Upmove" dataDxfId="226">
      <calculatedColumnFormula>MAX(tbl_WMT[[#This Row],[Move]],0)</calculatedColumnFormula>
    </tableColumn>
    <tableColumn id="15" xr3:uid="{00000000-0010-0000-0700-00000F000000}" name="Downmove" dataDxfId="225">
      <calculatedColumnFormula>MAX(-tbl_WMT[[#This Row],[Move]],0)</calculatedColumnFormula>
    </tableColumn>
    <tableColumn id="16" xr3:uid="{00000000-0010-0000-0700-000010000000}" name="Avg_Upmove" dataDxfId="22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700-000011000000}" name="Avg_Downmove" dataDxfId="22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700-000012000000}" name="RS" dataDxfId="222">
      <calculatedColumnFormula>IF(tbl_WMT[[#This Row],[Avg_Upmove]]="", "", tbl_WMT[[#This Row],[Avg_Upmove]]/tbl_WMT[[#This Row],[Avg_Downmove]])</calculatedColumnFormula>
    </tableColumn>
    <tableColumn id="19" xr3:uid="{00000000-0010-0000-0700-000013000000}" name="BB_Stdev" totalsRowFunction="count" dataDxfId="221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bl_RIOT" displayName="tbl_RIOT" ref="A4:S45" totalsRowCount="1">
  <autoFilter ref="A4:S44" xr:uid="{00000000-0009-0000-0100-00000A000000}"/>
  <tableColumns count="19">
    <tableColumn id="1" xr3:uid="{00000000-0010-0000-0800-000001000000}" name="Date" totalsRowLabel="Total" dataDxfId="220"/>
    <tableColumn id="2" xr3:uid="{00000000-0010-0000-0800-000002000000}" name="Open" dataDxfId="219"/>
    <tableColumn id="3" xr3:uid="{00000000-0010-0000-0800-000003000000}" name="High" dataDxfId="218"/>
    <tableColumn id="4" xr3:uid="{00000000-0010-0000-0800-000004000000}" name="Low" dataDxfId="217"/>
    <tableColumn id="5" xr3:uid="{00000000-0010-0000-0800-000005000000}" name="Close" dataDxfId="216"/>
    <tableColumn id="6" xr3:uid="{00000000-0010-0000-0800-000006000000}" name="Adj Close" dataDxfId="215"/>
    <tableColumn id="7" xr3:uid="{00000000-0010-0000-0800-000007000000}" name="Volume"/>
    <tableColumn id="8" xr3:uid="{00000000-0010-0000-0800-000008000000}" name="EMA" dataDxfId="214">
      <calculatedColumnFormula>IF(tbl_RIOT[[#This Row],[Date]]=$A$5, $F5, EMA_Beta*$H4 + (1-EMA_Beta)*$F5)</calculatedColumnFormula>
    </tableColumn>
    <tableColumn id="9" xr3:uid="{00000000-0010-0000-0800-000009000000}" name="RSI" dataDxfId="213">
      <calculatedColumnFormula>IF(tbl_RIOT[[#This Row],[RS]]= "", "", 100-(100/(1+tbl_RIOT[[#This Row],[RS]])))</calculatedColumnFormula>
    </tableColumn>
    <tableColumn id="10" xr3:uid="{00000000-0010-0000-0800-00000A000000}" name="BB_Mean" dataDxfId="212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800-00000B000000}" name="BB_Upper" dataDxfId="211">
      <calculatedColumnFormula>IF(tbl_RIOT[[#This Row],[BB_Mean]]="", "", tbl_RIOT[[#This Row],[BB_Mean]]+(BB_Width*tbl_RIOT[[#This Row],[BB_Stdev]]))</calculatedColumnFormula>
    </tableColumn>
    <tableColumn id="12" xr3:uid="{00000000-0010-0000-0800-00000C000000}" name="BB_Lower" dataDxfId="210">
      <calculatedColumnFormula>IF(tbl_RIOT[[#This Row],[BB_Mean]]="", "", tbl_RIOT[[#This Row],[BB_Mean]]-(BB_Width*tbl_RIOT[[#This Row],[BB_Stdev]]))</calculatedColumnFormula>
    </tableColumn>
    <tableColumn id="13" xr3:uid="{00000000-0010-0000-0800-00000D000000}" name="Move" dataDxfId="209">
      <calculatedColumnFormula>IF(ROW(tbl_RIOT[[#This Row],[Adj Close]])=5, 0, $F5-$F4)</calculatedColumnFormula>
    </tableColumn>
    <tableColumn id="14" xr3:uid="{00000000-0010-0000-0800-00000E000000}" name="Upmove" dataDxfId="208">
      <calculatedColumnFormula>MAX(tbl_RIOT[[#This Row],[Move]],0)</calculatedColumnFormula>
    </tableColumn>
    <tableColumn id="15" xr3:uid="{00000000-0010-0000-0800-00000F000000}" name="Downmove" dataDxfId="207">
      <calculatedColumnFormula>MAX(-tbl_RIOT[[#This Row],[Move]],0)</calculatedColumnFormula>
    </tableColumn>
    <tableColumn id="16" xr3:uid="{00000000-0010-0000-0800-000010000000}" name="Avg_Upmove" dataDxfId="20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800-000011000000}" name="Avg_Downmove" dataDxfId="20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800-000012000000}" name="RS" dataDxfId="204">
      <calculatedColumnFormula>IF(tbl_RIOT[[#This Row],[Avg_Upmove]]="", "", tbl_RIOT[[#This Row],[Avg_Upmove]]/tbl_RIOT[[#This Row],[Avg_Downmove]])</calculatedColumnFormula>
    </tableColumn>
    <tableColumn id="19" xr3:uid="{00000000-0010-0000-0800-000013000000}" name="BB_Stdev" totalsRowFunction="count" dataDxfId="203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25"/>
  <sheetViews>
    <sheetView workbookViewId="0">
      <selection activeCell="G36" sqref="G36"/>
    </sheetView>
  </sheetViews>
  <sheetFormatPr defaultRowHeight="14.5" x14ac:dyDescent="0.35"/>
  <cols>
    <col min="10" max="10" width="10.81640625" customWidth="1"/>
  </cols>
  <sheetData>
    <row r="1" spans="1:9" ht="23.5" x14ac:dyDescent="0.55000000000000004">
      <c r="B1" s="5" t="s">
        <v>0</v>
      </c>
      <c r="C1" s="5"/>
      <c r="D1" s="5"/>
      <c r="E1" s="5"/>
      <c r="F1" s="6"/>
      <c r="G1" s="6"/>
      <c r="H1" s="6"/>
    </row>
    <row r="3" spans="1:9" ht="15.5" x14ac:dyDescent="0.3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35">
      <c r="B4" t="s">
        <v>3</v>
      </c>
    </row>
    <row r="5" spans="1:9" x14ac:dyDescent="0.35">
      <c r="B5" t="s">
        <v>4</v>
      </c>
    </row>
    <row r="6" spans="1:9" x14ac:dyDescent="0.35">
      <c r="B6" t="s">
        <v>10</v>
      </c>
    </row>
    <row r="8" spans="1:9" ht="15.5" x14ac:dyDescent="0.3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35">
      <c r="B9" t="s">
        <v>7</v>
      </c>
    </row>
    <row r="10" spans="1:9" x14ac:dyDescent="0.35">
      <c r="B10" t="s">
        <v>8</v>
      </c>
    </row>
    <row r="11" spans="1:9" x14ac:dyDescent="0.35">
      <c r="B11" t="s">
        <v>9</v>
      </c>
    </row>
    <row r="13" spans="1:9" ht="15.5" x14ac:dyDescent="0.3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35">
      <c r="B14" t="s">
        <v>13</v>
      </c>
    </row>
    <row r="15" spans="1:9" x14ac:dyDescent="0.35">
      <c r="B15" t="s">
        <v>14</v>
      </c>
    </row>
    <row r="18" spans="1:13" ht="19" thickBot="1" x14ac:dyDescent="0.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" thickBot="1" x14ac:dyDescent="0.4">
      <c r="A19" t="s">
        <v>88</v>
      </c>
      <c r="J19" s="34" t="s">
        <v>104</v>
      </c>
      <c r="K19" s="35" t="s">
        <v>105</v>
      </c>
      <c r="L19" s="35"/>
      <c r="M19" s="36"/>
    </row>
    <row r="20" spans="1:13" ht="15" thickBot="1" x14ac:dyDescent="0.4">
      <c r="A20" t="s">
        <v>89</v>
      </c>
      <c r="J20" s="38" t="s">
        <v>106</v>
      </c>
      <c r="K20" s="39" t="s">
        <v>107</v>
      </c>
      <c r="L20" s="32"/>
      <c r="M20" s="33"/>
    </row>
    <row r="21" spans="1:13" ht="16" thickBot="1" x14ac:dyDescent="0.4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3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3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3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3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3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3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3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3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3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3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3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3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3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3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3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" thickBot="1" x14ac:dyDescent="0.4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" thickBot="1" x14ac:dyDescent="0.4"/>
    <row r="39" spans="1:16" x14ac:dyDescent="0.3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" thickBot="1" x14ac:dyDescent="0.4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" thickBot="1" x14ac:dyDescent="0.4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3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3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3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3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3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" thickBot="1" x14ac:dyDescent="0.4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35">
      <c r="A49" t="s">
        <v>145</v>
      </c>
    </row>
    <row r="50" spans="1:10" ht="15" thickBot="1" x14ac:dyDescent="0.4">
      <c r="A50" t="s">
        <v>128</v>
      </c>
    </row>
    <row r="51" spans="1:10" ht="16" thickBot="1" x14ac:dyDescent="0.4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3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3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3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3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3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3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3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3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3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3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3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" thickBot="1" x14ac:dyDescent="0.4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35">
      <c r="A65" t="s">
        <v>146</v>
      </c>
    </row>
    <row r="66" spans="1:10" x14ac:dyDescent="0.35">
      <c r="A66" t="s">
        <v>147</v>
      </c>
    </row>
    <row r="68" spans="1:10" ht="18.5" x14ac:dyDescent="0.45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5" x14ac:dyDescent="0.45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5" x14ac:dyDescent="0.35">
      <c r="A99" t="s">
        <v>151</v>
      </c>
    </row>
    <row r="100" spans="1:9" x14ac:dyDescent="0.35">
      <c r="A100" t="s">
        <v>154</v>
      </c>
    </row>
    <row r="101" spans="1:9" x14ac:dyDescent="0.35">
      <c r="A101" t="s">
        <v>155</v>
      </c>
    </row>
    <row r="102" spans="1:9" x14ac:dyDescent="0.35">
      <c r="A102" t="s">
        <v>156</v>
      </c>
    </row>
    <row r="103" spans="1:9" ht="15.5" x14ac:dyDescent="0.35">
      <c r="A103" t="s">
        <v>152</v>
      </c>
    </row>
    <row r="104" spans="1:9" x14ac:dyDescent="0.35">
      <c r="A104" t="s">
        <v>157</v>
      </c>
    </row>
    <row r="105" spans="1:9" ht="15.5" x14ac:dyDescent="0.35">
      <c r="A105" t="s">
        <v>153</v>
      </c>
    </row>
    <row r="106" spans="1:9" x14ac:dyDescent="0.35">
      <c r="A106" t="s">
        <v>158</v>
      </c>
    </row>
    <row r="125" spans="2:9" ht="18.5" x14ac:dyDescent="0.45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5"/>
  <sheetViews>
    <sheetView topLeftCell="A32" zoomScale="110" zoomScaleNormal="110" workbookViewId="0">
      <selection activeCell="G45" sqref="G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170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3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3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3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3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3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3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3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3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3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3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3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3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3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3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3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3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3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3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35">
      <c r="A37" s="8">
        <v>44098</v>
      </c>
      <c r="B37" s="48">
        <v>118.1</v>
      </c>
      <c r="C37" s="48">
        <v>119.52</v>
      </c>
      <c r="D37" s="48">
        <v>116.48</v>
      </c>
      <c r="E37" s="48">
        <v>118.09</v>
      </c>
      <c r="F37" s="48">
        <v>118.09</v>
      </c>
      <c r="G37">
        <v>3546200</v>
      </c>
      <c r="H37" s="48">
        <f>IF(tbl_IBM[[#This Row],[Date]]=$A$5, $F37, EMA_Beta*$H36 + (1-EMA_Beta)*$F37)</f>
        <v>122.07803687860887</v>
      </c>
      <c r="I37" s="46">
        <f ca="1">IF(tbl_IBM[[#This Row],[RS]]= "", "", 100-(100/(1+tbl_IBM[[#This Row],[RS]])))</f>
        <v>32.03390982476111</v>
      </c>
      <c r="J37" s="48">
        <f ca="1">IF(ROW($N37)-4&lt;BB_Periods, "", AVERAGE(INDIRECT(ADDRESS(ROW($F37)-RSI_Periods +1, MATCH("Adj Close", Price_Header,0))): INDIRECT(ADDRESS(ROW($F37),MATCH("Adj Close", Price_Header,0)))))</f>
        <v>121.56428557142856</v>
      </c>
      <c r="K37" s="48">
        <f ca="1">IF(tbl_IBM[[#This Row],[BB_Mean]]="", "", tbl_IBM[[#This Row],[BB_Mean]]+(BB_Width*tbl_IBM[[#This Row],[BB_Stdev]]))</f>
        <v>125.29947153834988</v>
      </c>
      <c r="L37" s="48">
        <f ca="1">IF(tbl_IBM[[#This Row],[BB_Mean]]="", "", tbl_IBM[[#This Row],[BB_Mean]]-(BB_Width*tbl_IBM[[#This Row],[BB_Stdev]]))</f>
        <v>117.82909960450723</v>
      </c>
      <c r="M37" s="46">
        <f>IF(ROW(tbl_IBM[[#This Row],[Adj Close]])=5, 0, $F37-$F36)</f>
        <v>-0.73999999999999488</v>
      </c>
      <c r="N37" s="46">
        <f>MAX(tbl_IBM[[#This Row],[Move]],0)</f>
        <v>0</v>
      </c>
      <c r="O37" s="46">
        <f>MAX(-tbl_IBM[[#This Row],[Move]],0)</f>
        <v>0.73999999999999488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0.85928571428571543</v>
      </c>
      <c r="R37" s="46">
        <f ca="1">IF(tbl_IBM[[#This Row],[Avg_Upmove]]="", "", tbl_IBM[[#This Row],[Avg_Upmove]]/tbl_IBM[[#This Row],[Avg_Downmove]])</f>
        <v>0.47132194513715836</v>
      </c>
      <c r="S37" s="48">
        <f ca="1">IF(ROW($N37)-4&lt;BB_Periods, "", _xlfn.STDEV.S(INDIRECT(ADDRESS(ROW($F37)-RSI_Periods +1, MATCH("Adj Close", Price_Header,0))): INDIRECT(ADDRESS(ROW($F37),MATCH("Adj Close", Price_Header,0)))))</f>
        <v>1.8675929834606624</v>
      </c>
    </row>
    <row r="38" spans="1:19" x14ac:dyDescent="0.35">
      <c r="A38" s="8">
        <v>44099</v>
      </c>
      <c r="B38" s="48">
        <v>117.6</v>
      </c>
      <c r="C38" s="48">
        <v>119.41</v>
      </c>
      <c r="D38" s="48">
        <v>116.94</v>
      </c>
      <c r="E38" s="48">
        <v>118.95</v>
      </c>
      <c r="F38" s="48">
        <v>118.95</v>
      </c>
      <c r="G38">
        <v>2953700</v>
      </c>
      <c r="H38" s="48">
        <f>IF(tbl_IBM[[#This Row],[Date]]=$A$5, $F38, EMA_Beta*$H37 + (1-EMA_Beta)*$F38)</f>
        <v>121.76523319074798</v>
      </c>
      <c r="I38" s="46">
        <f ca="1">IF(tbl_IBM[[#This Row],[RS]]= "", "", 100-(100/(1+tbl_IBM[[#This Row],[RS]])))</f>
        <v>39.792805719972513</v>
      </c>
      <c r="J38" s="48">
        <f ca="1">IF(ROW($N38)-4&lt;BB_Periods, "", AVERAGE(INDIRECT(ADDRESS(ROW($F38)-RSI_Periods +1, MATCH("Adj Close", Price_Header,0))): INDIRECT(ADDRESS(ROW($F38),MATCH("Adj Close", Price_Header,0)))))</f>
        <v>121.32499964285714</v>
      </c>
      <c r="K38" s="48">
        <f ca="1">IF(tbl_IBM[[#This Row],[BB_Mean]]="", "", tbl_IBM[[#This Row],[BB_Mean]]+(BB_Width*tbl_IBM[[#This Row],[BB_Stdev]]))</f>
        <v>125.27991271240779</v>
      </c>
      <c r="L38" s="48">
        <f ca="1">IF(tbl_IBM[[#This Row],[BB_Mean]]="", "", tbl_IBM[[#This Row],[BB_Mean]]-(BB_Width*tbl_IBM[[#This Row],[BB_Stdev]]))</f>
        <v>117.37008657330648</v>
      </c>
      <c r="M38" s="46">
        <f>IF(ROW(tbl_IBM[[#This Row],[Adj Close]])=5, 0, $F38-$F37)</f>
        <v>0.85999999999999943</v>
      </c>
      <c r="N38" s="46">
        <f>MAX(tbl_IBM[[#This Row],[Move]],0)</f>
        <v>0.85999999999999943</v>
      </c>
      <c r="O38" s="46">
        <f>MAX(-tbl_IBM[[#This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0.46642878571428731</v>
      </c>
      <c r="Q38" s="46">
        <f ca="1">IF(ROW($O38)-5&lt;RSI_Periods, "", AVERAGE(INDIRECT(ADDRESS(ROW($O38)-RSI_Periods +1, MATCH("Downmove", Price_Header,0))): INDIRECT(ADDRESS(ROW($O38),MATCH("Downmove", Price_Header,0)))))</f>
        <v>0.70571471428571597</v>
      </c>
      <c r="R38" s="46">
        <f ca="1">IF(tbl_IBM[[#This Row],[Avg_Upmove]]="", "", tbl_IBM[[#This Row],[Avg_Upmove]]/tbl_IBM[[#This Row],[Avg_Downmove]])</f>
        <v>0.66093107635764659</v>
      </c>
      <c r="S38" s="48">
        <f ca="1">IF(ROW($N38)-4&lt;BB_Periods, "", _xlfn.STDEV.S(INDIRECT(ADDRESS(ROW($F38)-RSI_Periods +1, MATCH("Adj Close", Price_Header,0))): INDIRECT(ADDRESS(ROW($F38),MATCH("Adj Close", Price_Header,0)))))</f>
        <v>1.9774565347753246</v>
      </c>
    </row>
    <row r="39" spans="1:19" x14ac:dyDescent="0.35">
      <c r="A39" s="8">
        <v>44102</v>
      </c>
      <c r="B39" s="48">
        <v>120.57</v>
      </c>
      <c r="C39" s="48">
        <v>122.33</v>
      </c>
      <c r="D39" s="48">
        <v>120.41</v>
      </c>
      <c r="E39" s="48">
        <v>121.73</v>
      </c>
      <c r="F39" s="48">
        <v>121.73</v>
      </c>
      <c r="G39">
        <v>3509200</v>
      </c>
      <c r="H39" s="48">
        <f>IF(tbl_IBM[[#This Row],[Date]]=$A$5, $F39, EMA_Beta*$H38 + (1-EMA_Beta)*$F39)</f>
        <v>121.76170987167319</v>
      </c>
      <c r="I39" s="46">
        <f ca="1">IF(tbl_IBM[[#This Row],[RS]]= "", "", 100-(100/(1+tbl_IBM[[#This Row],[RS]])))</f>
        <v>51.436466454014813</v>
      </c>
      <c r="J39" s="48">
        <f ca="1">IF(ROW($N39)-4&lt;BB_Periods, "", AVERAGE(INDIRECT(ADDRESS(ROW($F39)-RSI_Periods +1, MATCH("Adj Close", Price_Header,0))): INDIRECT(ADDRESS(ROW($F39),MATCH("Adj Close", Price_Header,0)))))</f>
        <v>121.36214257142856</v>
      </c>
      <c r="K39" s="48">
        <f ca="1">IF(tbl_IBM[[#This Row],[BB_Mean]]="", "", tbl_IBM[[#This Row],[BB_Mean]]+(BB_Width*tbl_IBM[[#This Row],[BB_Stdev]]))</f>
        <v>125.32216713590022</v>
      </c>
      <c r="L39" s="48">
        <f ca="1">IF(tbl_IBM[[#This Row],[BB_Mean]]="", "", tbl_IBM[[#This Row],[BB_Mean]]-(BB_Width*tbl_IBM[[#This Row],[BB_Stdev]]))</f>
        <v>117.40211800695691</v>
      </c>
      <c r="M39" s="46">
        <f>IF(ROW(tbl_IBM[[#This Row],[Adj Close]])=5, 0, $F39-$F38)</f>
        <v>2.7800000000000011</v>
      </c>
      <c r="N39" s="46">
        <f>MAX(tbl_IBM[[#This Row],[Move]],0)</f>
        <v>2.7800000000000011</v>
      </c>
      <c r="O39" s="46">
        <f>MAX(-tbl_IBM[[#This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0.66500021428571598</v>
      </c>
      <c r="Q39" s="46">
        <f ca="1">IF(ROW($O39)-5&lt;RSI_Periods, "", AVERAGE(INDIRECT(ADDRESS(ROW($O39)-RSI_Periods +1, MATCH("Downmove", Price_Header,0))): INDIRECT(ADDRESS(ROW($O39),MATCH("Downmove", Price_Header,0)))))</f>
        <v>0.62785728571428678</v>
      </c>
      <c r="R39" s="46">
        <f ca="1">IF(tbl_IBM[[#This Row],[Avg_Upmove]]="", "", tbl_IBM[[#This Row],[Avg_Upmove]]/tbl_IBM[[#This Row],[Avg_Downmove]])</f>
        <v>1.0591582345487529</v>
      </c>
      <c r="S39" s="48">
        <f ca="1">IF(ROW($N39)-4&lt;BB_Periods, "", _xlfn.STDEV.S(INDIRECT(ADDRESS(ROW($F39)-RSI_Periods +1, MATCH("Adj Close", Price_Header,0))): INDIRECT(ADDRESS(ROW($F39),MATCH("Adj Close", Price_Header,0)))))</f>
        <v>1.9800122822358268</v>
      </c>
    </row>
    <row r="40" spans="1:19" x14ac:dyDescent="0.35">
      <c r="A40" s="8">
        <v>44103</v>
      </c>
      <c r="B40" s="48">
        <v>121.41</v>
      </c>
      <c r="C40" s="48">
        <v>122.19</v>
      </c>
      <c r="D40" s="48">
        <v>120.21</v>
      </c>
      <c r="E40" s="48">
        <v>120.94</v>
      </c>
      <c r="F40" s="48">
        <v>120.94</v>
      </c>
      <c r="G40">
        <v>2106600</v>
      </c>
      <c r="H40" s="48">
        <f>IF(tbl_IBM[[#This Row],[Date]]=$A$5, $F40, EMA_Beta*$H39 + (1-EMA_Beta)*$F40)</f>
        <v>121.67953888450587</v>
      </c>
      <c r="I40" s="46">
        <f ca="1">IF(tbl_IBM[[#This Row],[RS]]= "", "", 100-(100/(1+tbl_IBM[[#This Row],[RS]])))</f>
        <v>46.300443239860627</v>
      </c>
      <c r="J40" s="48">
        <f ca="1">IF(ROW($N40)-4&lt;BB_Periods, "", AVERAGE(INDIRECT(ADDRESS(ROW($F40)-RSI_Periods +1, MATCH("Adj Close", Price_Header,0))): INDIRECT(ADDRESS(ROW($F40),MATCH("Adj Close", Price_Header,0)))))</f>
        <v>121.26785671428571</v>
      </c>
      <c r="K40" s="48">
        <f ca="1">IF(tbl_IBM[[#This Row],[BB_Mean]]="", "", tbl_IBM[[#This Row],[BB_Mean]]+(BB_Width*tbl_IBM[[#This Row],[BB_Stdev]]))</f>
        <v>125.19854182069182</v>
      </c>
      <c r="L40" s="48">
        <f ca="1">IF(tbl_IBM[[#This Row],[BB_Mean]]="", "", tbl_IBM[[#This Row],[BB_Mean]]-(BB_Width*tbl_IBM[[#This Row],[BB_Stdev]]))</f>
        <v>117.33717160787961</v>
      </c>
      <c r="M40" s="46">
        <f>IF(ROW(tbl_IBM[[#This Row],[Adj Close]])=5, 0, $F40-$F39)</f>
        <v>-0.79000000000000625</v>
      </c>
      <c r="N40" s="46">
        <f>MAX(tbl_IBM[[#This Row],[Move]],0)</f>
        <v>0</v>
      </c>
      <c r="O40" s="46">
        <f>MAX(-tbl_IBM[[#This Row],[Move]],0)</f>
        <v>0.79000000000000625</v>
      </c>
      <c r="P40" s="46">
        <f ca="1">IF(ROW($N40)-5&lt;RSI_Periods, "", AVERAGE(INDIRECT(ADDRESS(ROW($N40)-RSI_Periods +1, MATCH("Upmove", Price_Header,0))): INDIRECT(ADDRESS(ROW($N40),MATCH("Upmove", Price_Header,0)))))</f>
        <v>0.59000000000000141</v>
      </c>
      <c r="Q40" s="46">
        <f ca="1">IF(ROW($O40)-5&lt;RSI_Periods, "", AVERAGE(INDIRECT(ADDRESS(ROW($O40)-RSI_Periods +1, MATCH("Downmove", Price_Header,0))): INDIRECT(ADDRESS(ROW($O40),MATCH("Downmove", Price_Header,0)))))</f>
        <v>0.68428585714285872</v>
      </c>
      <c r="R40" s="46">
        <f ca="1">IF(tbl_IBM[[#This Row],[Avg_Upmove]]="", "", tbl_IBM[[#This Row],[Avg_Upmove]]/tbl_IBM[[#This Row],[Avg_Downmove]])</f>
        <v>0.86221276362990329</v>
      </c>
      <c r="S40" s="48">
        <f ca="1">IF(ROW($N40)-4&lt;BB_Periods, "", _xlfn.STDEV.S(INDIRECT(ADDRESS(ROW($F40)-RSI_Periods +1, MATCH("Adj Close", Price_Header,0))): INDIRECT(ADDRESS(ROW($F40),MATCH("Adj Close", Price_Header,0)))))</f>
        <v>1.96534255320305</v>
      </c>
    </row>
    <row r="41" spans="1:19" x14ac:dyDescent="0.35">
      <c r="A41" s="8">
        <v>44104</v>
      </c>
      <c r="B41" s="48">
        <v>121.38</v>
      </c>
      <c r="C41" s="48">
        <v>122.91</v>
      </c>
      <c r="D41" s="48">
        <v>120.8</v>
      </c>
      <c r="E41" s="48">
        <v>121.67</v>
      </c>
      <c r="F41" s="48">
        <v>121.67</v>
      </c>
      <c r="G41">
        <v>3261100</v>
      </c>
      <c r="H41" s="48">
        <f>IF(tbl_IBM[[#This Row],[Date]]=$A$5, $F41, EMA_Beta*$H40 + (1-EMA_Beta)*$F41)</f>
        <v>121.67858499605529</v>
      </c>
      <c r="I41" s="46">
        <f ca="1">IF(tbl_IBM[[#This Row],[RS]]= "", "", 100-(100/(1+tbl_IBM[[#This Row],[RS]])))</f>
        <v>53.289869981016018</v>
      </c>
      <c r="J41" s="48">
        <f ca="1">IF(ROW($N41)-4&lt;BB_Periods, "", AVERAGE(INDIRECT(ADDRESS(ROW($F41)-RSI_Periods +1, MATCH("Adj Close", Price_Header,0))): INDIRECT(ADDRESS(ROW($F41),MATCH("Adj Close", Price_Header,0)))))</f>
        <v>121.34714257142858</v>
      </c>
      <c r="K41" s="48">
        <f ca="1">IF(tbl_IBM[[#This Row],[BB_Mean]]="", "", tbl_IBM[[#This Row],[BB_Mean]]+(BB_Width*tbl_IBM[[#This Row],[BB_Stdev]]))</f>
        <v>125.26106546565958</v>
      </c>
      <c r="L41" s="48">
        <f ca="1">IF(tbl_IBM[[#This Row],[BB_Mean]]="", "", tbl_IBM[[#This Row],[BB_Mean]]-(BB_Width*tbl_IBM[[#This Row],[BB_Stdev]]))</f>
        <v>117.43321967719757</v>
      </c>
      <c r="M41" s="46">
        <f>IF(ROW(tbl_IBM[[#This Row],[Adj Close]])=5, 0, $F41-$F40)</f>
        <v>0.73000000000000398</v>
      </c>
      <c r="N41" s="46">
        <f>MAX(tbl_IBM[[#This Row],[Move]],0)</f>
        <v>0.73000000000000398</v>
      </c>
      <c r="O41" s="46">
        <f>MAX(-tbl_IBM[[#This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0.64214285714285879</v>
      </c>
      <c r="Q41" s="46">
        <f ca="1">IF(ROW($O41)-5&lt;RSI_Periods, "", AVERAGE(INDIRECT(ADDRESS(ROW($O41)-RSI_Periods +1, MATCH("Downmove", Price_Header,0))): INDIRECT(ADDRESS(ROW($O41),MATCH("Downmove", Price_Header,0)))))</f>
        <v>0.56285700000000105</v>
      </c>
      <c r="R41" s="46">
        <f ca="1">IF(tbl_IBM[[#This Row],[Avg_Upmove]]="", "", tbl_IBM[[#This Row],[Avg_Upmove]]/tbl_IBM[[#This Row],[Avg_Downmove]])</f>
        <v>1.1408632337216338</v>
      </c>
      <c r="S41" s="48">
        <f ca="1">IF(ROW($N41)-4&lt;BB_Periods, "", _xlfn.STDEV.S(INDIRECT(ADDRESS(ROW($F41)-RSI_Periods +1, MATCH("Adj Close", Price_Header,0))): INDIRECT(ADDRESS(ROW($F41),MATCH("Adj Close", Price_Header,0)))))</f>
        <v>1.956961447115507</v>
      </c>
    </row>
    <row r="42" spans="1:19" x14ac:dyDescent="0.35">
      <c r="A42" s="8">
        <v>44105</v>
      </c>
      <c r="B42" s="48">
        <v>122.36</v>
      </c>
      <c r="C42" s="48">
        <v>123.3</v>
      </c>
      <c r="D42" s="48">
        <v>120.36</v>
      </c>
      <c r="E42" s="48">
        <v>121.09</v>
      </c>
      <c r="F42" s="48">
        <v>121.09</v>
      </c>
      <c r="G42">
        <v>3211700</v>
      </c>
      <c r="H42" s="48">
        <f>IF(tbl_IBM[[#This Row],[Date]]=$A$5, $F42, EMA_Beta*$H41 + (1-EMA_Beta)*$F42)</f>
        <v>121.61972649644976</v>
      </c>
      <c r="I42" s="46">
        <f ca="1">IF(tbl_IBM[[#This Row],[RS]]= "", "", 100-(100/(1+tbl_IBM[[#This Row],[RS]])))</f>
        <v>48.882178045107835</v>
      </c>
      <c r="J42" s="48">
        <f ca="1">IF(ROW($N42)-4&lt;BB_Periods, "", AVERAGE(INDIRECT(ADDRESS(ROW($F42)-RSI_Periods +1, MATCH("Adj Close", Price_Header,0))): INDIRECT(ADDRESS(ROW($F42),MATCH("Adj Close", Price_Header,0)))))</f>
        <v>121.32071407142858</v>
      </c>
      <c r="K42" s="48">
        <f ca="1">IF(tbl_IBM[[#This Row],[BB_Mean]]="", "", tbl_IBM[[#This Row],[BB_Mean]]+(BB_Width*tbl_IBM[[#This Row],[BB_Stdev]]))</f>
        <v>125.23635067676652</v>
      </c>
      <c r="L42" s="48">
        <f ca="1">IF(tbl_IBM[[#This Row],[BB_Mean]]="", "", tbl_IBM[[#This Row],[BB_Mean]]-(BB_Width*tbl_IBM[[#This Row],[BB_Stdev]]))</f>
        <v>117.40507746609065</v>
      </c>
      <c r="M42" s="46">
        <f>IF(ROW(tbl_IBM[[#This Row],[Adj Close]])=5, 0, $F42-$F41)</f>
        <v>-0.57999999999999829</v>
      </c>
      <c r="N42" s="46">
        <f>MAX(tbl_IBM[[#This Row],[Move]],0)</f>
        <v>0</v>
      </c>
      <c r="O42" s="46">
        <f>MAX(-tbl_IBM[[#This Row],[Move]],0)</f>
        <v>0.57999999999999829</v>
      </c>
      <c r="P42" s="46">
        <f ca="1">IF(ROW($N42)-5&lt;RSI_Periods, "", AVERAGE(INDIRECT(ADDRESS(ROW($N42)-RSI_Periods +1, MATCH("Upmove", Price_Header,0))): INDIRECT(ADDRESS(ROW($N42),MATCH("Upmove", Price_Header,0)))))</f>
        <v>0.5778570714285729</v>
      </c>
      <c r="Q42" s="46">
        <f ca="1">IF(ROW($O42)-5&lt;RSI_Periods, "", AVERAGE(INDIRECT(ADDRESS(ROW($O42)-RSI_Periods +1, MATCH("Downmove", Price_Header,0))): INDIRECT(ADDRESS(ROW($O42),MATCH("Downmove", Price_Header,0)))))</f>
        <v>0.60428557142857231</v>
      </c>
      <c r="R42" s="46">
        <f ca="1">IF(tbl_IBM[[#This Row],[Avg_Upmove]]="", "", tbl_IBM[[#This Row],[Avg_Upmove]]/tbl_IBM[[#This Row],[Avg_Downmove]])</f>
        <v>0.95626488327775128</v>
      </c>
      <c r="S42" s="48">
        <f ca="1">IF(ROW($N42)-4&lt;BB_Periods, "", _xlfn.STDEV.S(INDIRECT(ADDRESS(ROW($F42)-RSI_Periods +1, MATCH("Adj Close", Price_Header,0))): INDIRECT(ADDRESS(ROW($F42),MATCH("Adj Close", Price_Header,0)))))</f>
        <v>1.9578183026689713</v>
      </c>
    </row>
    <row r="43" spans="1:19" x14ac:dyDescent="0.35">
      <c r="A43" s="8">
        <v>44106</v>
      </c>
      <c r="B43" s="48">
        <v>119.04</v>
      </c>
      <c r="C43" s="48">
        <v>121.75</v>
      </c>
      <c r="D43" s="48">
        <v>118.82</v>
      </c>
      <c r="E43" s="48">
        <v>120.57</v>
      </c>
      <c r="F43" s="48">
        <v>120.57</v>
      </c>
      <c r="G43">
        <v>2925200</v>
      </c>
      <c r="H43" s="48">
        <f>IF(tbl_IBM[[#This Row],[Date]]=$A$5, $F43, EMA_Beta*$H42 + (1-EMA_Beta)*$F43)</f>
        <v>121.51475384680478</v>
      </c>
      <c r="I43" s="46">
        <f ca="1">IF(tbl_IBM[[#This Row],[RS]]= "", "", 100-(100/(1+tbl_IBM[[#This Row],[RS]])))</f>
        <v>45.377141119221406</v>
      </c>
      <c r="J43" s="48">
        <f ca="1">IF(ROW($N43)-4&lt;BB_Periods, "", AVERAGE(INDIRECT(ADDRESS(ROW($F43)-RSI_Periods +1, MATCH("Adj Close", Price_Header,0))): INDIRECT(ADDRESS(ROW($F43),MATCH("Adj Close", Price_Header,0)))))</f>
        <v>121.21214292857144</v>
      </c>
      <c r="K43" s="48">
        <f ca="1">IF(tbl_IBM[[#This Row],[BB_Mean]]="", "", tbl_IBM[[#This Row],[BB_Mean]]+(BB_Width*tbl_IBM[[#This Row],[BB_Stdev]]))</f>
        <v>125.12017929601143</v>
      </c>
      <c r="L43" s="48">
        <f ca="1">IF(tbl_IBM[[#This Row],[BB_Mean]]="", "", tbl_IBM[[#This Row],[BB_Mean]]-(BB_Width*tbl_IBM[[#This Row],[BB_Stdev]]))</f>
        <v>117.30410656113145</v>
      </c>
      <c r="M43" s="46">
        <f>IF(ROW(tbl_IBM[[#This Row],[Adj Close]])=5, 0, $F43-$F42)</f>
        <v>-0.52000000000001023</v>
      </c>
      <c r="N43" s="46">
        <f>MAX(tbl_IBM[[#This Row],[Move]],0)</f>
        <v>0</v>
      </c>
      <c r="O43" s="46">
        <f>MAX(-tbl_IBM[[#This Row],[Move]],0)</f>
        <v>0.52000000000001023</v>
      </c>
      <c r="P43" s="46">
        <f ca="1">IF(ROW($N43)-5&lt;RSI_Periods, "", AVERAGE(INDIRECT(ADDRESS(ROW($N43)-RSI_Periods +1, MATCH("Upmove", Price_Header,0))): INDIRECT(ADDRESS(ROW($N43),MATCH("Upmove", Price_Header,0)))))</f>
        <v>0.53285728571428692</v>
      </c>
      <c r="Q43" s="46">
        <f ca="1">IF(ROW($O43)-5&lt;RSI_Periods, "", AVERAGE(INDIRECT(ADDRESS(ROW($O43)-RSI_Periods +1, MATCH("Downmove", Price_Header,0))): INDIRECT(ADDRESS(ROW($O43),MATCH("Downmove", Price_Header,0)))))</f>
        <v>0.64142842857143023</v>
      </c>
      <c r="R43" s="46">
        <f ca="1">IF(tbl_IBM[[#This Row],[Avg_Upmove]]="", "", tbl_IBM[[#This Row],[Avg_Upmove]]/tbl_IBM[[#This Row],[Avg_Downmove]])</f>
        <v>0.8307353743285909</v>
      </c>
      <c r="S43" s="48">
        <f ca="1">IF(ROW($N43)-4&lt;BB_Periods, "", _xlfn.STDEV.S(INDIRECT(ADDRESS(ROW($F43)-RSI_Periods +1, MATCH("Adj Close", Price_Header,0))): INDIRECT(ADDRESS(ROW($F43),MATCH("Adj Close", Price_Header,0)))))</f>
        <v>1.9540181837199937</v>
      </c>
    </row>
    <row r="44" spans="1:19" x14ac:dyDescent="0.35">
      <c r="A44" s="8">
        <v>44109</v>
      </c>
      <c r="B44" s="48">
        <v>121.84</v>
      </c>
      <c r="C44" s="48">
        <v>122.75</v>
      </c>
      <c r="D44" s="48">
        <v>121.05</v>
      </c>
      <c r="E44" s="48">
        <v>122.01</v>
      </c>
      <c r="F44" s="48">
        <v>122.01</v>
      </c>
      <c r="G44">
        <v>3050500</v>
      </c>
      <c r="H44" s="48">
        <f>IF(tbl_IBM[[#This Row],[Date]]=$A$5, $F44, EMA_Beta*$H43 + (1-EMA_Beta)*$F44)</f>
        <v>121.56427846212429</v>
      </c>
      <c r="I44" s="46">
        <f ca="1">IF(tbl_IBM[[#This Row],[RS]]= "", "", 100-(100/(1+tbl_IBM[[#This Row],[RS]])))</f>
        <v>48.773524965268102</v>
      </c>
      <c r="J44" s="48">
        <f ca="1">IF(ROW($N44)-4&lt;BB_Periods, "", AVERAGE(INDIRECT(ADDRESS(ROW($F44)-RSI_Periods +1, MATCH("Adj Close", Price_Header,0))): INDIRECT(ADDRESS(ROW($F44),MATCH("Adj Close", Price_Header,0)))))</f>
        <v>121.18142850000001</v>
      </c>
      <c r="K44" s="48">
        <f ca="1">IF(tbl_IBM[[#This Row],[BB_Mean]]="", "", tbl_IBM[[#This Row],[BB_Mean]]+(BB_Width*tbl_IBM[[#This Row],[BB_Stdev]]))</f>
        <v>125.05449774808235</v>
      </c>
      <c r="L44" s="48">
        <f ca="1">IF(tbl_IBM[[#This Row],[BB_Mean]]="", "", tbl_IBM[[#This Row],[BB_Mean]]-(BB_Width*tbl_IBM[[#This Row],[BB_Stdev]]))</f>
        <v>117.30835925191766</v>
      </c>
      <c r="M44" s="46">
        <f>IF(ROW(tbl_IBM[[#This Row],[Adj Close]])=5, 0, $F44-$F43)</f>
        <v>1.4400000000000119</v>
      </c>
      <c r="N44" s="46">
        <f>MAX(tbl_IBM[[#This Row],[Move]],0)</f>
        <v>1.4400000000000119</v>
      </c>
      <c r="O44" s="46">
        <f>MAX(-tbl_IBM[[#This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0.61071400000000153</v>
      </c>
      <c r="Q44" s="46">
        <f ca="1">IF(ROW($O44)-5&lt;RSI_Periods, "", AVERAGE(INDIRECT(ADDRESS(ROW($O44)-RSI_Periods +1, MATCH("Downmove", Price_Header,0))): INDIRECT(ADDRESS(ROW($O44),MATCH("Downmove", Price_Header,0)))))</f>
        <v>0.64142842857143023</v>
      </c>
      <c r="R44" s="46">
        <f ca="1">IF(tbl_IBM[[#This Row],[Avg_Upmove]]="", "", tbl_IBM[[#This Row],[Avg_Upmove]]/tbl_IBM[[#This Row],[Avg_Downmove]])</f>
        <v>0.95211557953576376</v>
      </c>
      <c r="S44" s="48">
        <f ca="1">IF(ROW($N44)-4&lt;BB_Periods, "", _xlfn.STDEV.S(INDIRECT(ADDRESS(ROW($F44)-RSI_Periods +1, MATCH("Adj Close", Price_Header,0))): INDIRECT(ADDRESS(ROW($F44),MATCH("Adj Close", Price_Header,0)))))</f>
        <v>1.9365346240411689</v>
      </c>
    </row>
    <row r="45" spans="1:19" x14ac:dyDescent="0.35">
      <c r="A45" t="s">
        <v>162</v>
      </c>
      <c r="S45">
        <f ca="1">SUBTOTAL(103,tbl_IBM[BB_Stdev])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5"/>
  <sheetViews>
    <sheetView topLeftCell="A30" workbookViewId="0">
      <selection activeCell="A44" sqref="A44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171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3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3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3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3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3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3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3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3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3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3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3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3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3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3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3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3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3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3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35">
      <c r="A37" s="8">
        <v>44098</v>
      </c>
      <c r="B37" s="10">
        <v>58.74</v>
      </c>
      <c r="C37" s="10">
        <v>59.9</v>
      </c>
      <c r="D37" s="10">
        <v>58.29</v>
      </c>
      <c r="E37" s="10">
        <v>59.3</v>
      </c>
      <c r="F37" s="10">
        <v>59.3</v>
      </c>
      <c r="G37">
        <v>9560500</v>
      </c>
      <c r="H37" s="127">
        <f>IF(tbl_ORCL[[#This Row],[Date]]=$A$5, $F37, EMA_Beta*$H36 + (1-EMA_Beta)*$F37)</f>
        <v>58.628247446490441</v>
      </c>
      <c r="I37" s="50">
        <f ca="1">IF(tbl_ORCL[[#This Row],[RS]]= "", "", 100-(100/(1+tbl_ORCL[[#This Row],[RS]])))</f>
        <v>58.785950479233229</v>
      </c>
      <c r="J37" s="127">
        <f ca="1">IF(ROW($N37)-4&lt;BB_Periods, "", AVERAGE(INDIRECT(ADDRESS(ROW($F37)-RSI_Periods +1, MATCH("Adj Close", Price_Header,0))): INDIRECT(ADDRESS(ROW($F37),MATCH("Adj Close", Price_Header,0)))))</f>
        <v>58.770714357142865</v>
      </c>
      <c r="K37" s="127">
        <f ca="1">IF(tbl_ORCL[[#This Row],[BB_Mean]]="", "", tbl_ORCL[[#This Row],[BB_Mean]]+(BB_Width*tbl_ORCL[[#This Row],[BB_Stdev]]))</f>
        <v>62.633518350088174</v>
      </c>
      <c r="L37" s="127">
        <f ca="1">IF(tbl_ORCL[[#This Row],[BB_Mean]]="", "", tbl_ORCL[[#This Row],[BB_Mean]]-(BB_Width*tbl_ORCL[[#This Row],[BB_Stdev]]))</f>
        <v>54.907910364197555</v>
      </c>
      <c r="M37" s="50">
        <f>IF(ROW(tbl_ORCL[[#This Row],[Adj Close]])=5, 0, $F37-$F36)</f>
        <v>0.33999999999999631</v>
      </c>
      <c r="N37" s="50">
        <f>MAX(tbl_ORCL[[#This Row],[Move]],0)</f>
        <v>0.33999999999999631</v>
      </c>
      <c r="O37" s="50">
        <f>MAX(-tbl_ORCL[[#This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0.52571435714285697</v>
      </c>
      <c r="Q37" s="50">
        <f ca="1">IF(ROW($O37)-5&lt;RSI_Periods, "", AVERAGE(INDIRECT(ADDRESS(ROW($O37)-RSI_Periods +1, MATCH("Downmove", Price_Header,0))): INDIRECT(ADDRESS(ROW($O37),MATCH("Downmove", Price_Header,0)))))</f>
        <v>0.3685713571428571</v>
      </c>
      <c r="R37" s="50">
        <f ca="1">IF(tbl_ORCL[[#This Row],[Avg_Upmove]]="", "", tbl_ORCL[[#This Row],[Avg_Upmove]]/tbl_ORCL[[#This Row],[Avg_Downmove]])</f>
        <v>1.4263570593715229</v>
      </c>
      <c r="S37" s="127">
        <f ca="1">IF(ROW($N37)-4&lt;BB_Periods, "", _xlfn.STDEV.S(INDIRECT(ADDRESS(ROW($F37)-RSI_Periods +1, MATCH("Adj Close", Price_Header,0))): INDIRECT(ADDRESS(ROW($F37),MATCH("Adj Close", Price_Header,0)))))</f>
        <v>1.9314019964726543</v>
      </c>
    </row>
    <row r="38" spans="1:19" x14ac:dyDescent="0.35">
      <c r="A38" s="8">
        <v>44099</v>
      </c>
      <c r="B38" s="10">
        <v>59.27</v>
      </c>
      <c r="C38" s="10">
        <v>59.99</v>
      </c>
      <c r="D38" s="10">
        <v>58.96</v>
      </c>
      <c r="E38" s="10">
        <v>59.8</v>
      </c>
      <c r="F38" s="10">
        <v>59.8</v>
      </c>
      <c r="G38">
        <v>9371900</v>
      </c>
      <c r="H38" s="127">
        <f>IF(tbl_ORCL[[#This Row],[Date]]=$A$5, $F38, EMA_Beta*$H37 + (1-EMA_Beta)*$F38)</f>
        <v>58.745422701841392</v>
      </c>
      <c r="I38" s="50">
        <f ca="1">IF(tbl_ORCL[[#This Row],[RS]]= "", "", 100-(100/(1+tbl_ORCL[[#This Row],[RS]])))</f>
        <v>67.467808160032945</v>
      </c>
      <c r="J38" s="127">
        <f ca="1">IF(ROW($N38)-4&lt;BB_Periods, "", AVERAGE(INDIRECT(ADDRESS(ROW($F38)-RSI_Periods +1, MATCH("Adj Close", Price_Header,0))): INDIRECT(ADDRESS(ROW($F38),MATCH("Adj Close", Price_Header,0)))))</f>
        <v>59.061428642857145</v>
      </c>
      <c r="K38" s="127">
        <f ca="1">IF(tbl_ORCL[[#This Row],[BB_Mean]]="", "", tbl_ORCL[[#This Row],[BB_Mean]]+(BB_Width*tbl_ORCL[[#This Row],[BB_Stdev]]))</f>
        <v>62.531048694133929</v>
      </c>
      <c r="L38" s="127">
        <f ca="1">IF(tbl_ORCL[[#This Row],[BB_Mean]]="", "", tbl_ORCL[[#This Row],[BB_Mean]]-(BB_Width*tbl_ORCL[[#This Row],[BB_Stdev]]))</f>
        <v>55.59180859158036</v>
      </c>
      <c r="M38" s="50">
        <f>IF(ROW(tbl_ORCL[[#This Row],[Adj Close]])=5, 0, $F38-$F37)</f>
        <v>0.5</v>
      </c>
      <c r="N38" s="50">
        <f>MAX(tbl_ORCL[[#This Row],[Move]],0)</f>
        <v>0.5</v>
      </c>
      <c r="O38" s="50">
        <f>MAX(-tbl_ORCL[[#This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0.56142864285714267</v>
      </c>
      <c r="Q38" s="50">
        <f ca="1">IF(ROW($O38)-5&lt;RSI_Periods, "", AVERAGE(INDIRECT(ADDRESS(ROW($O38)-RSI_Periods +1, MATCH("Downmove", Price_Header,0))): INDIRECT(ADDRESS(ROW($O38),MATCH("Downmove", Price_Header,0)))))</f>
        <v>0.27071435714285691</v>
      </c>
      <c r="R38" s="50">
        <f ca="1">IF(tbl_ORCL[[#This Row],[Avg_Upmove]]="", "", tbl_ORCL[[#This Row],[Avg_Upmove]]/tbl_ORCL[[#This Row],[Avg_Downmove]])</f>
        <v>2.0738783446231293</v>
      </c>
      <c r="S38" s="127">
        <f ca="1">IF(ROW($N38)-4&lt;BB_Periods, "", _xlfn.STDEV.S(INDIRECT(ADDRESS(ROW($F38)-RSI_Periods +1, MATCH("Adj Close", Price_Header,0))): INDIRECT(ADDRESS(ROW($F38),MATCH("Adj Close", Price_Header,0)))))</f>
        <v>1.7348100256383916</v>
      </c>
    </row>
    <row r="39" spans="1:19" x14ac:dyDescent="0.35">
      <c r="A39" s="8">
        <v>44102</v>
      </c>
      <c r="B39" s="10">
        <v>60.03</v>
      </c>
      <c r="C39" s="10">
        <v>60.54</v>
      </c>
      <c r="D39" s="10">
        <v>59.47</v>
      </c>
      <c r="E39" s="10">
        <v>59.58</v>
      </c>
      <c r="F39" s="10">
        <v>59.58</v>
      </c>
      <c r="G39">
        <v>9356300</v>
      </c>
      <c r="H39" s="127">
        <f>IF(tbl_ORCL[[#This Row],[Date]]=$A$5, $F39, EMA_Beta*$H38 + (1-EMA_Beta)*$F39)</f>
        <v>58.828880431657254</v>
      </c>
      <c r="I39" s="50">
        <f ca="1">IF(tbl_ORCL[[#This Row],[RS]]= "", "", 100-(100/(1+tbl_ORCL[[#This Row],[RS]])))</f>
        <v>68.586384190857899</v>
      </c>
      <c r="J39" s="127">
        <f ca="1">IF(ROW($N39)-4&lt;BB_Periods, "", AVERAGE(INDIRECT(ADDRESS(ROW($F39)-RSI_Periods +1, MATCH("Adj Close", Price_Header,0))): INDIRECT(ADDRESS(ROW($F39),MATCH("Adj Close", Price_Header,0)))))</f>
        <v>59.365714357142856</v>
      </c>
      <c r="K39" s="127">
        <f ca="1">IF(tbl_ORCL[[#This Row],[BB_Mean]]="", "", tbl_ORCL[[#This Row],[BB_Mean]]+(BB_Width*tbl_ORCL[[#This Row],[BB_Stdev]]))</f>
        <v>62.088762792866838</v>
      </c>
      <c r="L39" s="127">
        <f ca="1">IF(tbl_ORCL[[#This Row],[BB_Mean]]="", "", tbl_ORCL[[#This Row],[BB_Mean]]-(BB_Width*tbl_ORCL[[#This Row],[BB_Stdev]]))</f>
        <v>56.642665921418875</v>
      </c>
      <c r="M39" s="50">
        <f>IF(ROW(tbl_ORCL[[#This Row],[Adj Close]])=5, 0, $F39-$F38)</f>
        <v>-0.21999999999999886</v>
      </c>
      <c r="N39" s="50">
        <f>MAX(tbl_ORCL[[#This Row],[Move]],0)</f>
        <v>0</v>
      </c>
      <c r="O39" s="50">
        <f>MAX(-tbl_ORCL[[#This Row],[Move]],0)</f>
        <v>0.21999999999999886</v>
      </c>
      <c r="P39" s="50">
        <f ca="1">IF(ROW($N39)-5&lt;RSI_Periods, "", AVERAGE(INDIRECT(ADDRESS(ROW($N39)-RSI_Periods +1, MATCH("Upmove", Price_Header,0))): INDIRECT(ADDRESS(ROW($N39),MATCH("Upmove", Price_Header,0)))))</f>
        <v>0.56142864285714267</v>
      </c>
      <c r="Q39" s="50">
        <f ca="1">IF(ROW($O39)-5&lt;RSI_Periods, "", AVERAGE(INDIRECT(ADDRESS(ROW($O39)-RSI_Periods +1, MATCH("Downmove", Price_Header,0))): INDIRECT(ADDRESS(ROW($O39),MATCH("Downmove", Price_Header,0)))))</f>
        <v>0.25714292857142851</v>
      </c>
      <c r="R39" s="50">
        <f ca="1">IF(tbl_ORCL[[#This Row],[Avg_Upmove]]="", "", tbl_ORCL[[#This Row],[Avg_Upmove]]/tbl_ORCL[[#This Row],[Avg_Downmove]])</f>
        <v>2.1833330046297208</v>
      </c>
      <c r="S39" s="127">
        <f ca="1">IF(ROW($N39)-4&lt;BB_Periods, "", _xlfn.STDEV.S(INDIRECT(ADDRESS(ROW($F39)-RSI_Periods +1, MATCH("Adj Close", Price_Header,0))): INDIRECT(ADDRESS(ROW($F39),MATCH("Adj Close", Price_Header,0)))))</f>
        <v>1.3615242178619915</v>
      </c>
    </row>
    <row r="40" spans="1:19" x14ac:dyDescent="0.35">
      <c r="A40" s="8">
        <v>44103</v>
      </c>
      <c r="B40" s="10">
        <v>59.58</v>
      </c>
      <c r="C40" s="10">
        <v>60.16</v>
      </c>
      <c r="D40" s="10">
        <v>59.4</v>
      </c>
      <c r="E40" s="10">
        <v>59.47</v>
      </c>
      <c r="F40" s="10">
        <v>59.47</v>
      </c>
      <c r="G40">
        <v>6340600</v>
      </c>
      <c r="H40" s="127">
        <f>IF(tbl_ORCL[[#This Row],[Date]]=$A$5, $F40, EMA_Beta*$H39 + (1-EMA_Beta)*$F40)</f>
        <v>58.892992388491528</v>
      </c>
      <c r="I40" s="50">
        <f ca="1">IF(tbl_ORCL[[#This Row],[RS]]= "", "", 100-(100/(1+tbl_ORCL[[#This Row],[RS]])))</f>
        <v>62.676050032590545</v>
      </c>
      <c r="J40" s="127">
        <f ca="1">IF(ROW($N40)-4&lt;BB_Periods, "", AVERAGE(INDIRECT(ADDRESS(ROW($F40)-RSI_Periods +1, MATCH("Adj Close", Price_Header,0))): INDIRECT(ADDRESS(ROW($F40),MATCH("Adj Close", Price_Header,0)))))</f>
        <v>59.545714285714283</v>
      </c>
      <c r="K40" s="127">
        <f ca="1">IF(tbl_ORCL[[#This Row],[BB_Mean]]="", "", tbl_ORCL[[#This Row],[BB_Mean]]+(BB_Width*tbl_ORCL[[#This Row],[BB_Stdev]]))</f>
        <v>61.887333145664932</v>
      </c>
      <c r="L40" s="127">
        <f ca="1">IF(tbl_ORCL[[#This Row],[BB_Mean]]="", "", tbl_ORCL[[#This Row],[BB_Mean]]-(BB_Width*tbl_ORCL[[#This Row],[BB_Stdev]]))</f>
        <v>57.204095425763633</v>
      </c>
      <c r="M40" s="50">
        <f>IF(ROW(tbl_ORCL[[#This Row],[Adj Close]])=5, 0, $F40-$F39)</f>
        <v>-0.10999999999999943</v>
      </c>
      <c r="N40" s="50">
        <f>MAX(tbl_ORCL[[#This Row],[Move]],0)</f>
        <v>0</v>
      </c>
      <c r="O40" s="50">
        <f>MAX(-tbl_ORCL[[#This Row],[Move]],0)</f>
        <v>0.10999999999999943</v>
      </c>
      <c r="P40" s="50">
        <f ca="1">IF(ROW($N40)-5&lt;RSI_Periods, "", AVERAGE(INDIRECT(ADDRESS(ROW($N40)-RSI_Periods +1, MATCH("Upmove", Price_Header,0))): INDIRECT(ADDRESS(ROW($N40),MATCH("Upmove", Price_Header,0)))))</f>
        <v>0.44499999999999978</v>
      </c>
      <c r="Q40" s="50">
        <f ca="1">IF(ROW($O40)-5&lt;RSI_Periods, "", AVERAGE(INDIRECT(ADDRESS(ROW($O40)-RSI_Periods +1, MATCH("Downmove", Price_Header,0))): INDIRECT(ADDRESS(ROW($O40),MATCH("Downmove", Price_Header,0)))))</f>
        <v>0.26500007142857129</v>
      </c>
      <c r="R40" s="50">
        <f ca="1">IF(tbl_ORCL[[#This Row],[Avg_Upmove]]="", "", tbl_ORCL[[#This Row],[Avg_Upmove]]/tbl_ORCL[[#This Row],[Avg_Downmove]])</f>
        <v>1.6792448303922292</v>
      </c>
      <c r="S40" s="127">
        <f ca="1">IF(ROW($N40)-4&lt;BB_Periods, "", _xlfn.STDEV.S(INDIRECT(ADDRESS(ROW($F40)-RSI_Periods +1, MATCH("Adj Close", Price_Header,0))): INDIRECT(ADDRESS(ROW($F40),MATCH("Adj Close", Price_Header,0)))))</f>
        <v>1.1708094299753236</v>
      </c>
    </row>
    <row r="41" spans="1:19" x14ac:dyDescent="0.35">
      <c r="A41" s="8">
        <v>44104</v>
      </c>
      <c r="B41" s="10">
        <v>59.52</v>
      </c>
      <c r="C41" s="10">
        <v>60.39</v>
      </c>
      <c r="D41" s="10">
        <v>59.37</v>
      </c>
      <c r="E41" s="10">
        <v>59.7</v>
      </c>
      <c r="F41" s="10">
        <v>59.7</v>
      </c>
      <c r="G41">
        <v>11000500</v>
      </c>
      <c r="H41" s="127">
        <f>IF(tbl_ORCL[[#This Row],[Date]]=$A$5, $F41, EMA_Beta*$H40 + (1-EMA_Beta)*$F41)</f>
        <v>58.973693149642372</v>
      </c>
      <c r="I41" s="50">
        <f ca="1">IF(tbl_ORCL[[#This Row],[RS]]= "", "", 100-(100/(1+tbl_ORCL[[#This Row],[RS]])))</f>
        <v>62.104177732379995</v>
      </c>
      <c r="J41" s="127">
        <f ca="1">IF(ROW($N41)-4&lt;BB_Periods, "", AVERAGE(INDIRECT(ADDRESS(ROW($F41)-RSI_Periods +1, MATCH("Adj Close", Price_Header,0))): INDIRECT(ADDRESS(ROW($F41),MATCH("Adj Close", Price_Header,0)))))</f>
        <v>59.714999857142857</v>
      </c>
      <c r="K41" s="127">
        <f ca="1">IF(tbl_ORCL[[#This Row],[BB_Mean]]="", "", tbl_ORCL[[#This Row],[BB_Mean]]+(BB_Width*tbl_ORCL[[#This Row],[BB_Stdev]]))</f>
        <v>61.678791171451579</v>
      </c>
      <c r="L41" s="127">
        <f ca="1">IF(tbl_ORCL[[#This Row],[BB_Mean]]="", "", tbl_ORCL[[#This Row],[BB_Mean]]-(BB_Width*tbl_ORCL[[#This Row],[BB_Stdev]]))</f>
        <v>57.751208542834135</v>
      </c>
      <c r="M41" s="50">
        <f>IF(ROW(tbl_ORCL[[#This Row],[Adj Close]])=5, 0, $F41-$F40)</f>
        <v>0.23000000000000398</v>
      </c>
      <c r="N41" s="50">
        <f>MAX(tbl_ORCL[[#This Row],[Move]],0)</f>
        <v>0.23000000000000398</v>
      </c>
      <c r="O41" s="50">
        <f>MAX(-tbl_ORCL[[#This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0.43428564285714294</v>
      </c>
      <c r="Q41" s="50">
        <f ca="1">IF(ROW($O41)-5&lt;RSI_Periods, "", AVERAGE(INDIRECT(ADDRESS(ROW($O41)-RSI_Periods +1, MATCH("Downmove", Price_Header,0))): INDIRECT(ADDRESS(ROW($O41),MATCH("Downmove", Price_Header,0)))))</f>
        <v>0.26500007142857129</v>
      </c>
      <c r="R41" s="50">
        <f ca="1">IF(tbl_ORCL[[#This Row],[Avg_Upmove]]="", "", tbl_ORCL[[#This Row],[Avg_Upmove]]/tbl_ORCL[[#This Row],[Avg_Downmove]])</f>
        <v>1.6388133049020752</v>
      </c>
      <c r="S41" s="127">
        <f ca="1">IF(ROW($N41)-4&lt;BB_Periods, "", _xlfn.STDEV.S(INDIRECT(ADDRESS(ROW($F41)-RSI_Periods +1, MATCH("Adj Close", Price_Header,0))): INDIRECT(ADDRESS(ROW($F41),MATCH("Adj Close", Price_Header,0)))))</f>
        <v>0.98189565715436034</v>
      </c>
    </row>
    <row r="42" spans="1:19" x14ac:dyDescent="0.35">
      <c r="A42" s="8">
        <v>44105</v>
      </c>
      <c r="B42" s="10">
        <v>60.17</v>
      </c>
      <c r="C42" s="10">
        <v>60.27</v>
      </c>
      <c r="D42" s="10">
        <v>59.45</v>
      </c>
      <c r="E42" s="10">
        <v>59.68</v>
      </c>
      <c r="F42" s="10">
        <v>59.68</v>
      </c>
      <c r="G42">
        <v>7357700</v>
      </c>
      <c r="H42" s="127">
        <f>IF(tbl_ORCL[[#This Row],[Date]]=$A$5, $F42, EMA_Beta*$H41 + (1-EMA_Beta)*$F42)</f>
        <v>59.044323834678131</v>
      </c>
      <c r="I42" s="50">
        <f ca="1">IF(tbl_ORCL[[#This Row],[RS]]= "", "", 100-(100/(1+tbl_ORCL[[#This Row],[RS]])))</f>
        <v>64.135024079119006</v>
      </c>
      <c r="J42" s="127">
        <f ca="1">IF(ROW($N42)-4&lt;BB_Periods, "", AVERAGE(INDIRECT(ADDRESS(ROW($F42)-RSI_Periods +1, MATCH("Adj Close", Price_Header,0))): INDIRECT(ADDRESS(ROW($F42),MATCH("Adj Close", Price_Header,0)))))</f>
        <v>59.906428428571424</v>
      </c>
      <c r="K42" s="127">
        <f ca="1">IF(tbl_ORCL[[#This Row],[BB_Mean]]="", "", tbl_ORCL[[#This Row],[BB_Mean]]+(BB_Width*tbl_ORCL[[#This Row],[BB_Stdev]]))</f>
        <v>61.102643003391307</v>
      </c>
      <c r="L42" s="127">
        <f ca="1">IF(tbl_ORCL[[#This Row],[BB_Mean]]="", "", tbl_ORCL[[#This Row],[BB_Mean]]-(BB_Width*tbl_ORCL[[#This Row],[BB_Stdev]]))</f>
        <v>58.71021385375154</v>
      </c>
      <c r="M42" s="50">
        <f>IF(ROW(tbl_ORCL[[#This Row],[Adj Close]])=5, 0, $F42-$F41)</f>
        <v>-2.0000000000003126E-2</v>
      </c>
      <c r="N42" s="50">
        <f>MAX(tbl_ORCL[[#This Row],[Move]],0)</f>
        <v>0</v>
      </c>
      <c r="O42" s="50">
        <f>MAX(-tbl_ORCL[[#This Row],[Move]],0)</f>
        <v>2.0000000000003126E-2</v>
      </c>
      <c r="P42" s="50">
        <f ca="1">IF(ROW($N42)-5&lt;RSI_Periods, "", AVERAGE(INDIRECT(ADDRESS(ROW($N42)-RSI_Periods +1, MATCH("Upmove", Price_Header,0))): INDIRECT(ADDRESS(ROW($N42),MATCH("Upmove", Price_Header,0)))))</f>
        <v>0.43428564285714294</v>
      </c>
      <c r="Q42" s="50">
        <f ca="1">IF(ROW($O42)-5&lt;RSI_Periods, "", AVERAGE(INDIRECT(ADDRESS(ROW($O42)-RSI_Periods +1, MATCH("Downmove", Price_Header,0))): INDIRECT(ADDRESS(ROW($O42),MATCH("Downmove", Price_Header,0)))))</f>
        <v>0.24285707142857152</v>
      </c>
      <c r="R42" s="50">
        <f ca="1">IF(tbl_ORCL[[#This Row],[Avg_Upmove]]="", "", tbl_ORCL[[#This Row],[Avg_Upmove]]/tbl_ORCL[[#This Row],[Avg_Downmove]])</f>
        <v>1.7882355259516249</v>
      </c>
      <c r="S42" s="127">
        <f ca="1">IF(ROW($N42)-4&lt;BB_Periods, "", _xlfn.STDEV.S(INDIRECT(ADDRESS(ROW($F42)-RSI_Periods +1, MATCH("Adj Close", Price_Header,0))): INDIRECT(ADDRESS(ROW($F42),MATCH("Adj Close", Price_Header,0)))))</f>
        <v>0.59810728740994201</v>
      </c>
    </row>
    <row r="43" spans="1:19" x14ac:dyDescent="0.35">
      <c r="A43" s="8">
        <v>44106</v>
      </c>
      <c r="B43" s="10">
        <v>58.71</v>
      </c>
      <c r="C43" s="10">
        <v>59.52</v>
      </c>
      <c r="D43" s="10">
        <v>58.51</v>
      </c>
      <c r="E43" s="10">
        <v>58.83</v>
      </c>
      <c r="F43" s="10">
        <v>58.83</v>
      </c>
      <c r="G43">
        <v>7329800</v>
      </c>
      <c r="H43" s="127">
        <f>IF(tbl_ORCL[[#This Row],[Date]]=$A$5, $F43, EMA_Beta*$H42 + (1-EMA_Beta)*$F43)</f>
        <v>59.022891451210313</v>
      </c>
      <c r="I43" s="50">
        <f ca="1">IF(tbl_ORCL[[#This Row],[RS]]= "", "", 100-(100/(1+tbl_ORCL[[#This Row],[RS]])))</f>
        <v>45.997464548597748</v>
      </c>
      <c r="J43" s="127">
        <f ca="1">IF(ROW($N43)-4&lt;BB_Periods, "", AVERAGE(INDIRECT(ADDRESS(ROW($F43)-RSI_Periods +1, MATCH("Adj Close", Price_Header,0))): INDIRECT(ADDRESS(ROW($F43),MATCH("Adj Close", Price_Header,0)))))</f>
        <v>59.861428500000002</v>
      </c>
      <c r="K43" s="127">
        <f ca="1">IF(tbl_ORCL[[#This Row],[BB_Mean]]="", "", tbl_ORCL[[#This Row],[BB_Mean]]+(BB_Width*tbl_ORCL[[#This Row],[BB_Stdev]]))</f>
        <v>61.171926851647427</v>
      </c>
      <c r="L43" s="127">
        <f ca="1">IF(tbl_ORCL[[#This Row],[BB_Mean]]="", "", tbl_ORCL[[#This Row],[BB_Mean]]-(BB_Width*tbl_ORCL[[#This Row],[BB_Stdev]]))</f>
        <v>58.550930148352577</v>
      </c>
      <c r="M43" s="50">
        <f>IF(ROW(tbl_ORCL[[#This Row],[Adj Close]])=5, 0, $F43-$F42)</f>
        <v>-0.85000000000000142</v>
      </c>
      <c r="N43" s="50">
        <f>MAX(tbl_ORCL[[#This Row],[Move]],0)</f>
        <v>0</v>
      </c>
      <c r="O43" s="50">
        <f>MAX(-tbl_ORCL[[#This Row],[Move]],0)</f>
        <v>0.85000000000000142</v>
      </c>
      <c r="P43" s="50">
        <f ca="1">IF(ROW($N43)-5&lt;RSI_Periods, "", AVERAGE(INDIRECT(ADDRESS(ROW($N43)-RSI_Periods +1, MATCH("Upmove", Price_Header,0))): INDIRECT(ADDRESS(ROW($N43),MATCH("Upmove", Price_Header,0)))))</f>
        <v>0.2585714285714284</v>
      </c>
      <c r="Q43" s="50">
        <f ca="1">IF(ROW($O43)-5&lt;RSI_Periods, "", AVERAGE(INDIRECT(ADDRESS(ROW($O43)-RSI_Periods +1, MATCH("Downmove", Price_Header,0))): INDIRECT(ADDRESS(ROW($O43),MATCH("Downmove", Price_Header,0)))))</f>
        <v>0.30357135714285732</v>
      </c>
      <c r="R43" s="50">
        <f ca="1">IF(tbl_ORCL[[#This Row],[Avg_Upmove]]="", "", tbl_ORCL[[#This Row],[Avg_Upmove]]/tbl_ORCL[[#This Row],[Avg_Downmove]])</f>
        <v>0.85176490629762391</v>
      </c>
      <c r="S43" s="127">
        <f ca="1">IF(ROW($N43)-4&lt;BB_Periods, "", _xlfn.STDEV.S(INDIRECT(ADDRESS(ROW($F43)-RSI_Periods +1, MATCH("Adj Close", Price_Header,0))): INDIRECT(ADDRESS(ROW($F43),MATCH("Adj Close", Price_Header,0)))))</f>
        <v>0.65524917582371223</v>
      </c>
    </row>
    <row r="44" spans="1:19" x14ac:dyDescent="0.35">
      <c r="A44" s="8">
        <v>44109</v>
      </c>
      <c r="B44" s="10">
        <v>59.44</v>
      </c>
      <c r="C44" s="10">
        <v>59.67</v>
      </c>
      <c r="D44" s="10">
        <v>59.09</v>
      </c>
      <c r="E44" s="10">
        <v>59.56</v>
      </c>
      <c r="F44" s="10">
        <v>59.56</v>
      </c>
      <c r="G44">
        <v>6896800</v>
      </c>
      <c r="H44" s="127">
        <f>IF(tbl_ORCL[[#This Row],[Date]]=$A$5, $F44, EMA_Beta*$H43 + (1-EMA_Beta)*$F44)</f>
        <v>59.076602306089278</v>
      </c>
      <c r="I44" s="50">
        <f ca="1">IF(tbl_ORCL[[#This Row],[RS]]= "", "", 100-(100/(1+tbl_ORCL[[#This Row],[RS]])))</f>
        <v>40.308994425420586</v>
      </c>
      <c r="J44" s="127">
        <f ca="1">IF(ROW($N44)-4&lt;BB_Periods, "", AVERAGE(INDIRECT(ADDRESS(ROW($F44)-RSI_Periods +1, MATCH("Adj Close", Price_Header,0))): INDIRECT(ADDRESS(ROW($F44),MATCH("Adj Close", Price_Header,0)))))</f>
        <v>59.76285714285715</v>
      </c>
      <c r="K44" s="127">
        <f ca="1">IF(tbl_ORCL[[#This Row],[BB_Mean]]="", "", tbl_ORCL[[#This Row],[BB_Mean]]+(BB_Width*tbl_ORCL[[#This Row],[BB_Stdev]]))</f>
        <v>60.922841985501584</v>
      </c>
      <c r="L44" s="127">
        <f ca="1">IF(tbl_ORCL[[#This Row],[BB_Mean]]="", "", tbl_ORCL[[#This Row],[BB_Mean]]-(BB_Width*tbl_ORCL[[#This Row],[BB_Stdev]]))</f>
        <v>58.602872300212717</v>
      </c>
      <c r="M44" s="50">
        <f>IF(ROW(tbl_ORCL[[#This Row],[Adj Close]])=5, 0, $F44-$F43)</f>
        <v>0.73000000000000398</v>
      </c>
      <c r="N44" s="50">
        <f>MAX(tbl_ORCL[[#This Row],[Move]],0)</f>
        <v>0.73000000000000398</v>
      </c>
      <c r="O44" s="50">
        <f>MAX(-tbl_ORCL[[#This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0.20500000000000032</v>
      </c>
      <c r="Q44" s="50">
        <f ca="1">IF(ROW($O44)-5&lt;RSI_Periods, "", AVERAGE(INDIRECT(ADDRESS(ROW($O44)-RSI_Periods +1, MATCH("Downmove", Price_Header,0))): INDIRECT(ADDRESS(ROW($O44),MATCH("Downmove", Price_Header,0)))))</f>
        <v>0.30357135714285732</v>
      </c>
      <c r="R44" s="50">
        <f ca="1">IF(tbl_ORCL[[#This Row],[Avg_Upmove]]="", "", tbl_ORCL[[#This Row],[Avg_Upmove]]/tbl_ORCL[[#This Row],[Avg_Downmove]])</f>
        <v>0.67529427653983043</v>
      </c>
      <c r="S44" s="127">
        <f ca="1">IF(ROW($N44)-4&lt;BB_Periods, "", _xlfn.STDEV.S(INDIRECT(ADDRESS(ROW($F44)-RSI_Periods +1, MATCH("Adj Close", Price_Header,0))): INDIRECT(ADDRESS(ROW($F44),MATCH("Adj Close", Price_Header,0)))))</f>
        <v>0.57999242132221762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>
        <f ca="1">SUBTOTAL(103,tbl_ORCL[BB_Stdev])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5"/>
  <sheetViews>
    <sheetView topLeftCell="A29" workbookViewId="0">
      <selection activeCell="E45" sqref="E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3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3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3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3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3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3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3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3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3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3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3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3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3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3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3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3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3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3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35">
      <c r="A37" s="8">
        <v>44098</v>
      </c>
      <c r="B37" s="10">
        <v>31.81</v>
      </c>
      <c r="C37" s="10">
        <v>32.94</v>
      </c>
      <c r="D37" s="10">
        <v>31.32</v>
      </c>
      <c r="E37" s="10">
        <v>32.15</v>
      </c>
      <c r="F37" s="10">
        <v>32.15</v>
      </c>
      <c r="G37">
        <v>116200</v>
      </c>
      <c r="H37" s="10">
        <f>IF(tbl_AKRO[[#This Row],[Date]]=$A$5, $F37, EMA_Beta*$H36 + (1-EMA_Beta)*$F37)</f>
        <v>34.144688857498792</v>
      </c>
      <c r="I37" s="46">
        <f ca="1">IF(tbl_AKRO[[#This Row],[RS]]= "", "", 100-(100/(1+tbl_AKRO[[#This Row],[RS]])))</f>
        <v>46.471050473517096</v>
      </c>
      <c r="J37" s="10">
        <f ca="1">IF(ROW($N37)-4&lt;BB_Periods, "", AVERAGE(INDIRECT(ADDRESS(ROW($F37)-RSI_Periods +1, MATCH("Adj Close", Price_Header,0))): INDIRECT(ADDRESS(ROW($F37),MATCH("Adj Close", Price_Header,0)))))</f>
        <v>34.388571142857138</v>
      </c>
      <c r="K37" s="127">
        <f ca="1">IF(tbl_AKRO[[#This Row],[BB_Mean]]="", "", tbl_AKRO[[#This Row],[BB_Mean]]+(BB_Width*tbl_AKRO[[#This Row],[BB_Stdev]]))</f>
        <v>38.093776595362769</v>
      </c>
      <c r="L37" s="127">
        <f ca="1">IF(tbl_AKRO[[#This Row],[BB_Mean]]="", "", tbl_AKRO[[#This Row],[BB_Mean]]-(BB_Width*tbl_AKRO[[#This Row],[BB_Stdev]]))</f>
        <v>30.683365690351508</v>
      </c>
      <c r="M37" s="46">
        <f>IF(ROW(tbl_AKRO[[#This Row],[Adj Close]])=5, 0, $F37-$F36)</f>
        <v>0.19999999999999929</v>
      </c>
      <c r="N37" s="46">
        <f>MAX(tbl_AKRO[[#This Row],[Move]],0)</f>
        <v>0.19999999999999929</v>
      </c>
      <c r="O37" s="46">
        <f>MAX(-tbl_AKRO[[#This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0.41857135714285754</v>
      </c>
      <c r="Q37" s="46">
        <f ca="1">IF(ROW($O37)-5&lt;RSI_Periods, "", AVERAGE(INDIRECT(ADDRESS(ROW($O37)-RSI_Periods +1, MATCH("Downmove", Price_Header,0))): INDIRECT(ADDRESS(ROW($O37),MATCH("Downmove", Price_Header,0)))))</f>
        <v>0.48214285714285737</v>
      </c>
      <c r="R37" s="46">
        <f ca="1">IF(tbl_AKRO[[#This Row],[Avg_Upmove]]="", "", tbl_AKRO[[#This Row],[Avg_Upmove]]/tbl_AKRO[[#This Row],[Avg_Downmove]])</f>
        <v>0.86814800000000036</v>
      </c>
      <c r="S37" s="10">
        <f ca="1">IF(ROW($N37)-4&lt;BB_Periods, "", _xlfn.STDEV.S(INDIRECT(ADDRESS(ROW($F37)-RSI_Periods +1, MATCH("Adj Close", Price_Header,0))): INDIRECT(ADDRESS(ROW($F37),MATCH("Adj Close", Price_Header,0)))))</f>
        <v>1.8526027262528146</v>
      </c>
    </row>
    <row r="38" spans="1:19" x14ac:dyDescent="0.35">
      <c r="A38" s="8">
        <v>44099</v>
      </c>
      <c r="B38" s="10">
        <v>32.54</v>
      </c>
      <c r="C38" s="10">
        <v>32.81</v>
      </c>
      <c r="D38" s="10">
        <v>31.83</v>
      </c>
      <c r="E38" s="10">
        <v>32.130000000000003</v>
      </c>
      <c r="F38" s="10">
        <v>32.130000000000003</v>
      </c>
      <c r="G38">
        <v>84800</v>
      </c>
      <c r="H38" s="10">
        <f>IF(tbl_AKRO[[#This Row],[Date]]=$A$5, $F38, EMA_Beta*$H37 + (1-EMA_Beta)*$F38)</f>
        <v>33.94321997174891</v>
      </c>
      <c r="I38" s="46">
        <f ca="1">IF(tbl_AKRO[[#This Row],[RS]]= "", "", 100-(100/(1+tbl_AKRO[[#This Row],[RS]])))</f>
        <v>49.119865736775481</v>
      </c>
      <c r="J38" s="10">
        <f ca="1">IF(ROW($N38)-4&lt;BB_Periods, "", AVERAGE(INDIRECT(ADDRESS(ROW($F38)-RSI_Periods +1, MATCH("Adj Close", Price_Header,0))): INDIRECT(ADDRESS(ROW($F38),MATCH("Adj Close", Price_Header,0)))))</f>
        <v>34.373571142857138</v>
      </c>
      <c r="K38" s="127">
        <f ca="1">IF(tbl_AKRO[[#This Row],[BB_Mean]]="", "", tbl_AKRO[[#This Row],[BB_Mean]]+(BB_Width*tbl_AKRO[[#This Row],[BB_Stdev]]))</f>
        <v>38.116014979428748</v>
      </c>
      <c r="L38" s="127">
        <f ca="1">IF(tbl_AKRO[[#This Row],[BB_Mean]]="", "", tbl_AKRO[[#This Row],[BB_Mean]]-(BB_Width*tbl_AKRO[[#This Row],[BB_Stdev]]))</f>
        <v>30.631127306285528</v>
      </c>
      <c r="M38" s="46">
        <f>IF(ROW(tbl_AKRO[[#This Row],[Adj Close]])=5, 0, $F38-$F37)</f>
        <v>-1.9999999999996021E-2</v>
      </c>
      <c r="N38" s="46">
        <f>MAX(tbl_AKRO[[#This Row],[Move]],0)</f>
        <v>0</v>
      </c>
      <c r="O38" s="46">
        <f>MAX(-tbl_AKRO[[#This Row],[Move]],0)</f>
        <v>1.9999999999996021E-2</v>
      </c>
      <c r="P38" s="46">
        <f ca="1">IF(ROW($N38)-5&lt;RSI_Periods, "", AVERAGE(INDIRECT(ADDRESS(ROW($N38)-RSI_Periods +1, MATCH("Upmove", Price_Header,0))): INDIRECT(ADDRESS(ROW($N38),MATCH("Upmove", Price_Header,0)))))</f>
        <v>0.41857135714285754</v>
      </c>
      <c r="Q38" s="46">
        <f ca="1">IF(ROW($O38)-5&lt;RSI_Periods, "", AVERAGE(INDIRECT(ADDRESS(ROW($O38)-RSI_Periods +1, MATCH("Downmove", Price_Header,0))): INDIRECT(ADDRESS(ROW($O38),MATCH("Downmove", Price_Header,0)))))</f>
        <v>0.43357135714285761</v>
      </c>
      <c r="R38" s="46">
        <f ca="1">IF(tbl_AKRO[[#This Row],[Avg_Upmove]]="", "", tbl_AKRO[[#This Row],[Avg_Upmove]]/tbl_AKRO[[#This Row],[Avg_Downmove]])</f>
        <v>0.96540361868263891</v>
      </c>
      <c r="S38" s="10">
        <f ca="1">IF(ROW($N38)-4&lt;BB_Periods, "", _xlfn.STDEV.S(INDIRECT(ADDRESS(ROW($F38)-RSI_Periods +1, MATCH("Adj Close", Price_Header,0))): INDIRECT(ADDRESS(ROW($F38),MATCH("Adj Close", Price_Header,0)))))</f>
        <v>1.871221918285805</v>
      </c>
    </row>
    <row r="39" spans="1:19" x14ac:dyDescent="0.35">
      <c r="A39" s="8">
        <v>44102</v>
      </c>
      <c r="B39" s="10">
        <v>32.299999999999997</v>
      </c>
      <c r="C39" s="10">
        <v>32.299999999999997</v>
      </c>
      <c r="D39" s="10">
        <v>30.71</v>
      </c>
      <c r="E39" s="10">
        <v>31.57</v>
      </c>
      <c r="F39" s="10">
        <v>31.57</v>
      </c>
      <c r="G39">
        <v>95500</v>
      </c>
      <c r="H39" s="10">
        <f>IF(tbl_AKRO[[#This Row],[Date]]=$A$5, $F39, EMA_Beta*$H38 + (1-EMA_Beta)*$F39)</f>
        <v>33.705897974574015</v>
      </c>
      <c r="I39" s="46">
        <f ca="1">IF(tbl_AKRO[[#This Row],[RS]]= "", "", 100-(100/(1+tbl_AKRO[[#This Row],[RS]])))</f>
        <v>45.476981907894739</v>
      </c>
      <c r="J39" s="10">
        <f ca="1">IF(ROW($N39)-4&lt;BB_Periods, "", AVERAGE(INDIRECT(ADDRESS(ROW($F39)-RSI_Periods +1, MATCH("Adj Close", Price_Header,0))): INDIRECT(ADDRESS(ROW($F39),MATCH("Adj Close", Price_Header,0)))))</f>
        <v>34.294999857142855</v>
      </c>
      <c r="K39" s="127">
        <f ca="1">IF(tbl_AKRO[[#This Row],[BB_Mean]]="", "", tbl_AKRO[[#This Row],[BB_Mean]]+(BB_Width*tbl_AKRO[[#This Row],[BB_Stdev]]))</f>
        <v>38.232611414341754</v>
      </c>
      <c r="L39" s="127">
        <f ca="1">IF(tbl_AKRO[[#This Row],[BB_Mean]]="", "", tbl_AKRO[[#This Row],[BB_Mean]]-(BB_Width*tbl_AKRO[[#This Row],[BB_Stdev]]))</f>
        <v>30.357388299943953</v>
      </c>
      <c r="M39" s="46">
        <f>IF(ROW(tbl_AKRO[[#This Row],[Adj Close]])=5, 0, $F39-$F38)</f>
        <v>-0.56000000000000227</v>
      </c>
      <c r="N39" s="46">
        <f>MAX(tbl_AKRO[[#This Row],[Move]],0)</f>
        <v>0</v>
      </c>
      <c r="O39" s="46">
        <f>MAX(-tbl_AKRO[[#This Row],[Move]],0)</f>
        <v>0.56000000000000227</v>
      </c>
      <c r="P39" s="46">
        <f ca="1">IF(ROW($N39)-5&lt;RSI_Periods, "", AVERAGE(INDIRECT(ADDRESS(ROW($N39)-RSI_Periods +1, MATCH("Upmove", Price_Header,0))): INDIRECT(ADDRESS(ROW($N39),MATCH("Upmove", Price_Header,0)))))</f>
        <v>0.39500007142857207</v>
      </c>
      <c r="Q39" s="46">
        <f ca="1">IF(ROW($O39)-5&lt;RSI_Periods, "", AVERAGE(INDIRECT(ADDRESS(ROW($O39)-RSI_Periods +1, MATCH("Downmove", Price_Header,0))): INDIRECT(ADDRESS(ROW($O39),MATCH("Downmove", Price_Header,0)))))</f>
        <v>0.47357135714285775</v>
      </c>
      <c r="R39" s="46">
        <f ca="1">IF(tbl_AKRO[[#This Row],[Avg_Upmove]]="", "", tbl_AKRO[[#This Row],[Avg_Upmove]]/tbl_AKRO[[#This Row],[Avg_Downmove]])</f>
        <v>0.83408775778095923</v>
      </c>
      <c r="S39" s="10">
        <f ca="1">IF(ROW($N39)-4&lt;BB_Periods, "", _xlfn.STDEV.S(INDIRECT(ADDRESS(ROW($F39)-RSI_Periods +1, MATCH("Adj Close", Price_Header,0))): INDIRECT(ADDRESS(ROW($F39),MATCH("Adj Close", Price_Header,0)))))</f>
        <v>1.9688057785994511</v>
      </c>
    </row>
    <row r="40" spans="1:19" x14ac:dyDescent="0.35">
      <c r="A40" s="8">
        <v>44103</v>
      </c>
      <c r="B40" s="10">
        <v>31.52</v>
      </c>
      <c r="C40" s="10">
        <v>31.92</v>
      </c>
      <c r="D40" s="10">
        <v>31.16</v>
      </c>
      <c r="E40" s="10">
        <v>31.37</v>
      </c>
      <c r="F40" s="10">
        <v>31.37</v>
      </c>
      <c r="G40">
        <v>128200</v>
      </c>
      <c r="H40" s="10">
        <f>IF(tbl_AKRO[[#This Row],[Date]]=$A$5, $F40, EMA_Beta*$H39 + (1-EMA_Beta)*$F40)</f>
        <v>33.472308177116609</v>
      </c>
      <c r="I40" s="46">
        <f ca="1">IF(tbl_AKRO[[#This Row],[RS]]= "", "", 100-(100/(1+tbl_AKRO[[#This Row],[RS]])))</f>
        <v>37.108664825046063</v>
      </c>
      <c r="J40" s="10">
        <f ca="1">IF(ROW($N40)-4&lt;BB_Periods, "", AVERAGE(INDIRECT(ADDRESS(ROW($F40)-RSI_Periods +1, MATCH("Adj Close", Price_Header,0))): INDIRECT(ADDRESS(ROW($F40),MATCH("Adj Close", Price_Header,0)))))</f>
        <v>34.094999999999992</v>
      </c>
      <c r="K40" s="127">
        <f ca="1">IF(tbl_AKRO[[#This Row],[BB_Mean]]="", "", tbl_AKRO[[#This Row],[BB_Mean]]+(BB_Width*tbl_AKRO[[#This Row],[BB_Stdev]]))</f>
        <v>38.332943986996952</v>
      </c>
      <c r="L40" s="127">
        <f ca="1">IF(tbl_AKRO[[#This Row],[BB_Mean]]="", "", tbl_AKRO[[#This Row],[BB_Mean]]-(BB_Width*tbl_AKRO[[#This Row],[BB_Stdev]]))</f>
        <v>29.857056013003032</v>
      </c>
      <c r="M40" s="46">
        <f>IF(ROW(tbl_AKRO[[#This Row],[Adj Close]])=5, 0, $F40-$F39)</f>
        <v>-0.19999999999999929</v>
      </c>
      <c r="N40" s="46">
        <f>MAX(tbl_AKRO[[#This Row],[Move]],0)</f>
        <v>0</v>
      </c>
      <c r="O40" s="46">
        <f>MAX(-tbl_AKRO[[#This Row],[Move]],0)</f>
        <v>0.19999999999999929</v>
      </c>
      <c r="P40" s="46">
        <f ca="1">IF(ROW($N40)-5&lt;RSI_Periods, "", AVERAGE(INDIRECT(ADDRESS(ROW($N40)-RSI_Periods +1, MATCH("Upmove", Price_Header,0))): INDIRECT(ADDRESS(ROW($N40),MATCH("Upmove", Price_Header,0)))))</f>
        <v>0.28785721428571492</v>
      </c>
      <c r="Q40" s="46">
        <f ca="1">IF(ROW($O40)-5&lt;RSI_Periods, "", AVERAGE(INDIRECT(ADDRESS(ROW($O40)-RSI_Periods +1, MATCH("Downmove", Price_Header,0))): INDIRECT(ADDRESS(ROW($O40),MATCH("Downmove", Price_Header,0)))))</f>
        <v>0.48785707142857199</v>
      </c>
      <c r="R40" s="46">
        <f ca="1">IF(tbl_AKRO[[#This Row],[Avg_Upmove]]="", "", tbl_AKRO[[#This Row],[Avg_Upmove]]/tbl_AKRO[[#This Row],[Avg_Downmove]])</f>
        <v>0.59004415666825194</v>
      </c>
      <c r="S40" s="10">
        <f ca="1">IF(ROW($N40)-4&lt;BB_Periods, "", _xlfn.STDEV.S(INDIRECT(ADDRESS(ROW($F40)-RSI_Periods +1, MATCH("Adj Close", Price_Header,0))): INDIRECT(ADDRESS(ROW($F40),MATCH("Adj Close", Price_Header,0)))))</f>
        <v>2.1189719934984796</v>
      </c>
    </row>
    <row r="41" spans="1:19" x14ac:dyDescent="0.35">
      <c r="A41" s="8">
        <v>44104</v>
      </c>
      <c r="B41" s="10">
        <v>31.25</v>
      </c>
      <c r="C41" s="10">
        <v>31.75</v>
      </c>
      <c r="D41" s="10">
        <v>30.65</v>
      </c>
      <c r="E41" s="10">
        <v>30.79</v>
      </c>
      <c r="F41" s="10">
        <v>30.79</v>
      </c>
      <c r="G41">
        <v>180900</v>
      </c>
      <c r="H41" s="10">
        <f>IF(tbl_AKRO[[#This Row],[Date]]=$A$5, $F41, EMA_Beta*$H40 + (1-EMA_Beta)*$F41)</f>
        <v>33.204077359404948</v>
      </c>
      <c r="I41" s="46">
        <f ca="1">IF(tbl_AKRO[[#This Row],[RS]]= "", "", 100-(100/(1+tbl_AKRO[[#This Row],[RS]])))</f>
        <v>35.632183298271471</v>
      </c>
      <c r="J41" s="10">
        <f ca="1">IF(ROW($N41)-4&lt;BB_Periods, "", AVERAGE(INDIRECT(ADDRESS(ROW($F41)-RSI_Periods +1, MATCH("Adj Close", Price_Header,0))): INDIRECT(ADDRESS(ROW($F41),MATCH("Adj Close", Price_Header,0)))))</f>
        <v>33.862857071428571</v>
      </c>
      <c r="K41" s="127">
        <f ca="1">IF(tbl_AKRO[[#This Row],[BB_Mean]]="", "", tbl_AKRO[[#This Row],[BB_Mean]]+(BB_Width*tbl_AKRO[[#This Row],[BB_Stdev]]))</f>
        <v>38.45502717615787</v>
      </c>
      <c r="L41" s="127">
        <f ca="1">IF(tbl_AKRO[[#This Row],[BB_Mean]]="", "", tbl_AKRO[[#This Row],[BB_Mean]]-(BB_Width*tbl_AKRO[[#This Row],[BB_Stdev]]))</f>
        <v>29.270686966699273</v>
      </c>
      <c r="M41" s="46">
        <f>IF(ROW(tbl_AKRO[[#This Row],[Adj Close]])=5, 0, $F41-$F40)</f>
        <v>-0.58000000000000185</v>
      </c>
      <c r="N41" s="46">
        <f>MAX(tbl_AKRO[[#This Row],[Move]],0)</f>
        <v>0</v>
      </c>
      <c r="O41" s="46">
        <f>MAX(-tbl_AKRO[[#This Row],[Move]],0)</f>
        <v>0.58000000000000185</v>
      </c>
      <c r="P41" s="46">
        <f ca="1">IF(ROW($N41)-5&lt;RSI_Periods, "", AVERAGE(INDIRECT(ADDRESS(ROW($N41)-RSI_Periods +1, MATCH("Upmove", Price_Header,0))): INDIRECT(ADDRESS(ROW($N41),MATCH("Upmove", Price_Header,0)))))</f>
        <v>0.28785721428571492</v>
      </c>
      <c r="Q41" s="46">
        <f ca="1">IF(ROW($O41)-5&lt;RSI_Periods, "", AVERAGE(INDIRECT(ADDRESS(ROW($O41)-RSI_Periods +1, MATCH("Downmove", Price_Header,0))): INDIRECT(ADDRESS(ROW($O41),MATCH("Downmove", Price_Header,0)))))</f>
        <v>0.52000014285714335</v>
      </c>
      <c r="R41" s="46">
        <f ca="1">IF(tbl_AKRO[[#This Row],[Avg_Upmove]]="", "", tbl_AKRO[[#This Row],[Avg_Upmove]]/tbl_AKRO[[#This Row],[Avg_Downmove]])</f>
        <v>0.55357141385400788</v>
      </c>
      <c r="S41" s="10">
        <f ca="1">IF(ROW($N41)-4&lt;BB_Periods, "", _xlfn.STDEV.S(INDIRECT(ADDRESS(ROW($F41)-RSI_Periods +1, MATCH("Adj Close", Price_Header,0))): INDIRECT(ADDRESS(ROW($F41),MATCH("Adj Close", Price_Header,0)))))</f>
        <v>2.2960850523646501</v>
      </c>
    </row>
    <row r="42" spans="1:19" x14ac:dyDescent="0.35">
      <c r="A42" s="8">
        <v>44105</v>
      </c>
      <c r="B42" s="10">
        <v>31.07</v>
      </c>
      <c r="C42" s="10">
        <v>31.07</v>
      </c>
      <c r="D42" s="10">
        <v>28.67</v>
      </c>
      <c r="E42" s="10">
        <v>29.18</v>
      </c>
      <c r="F42" s="10">
        <v>29.18</v>
      </c>
      <c r="G42">
        <v>353800</v>
      </c>
      <c r="H42" s="10">
        <f>IF(tbl_AKRO[[#This Row],[Date]]=$A$5, $F42, EMA_Beta*$H41 + (1-EMA_Beta)*$F42)</f>
        <v>32.801669623464448</v>
      </c>
      <c r="I42" s="46">
        <f ca="1">IF(tbl_AKRO[[#This Row],[RS]]= "", "", 100-(100/(1+tbl_AKRO[[#This Row],[RS]])))</f>
        <v>31.216116869394554</v>
      </c>
      <c r="J42" s="10">
        <f ca="1">IF(ROW($N42)-4&lt;BB_Periods, "", AVERAGE(INDIRECT(ADDRESS(ROW($F42)-RSI_Periods +1, MATCH("Adj Close", Price_Header,0))): INDIRECT(ADDRESS(ROW($F42),MATCH("Adj Close", Price_Header,0)))))</f>
        <v>33.51642857142857</v>
      </c>
      <c r="K42" s="127">
        <f ca="1">IF(tbl_AKRO[[#This Row],[BB_Mean]]="", "", tbl_AKRO[[#This Row],[BB_Mean]]+(BB_Width*tbl_AKRO[[#This Row],[BB_Stdev]]))</f>
        <v>38.74231447876366</v>
      </c>
      <c r="L42" s="127">
        <f ca="1">IF(tbl_AKRO[[#This Row],[BB_Mean]]="", "", tbl_AKRO[[#This Row],[BB_Mean]]-(BB_Width*tbl_AKRO[[#This Row],[BB_Stdev]]))</f>
        <v>28.290542664093479</v>
      </c>
      <c r="M42" s="46">
        <f>IF(ROW(tbl_AKRO[[#This Row],[Adj Close]])=5, 0, $F42-$F41)</f>
        <v>-1.6099999999999994</v>
      </c>
      <c r="N42" s="46">
        <f>MAX(tbl_AKRO[[#This Row],[Move]],0)</f>
        <v>0</v>
      </c>
      <c r="O42" s="46">
        <f>MAX(-tbl_AKRO[[#This Row],[Move]],0)</f>
        <v>1.6099999999999994</v>
      </c>
      <c r="P42" s="46">
        <f ca="1">IF(ROW($N42)-5&lt;RSI_Periods, "", AVERAGE(INDIRECT(ADDRESS(ROW($N42)-RSI_Periods +1, MATCH("Upmove", Price_Header,0))): INDIRECT(ADDRESS(ROW($N42),MATCH("Upmove", Price_Header,0)))))</f>
        <v>0.28785721428571492</v>
      </c>
      <c r="Q42" s="46">
        <f ca="1">IF(ROW($O42)-5&lt;RSI_Periods, "", AVERAGE(INDIRECT(ADDRESS(ROW($O42)-RSI_Periods +1, MATCH("Downmove", Price_Header,0))): INDIRECT(ADDRESS(ROW($O42),MATCH("Downmove", Price_Header,0)))))</f>
        <v>0.63428571428571467</v>
      </c>
      <c r="R42" s="46">
        <f ca="1">IF(tbl_AKRO[[#This Row],[Avg_Upmove]]="", "", tbl_AKRO[[#This Row],[Avg_Upmove]]/tbl_AKRO[[#This Row],[Avg_Downmove]])</f>
        <v>0.45382894144144215</v>
      </c>
      <c r="S42" s="10">
        <f ca="1">IF(ROW($N42)-4&lt;BB_Periods, "", _xlfn.STDEV.S(INDIRECT(ADDRESS(ROW($F42)-RSI_Periods +1, MATCH("Adj Close", Price_Header,0))): INDIRECT(ADDRESS(ROW($F42),MATCH("Adj Close", Price_Header,0)))))</f>
        <v>2.6129429536675457</v>
      </c>
    </row>
    <row r="43" spans="1:19" x14ac:dyDescent="0.35">
      <c r="A43" s="8">
        <v>44106</v>
      </c>
      <c r="B43" s="10">
        <v>28.79</v>
      </c>
      <c r="C43" s="10">
        <v>29.35</v>
      </c>
      <c r="D43" s="10">
        <v>28.13</v>
      </c>
      <c r="E43" s="10">
        <v>28.99</v>
      </c>
      <c r="F43" s="10">
        <v>28.99</v>
      </c>
      <c r="G43">
        <v>189100</v>
      </c>
      <c r="H43" s="10">
        <f>IF(tbl_AKRO[[#This Row],[Date]]=$A$5, $F43, EMA_Beta*$H42 + (1-EMA_Beta)*$F43)</f>
        <v>32.420502661118</v>
      </c>
      <c r="I43" s="46">
        <f ca="1">IF(tbl_AKRO[[#This Row],[RS]]= "", "", 100-(100/(1+tbl_AKRO[[#This Row],[RS]])))</f>
        <v>12.620423892100234</v>
      </c>
      <c r="J43" s="10">
        <f ca="1">IF(ROW($N43)-4&lt;BB_Periods, "", AVERAGE(INDIRECT(ADDRESS(ROW($F43)-RSI_Periods +1, MATCH("Adj Close", Price_Header,0))): INDIRECT(ADDRESS(ROW($F43),MATCH("Adj Close", Price_Header,0)))))</f>
        <v>32.962142857142858</v>
      </c>
      <c r="K43" s="127">
        <f ca="1">IF(tbl_AKRO[[#This Row],[BB_Mean]]="", "", tbl_AKRO[[#This Row],[BB_Mean]]+(BB_Width*tbl_AKRO[[#This Row],[BB_Stdev]]))</f>
        <v>38.354115115525204</v>
      </c>
      <c r="L43" s="127">
        <f ca="1">IF(tbl_AKRO[[#This Row],[BB_Mean]]="", "", tbl_AKRO[[#This Row],[BB_Mean]]-(BB_Width*tbl_AKRO[[#This Row],[BB_Stdev]]))</f>
        <v>27.570170598760512</v>
      </c>
      <c r="M43" s="46">
        <f>IF(ROW(tbl_AKRO[[#This Row],[Adj Close]])=5, 0, $F43-$F42)</f>
        <v>-0.19000000000000128</v>
      </c>
      <c r="N43" s="46">
        <f>MAX(tbl_AKRO[[#This Row],[Move]],0)</f>
        <v>0</v>
      </c>
      <c r="O43" s="46">
        <f>MAX(-tbl_AKRO[[#This Row],[Move]],0)</f>
        <v>0.19000000000000128</v>
      </c>
      <c r="P43" s="46">
        <f ca="1">IF(ROW($N43)-5&lt;RSI_Periods, "", AVERAGE(INDIRECT(ADDRESS(ROW($N43)-RSI_Periods +1, MATCH("Upmove", Price_Header,0))): INDIRECT(ADDRESS(ROW($N43),MATCH("Upmove", Price_Header,0)))))</f>
        <v>9.3571428571428986E-2</v>
      </c>
      <c r="Q43" s="46">
        <f ca="1">IF(ROW($O43)-5&lt;RSI_Periods, "", AVERAGE(INDIRECT(ADDRESS(ROW($O43)-RSI_Periods +1, MATCH("Downmove", Price_Header,0))): INDIRECT(ADDRESS(ROW($O43),MATCH("Downmove", Price_Header,0)))))</f>
        <v>0.64785714285714335</v>
      </c>
      <c r="R43" s="46">
        <f ca="1">IF(tbl_AKRO[[#This Row],[Avg_Upmove]]="", "", tbl_AKRO[[#This Row],[Avg_Upmove]]/tbl_AKRO[[#This Row],[Avg_Downmove]])</f>
        <v>0.14443219404630703</v>
      </c>
      <c r="S43" s="10">
        <f ca="1">IF(ROW($N43)-4&lt;BB_Periods, "", _xlfn.STDEV.S(INDIRECT(ADDRESS(ROW($F43)-RSI_Periods +1, MATCH("Adj Close", Price_Header,0))): INDIRECT(ADDRESS(ROW($F43),MATCH("Adj Close", Price_Header,0)))))</f>
        <v>2.6959861291911738</v>
      </c>
    </row>
    <row r="44" spans="1:19" x14ac:dyDescent="0.35">
      <c r="A44" s="8">
        <v>44109</v>
      </c>
      <c r="B44" s="10">
        <v>29.13</v>
      </c>
      <c r="C44" s="10">
        <v>30.15</v>
      </c>
      <c r="D44" s="10">
        <v>29</v>
      </c>
      <c r="E44" s="10">
        <v>29.89</v>
      </c>
      <c r="F44" s="10">
        <v>29.89</v>
      </c>
      <c r="G44">
        <v>238500</v>
      </c>
      <c r="H44" s="10">
        <f>IF(tbl_AKRO[[#This Row],[Date]]=$A$5, $F44, EMA_Beta*$H43 + (1-EMA_Beta)*$F44)</f>
        <v>32.167452395006201</v>
      </c>
      <c r="I44" s="46">
        <f ca="1">IF(tbl_AKRO[[#This Row],[RS]]= "", "", 100-(100/(1+tbl_AKRO[[#This Row],[RS]])))</f>
        <v>20.673526660430355</v>
      </c>
      <c r="J44" s="10">
        <f ca="1">IF(ROW($N44)-4&lt;BB_Periods, "", AVERAGE(INDIRECT(ADDRESS(ROW($F44)-RSI_Periods +1, MATCH("Adj Close", Price_Header,0))): INDIRECT(ADDRESS(ROW($F44),MATCH("Adj Close", Price_Header,0)))))</f>
        <v>32.51428571428572</v>
      </c>
      <c r="K44" s="127">
        <f ca="1">IF(tbl_AKRO[[#This Row],[BB_Mean]]="", "", tbl_AKRO[[#This Row],[BB_Mean]]+(BB_Width*tbl_AKRO[[#This Row],[BB_Stdev]]))</f>
        <v>37.802651547585569</v>
      </c>
      <c r="L44" s="127">
        <f ca="1">IF(tbl_AKRO[[#This Row],[BB_Mean]]="", "", tbl_AKRO[[#This Row],[BB_Mean]]-(BB_Width*tbl_AKRO[[#This Row],[BB_Stdev]]))</f>
        <v>27.225919880985874</v>
      </c>
      <c r="M44" s="46">
        <f>IF(ROW(tbl_AKRO[[#This Row],[Adj Close]])=5, 0, $F44-$F43)</f>
        <v>0.90000000000000213</v>
      </c>
      <c r="N44" s="46">
        <f>MAX(tbl_AKRO[[#This Row],[Move]],0)</f>
        <v>0.90000000000000213</v>
      </c>
      <c r="O44" s="46">
        <f>MAX(-tbl_AKRO[[#This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0.15785714285714342</v>
      </c>
      <c r="Q44" s="46">
        <f ca="1">IF(ROW($O44)-5&lt;RSI_Periods, "", AVERAGE(INDIRECT(ADDRESS(ROW($O44)-RSI_Periods +1, MATCH("Downmove", Price_Header,0))): INDIRECT(ADDRESS(ROW($O44),MATCH("Downmove", Price_Header,0)))))</f>
        <v>0.60571428571428598</v>
      </c>
      <c r="R44" s="46">
        <f ca="1">IF(tbl_AKRO[[#This Row],[Avg_Upmove]]="", "", tbl_AKRO[[#This Row],[Avg_Upmove]]/tbl_AKRO[[#This Row],[Avg_Downmove]])</f>
        <v>0.2606132075471706</v>
      </c>
      <c r="S44" s="10">
        <f ca="1">IF(ROW($N44)-4&lt;BB_Periods, "", _xlfn.STDEV.S(INDIRECT(ADDRESS(ROW($F44)-RSI_Periods +1, MATCH("Adj Close", Price_Header,0))): INDIRECT(ADDRESS(ROW($F44),MATCH("Adj Close", Price_Header,0)))))</f>
        <v>2.6441829166499233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J45" s="61"/>
      <c r="K45" s="61"/>
      <c r="L45" s="61"/>
      <c r="S45" s="61">
        <f ca="1">SUBTOTAL(103,tbl_AKRO[BB_Stdev])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5"/>
  <sheetViews>
    <sheetView topLeftCell="A25" workbookViewId="0">
      <selection activeCell="C45" sqref="C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252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3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3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3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3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3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3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3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3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3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3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3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3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3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3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3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3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3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3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35">
      <c r="A37" s="8">
        <v>44098</v>
      </c>
      <c r="B37" s="10">
        <v>244.99</v>
      </c>
      <c r="C37" s="10">
        <v>250.51</v>
      </c>
      <c r="D37" s="10">
        <v>241.04</v>
      </c>
      <c r="E37" s="10">
        <v>241.42</v>
      </c>
      <c r="F37" s="10">
        <v>241.42</v>
      </c>
      <c r="G37">
        <v>3083000</v>
      </c>
      <c r="H37" s="10">
        <f>IF(tbl_FDX[[#This Row],[Date]]=$A$5, $F37, EMA_Beta*$H36 + (1-EMA_Beta)*$F37)</f>
        <v>232.98772054133363</v>
      </c>
      <c r="I37" s="46">
        <f ca="1">IF(tbl_FDX[[#This Row],[RS]]= "", "", 100-(100/(1+tbl_FDX[[#This Row],[RS]])))</f>
        <v>66.948453575779936</v>
      </c>
      <c r="J37" s="10">
        <f ca="1">IF(ROW($N37)-4&lt;BB_Periods, "", AVERAGE(INDIRECT(ADDRESS(ROW($F37)-RSI_Periods +1, MATCH("Adj Close", Price_Header,0))): INDIRECT(ADDRESS(ROW($F37),MATCH("Adj Close", Price_Header,0)))))</f>
        <v>236.09428514285719</v>
      </c>
      <c r="K37" s="10">
        <f ca="1">IF(tbl_FDX[[#This Row],[BB_Mean]]="", "", tbl_FDX[[#This Row],[BB_Mean]]+(BB_Width*tbl_FDX[[#This Row],[BB_Stdev]]))</f>
        <v>253.70214060032345</v>
      </c>
      <c r="L37" s="127">
        <f ca="1">IF(tbl_FDX[[#This Row],[BB_Mean]]="", "", tbl_FDX[[#This Row],[BB_Mean]]-(BB_Width*tbl_FDX[[#This Row],[BB_Stdev]]))</f>
        <v>218.48642968539093</v>
      </c>
      <c r="M37" s="46">
        <f>IF(ROW(tbl_FDX[[#This Row],[Adj Close]])=5, 0, $F37-$F36)</f>
        <v>0</v>
      </c>
      <c r="N37" s="46">
        <f>MAX(tbl_FDX[[#This Row],[Move]],0)</f>
        <v>0</v>
      </c>
      <c r="O37" s="46">
        <f>MAX(-tbl_FDX[[#This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1.4242852142857134</v>
      </c>
      <c r="R37" s="46">
        <f ca="1">IF(tbl_FDX[[#This Row],[Avg_Upmove]]="", "", tbl_FDX[[#This Row],[Avg_Upmove]]/tbl_FDX[[#This Row],[Avg_Downmove]])</f>
        <v>2.0255770400721804</v>
      </c>
      <c r="S37" s="10">
        <f ca="1">IF(ROW($N37)-4&lt;BB_Periods, "", _xlfn.STDEV.S(INDIRECT(ADDRESS(ROW($F37)-RSI_Periods +1, MATCH("Adj Close", Price_Header,0))): INDIRECT(ADDRESS(ROW($F37),MATCH("Adj Close", Price_Header,0)))))</f>
        <v>8.8039277287331323</v>
      </c>
    </row>
    <row r="38" spans="1:19" x14ac:dyDescent="0.35">
      <c r="A38" s="8">
        <v>44099</v>
      </c>
      <c r="B38" s="10">
        <v>241.68</v>
      </c>
      <c r="C38" s="10">
        <v>251.9</v>
      </c>
      <c r="D38" s="10">
        <v>241.47</v>
      </c>
      <c r="E38" s="10">
        <v>250.17</v>
      </c>
      <c r="F38" s="10">
        <v>250.17</v>
      </c>
      <c r="G38">
        <v>3212400</v>
      </c>
      <c r="H38" s="10">
        <f>IF(tbl_FDX[[#This Row],[Date]]=$A$5, $F38, EMA_Beta*$H37 + (1-EMA_Beta)*$F38)</f>
        <v>234.70594848720026</v>
      </c>
      <c r="I38" s="46">
        <f ca="1">IF(tbl_FDX[[#This Row],[RS]]= "", "", 100-(100/(1+tbl_FDX[[#This Row],[RS]])))</f>
        <v>68.809642097399959</v>
      </c>
      <c r="J38" s="10">
        <f ca="1">IF(ROW($N38)-4&lt;BB_Periods, "", AVERAGE(INDIRECT(ADDRESS(ROW($F38)-RSI_Periods +1, MATCH("Adj Close", Price_Header,0))): INDIRECT(ADDRESS(ROW($F38),MATCH("Adj Close", Price_Header,0)))))</f>
        <v>237.8121426428572</v>
      </c>
      <c r="K38" s="10">
        <f ca="1">IF(tbl_FDX[[#This Row],[BB_Mean]]="", "", tbl_FDX[[#This Row],[BB_Mean]]+(BB_Width*tbl_FDX[[#This Row],[BB_Stdev]]))</f>
        <v>255.91393743961049</v>
      </c>
      <c r="L38" s="127">
        <f ca="1">IF(tbl_FDX[[#This Row],[BB_Mean]]="", "", tbl_FDX[[#This Row],[BB_Mean]]-(BB_Width*tbl_FDX[[#This Row],[BB_Stdev]]))</f>
        <v>219.7103478461039</v>
      </c>
      <c r="M38" s="46">
        <f>IF(ROW(tbl_FDX[[#This Row],[Adj Close]])=5, 0, $F38-$F37)</f>
        <v>8.75</v>
      </c>
      <c r="N38" s="46">
        <f>MAX(tbl_FDX[[#This Row],[Move]],0)</f>
        <v>8.75</v>
      </c>
      <c r="O38" s="46">
        <f>MAX(-tbl_FDX[[#This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3.1421427142857135</v>
      </c>
      <c r="Q38" s="46">
        <f ca="1">IF(ROW($O38)-5&lt;RSI_Periods, "", AVERAGE(INDIRECT(ADDRESS(ROW($O38)-RSI_Periods +1, MATCH("Downmove", Price_Header,0))): INDIRECT(ADDRESS(ROW($O38),MATCH("Downmove", Price_Header,0)))))</f>
        <v>1.4242852142857134</v>
      </c>
      <c r="R38" s="46">
        <f ca="1">IF(tbl_FDX[[#This Row],[Avg_Upmove]]="", "", tbl_FDX[[#This Row],[Avg_Upmove]]/tbl_FDX[[#This Row],[Avg_Downmove]])</f>
        <v>2.2061190292293489</v>
      </c>
      <c r="S38" s="10">
        <f ca="1">IF(ROW($N38)-4&lt;BB_Periods, "", _xlfn.STDEV.S(INDIRECT(ADDRESS(ROW($F38)-RSI_Periods +1, MATCH("Adj Close", Price_Header,0))): INDIRECT(ADDRESS(ROW($F38),MATCH("Adj Close", Price_Header,0)))))</f>
        <v>9.0508973983766552</v>
      </c>
    </row>
    <row r="39" spans="1:19" x14ac:dyDescent="0.35">
      <c r="A39" s="8">
        <v>44102</v>
      </c>
      <c r="B39" s="10">
        <v>255.27</v>
      </c>
      <c r="C39" s="10">
        <v>259.95</v>
      </c>
      <c r="D39" s="10">
        <v>254.08</v>
      </c>
      <c r="E39" s="10">
        <v>254.44</v>
      </c>
      <c r="F39" s="10">
        <v>254.44</v>
      </c>
      <c r="G39">
        <v>3309800</v>
      </c>
      <c r="H39" s="10">
        <f>IF(tbl_FDX[[#This Row],[Date]]=$A$5, $F39, EMA_Beta*$H38 + (1-EMA_Beta)*$F39)</f>
        <v>236.67935363848022</v>
      </c>
      <c r="I39" s="46">
        <f ca="1">IF(tbl_FDX[[#This Row],[RS]]= "", "", 100-(100/(1+tbl_FDX[[#This Row],[RS]])))</f>
        <v>76.445428107800211</v>
      </c>
      <c r="J39" s="10">
        <f ca="1">IF(ROW($N39)-4&lt;BB_Periods, "", AVERAGE(INDIRECT(ADDRESS(ROW($F39)-RSI_Periods +1, MATCH("Adj Close", Price_Header,0))): INDIRECT(ADDRESS(ROW($F39),MATCH("Adj Close", Price_Header,0)))))</f>
        <v>240.19714242857145</v>
      </c>
      <c r="K39" s="10">
        <f ca="1">IF(tbl_FDX[[#This Row],[BB_Mean]]="", "", tbl_FDX[[#This Row],[BB_Mean]]+(BB_Width*tbl_FDX[[#This Row],[BB_Stdev]]))</f>
        <v>257.56931157261494</v>
      </c>
      <c r="L39" s="127">
        <f ca="1">IF(tbl_FDX[[#This Row],[BB_Mean]]="", "", tbl_FDX[[#This Row],[BB_Mean]]-(BB_Width*tbl_FDX[[#This Row],[BB_Stdev]]))</f>
        <v>222.82497328452797</v>
      </c>
      <c r="M39" s="46">
        <f>IF(ROW(tbl_FDX[[#This Row],[Adj Close]])=5, 0, $F39-$F38)</f>
        <v>4.2700000000000102</v>
      </c>
      <c r="N39" s="46">
        <f>MAX(tbl_FDX[[#This Row],[Move]],0)</f>
        <v>4.2700000000000102</v>
      </c>
      <c r="O39" s="46">
        <f>MAX(-tbl_FDX[[#This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3.4471427142857141</v>
      </c>
      <c r="Q39" s="46">
        <f ca="1">IF(ROW($O39)-5&lt;RSI_Periods, "", AVERAGE(INDIRECT(ADDRESS(ROW($O39)-RSI_Periods +1, MATCH("Downmove", Price_Header,0))): INDIRECT(ADDRESS(ROW($O39),MATCH("Downmove", Price_Header,0)))))</f>
        <v>1.0621429285714288</v>
      </c>
      <c r="R39" s="46">
        <f ca="1">IF(tbl_FDX[[#This Row],[Avg_Upmove]]="", "", tbl_FDX[[#This Row],[Avg_Upmove]]/tbl_FDX[[#This Row],[Avg_Downmove]])</f>
        <v>3.2454603062904965</v>
      </c>
      <c r="S39" s="10">
        <f ca="1">IF(ROW($N39)-4&lt;BB_Periods, "", _xlfn.STDEV.S(INDIRECT(ADDRESS(ROW($F39)-RSI_Periods +1, MATCH("Adj Close", Price_Header,0))): INDIRECT(ADDRESS(ROW($F39),MATCH("Adj Close", Price_Header,0)))))</f>
        <v>8.6860845720217394</v>
      </c>
    </row>
    <row r="40" spans="1:19" x14ac:dyDescent="0.35">
      <c r="A40" s="8">
        <v>44103</v>
      </c>
      <c r="B40" s="10">
        <v>254.99</v>
      </c>
      <c r="C40" s="10">
        <v>258.2</v>
      </c>
      <c r="D40" s="10">
        <v>249.12</v>
      </c>
      <c r="E40" s="10">
        <v>253.5</v>
      </c>
      <c r="F40" s="10">
        <v>253.5</v>
      </c>
      <c r="G40">
        <v>2195400</v>
      </c>
      <c r="H40" s="10">
        <f>IF(tbl_FDX[[#This Row],[Date]]=$A$5, $F40, EMA_Beta*$H39 + (1-EMA_Beta)*$F40)</f>
        <v>238.3614182746322</v>
      </c>
      <c r="I40" s="46">
        <f ca="1">IF(tbl_FDX[[#This Row],[RS]]= "", "", 100-(100/(1+tbl_FDX[[#This Row],[RS]])))</f>
        <v>73.370388298117291</v>
      </c>
      <c r="J40" s="10">
        <f ca="1">IF(ROW($N40)-4&lt;BB_Periods, "", AVERAGE(INDIRECT(ADDRESS(ROW($F40)-RSI_Periods +1, MATCH("Adj Close", Price_Header,0))): INDIRECT(ADDRESS(ROW($F40),MATCH("Adj Close", Price_Header,0)))))</f>
        <v>242.17928528571429</v>
      </c>
      <c r="K40" s="10">
        <f ca="1">IF(tbl_FDX[[#This Row],[BB_Mean]]="", "", tbl_FDX[[#This Row],[BB_Mean]]+(BB_Width*tbl_FDX[[#This Row],[BB_Stdev]]))</f>
        <v>258.76534503413097</v>
      </c>
      <c r="L40" s="127">
        <f ca="1">IF(tbl_FDX[[#This Row],[BB_Mean]]="", "", tbl_FDX[[#This Row],[BB_Mean]]-(BB_Width*tbl_FDX[[#This Row],[BB_Stdev]]))</f>
        <v>225.59322553729763</v>
      </c>
      <c r="M40" s="46">
        <f>IF(ROW(tbl_FDX[[#This Row],[Adj Close]])=5, 0, $F40-$F39)</f>
        <v>-0.93999999999999773</v>
      </c>
      <c r="N40" s="46">
        <f>MAX(tbl_FDX[[#This Row],[Move]],0)</f>
        <v>0</v>
      </c>
      <c r="O40" s="46">
        <f>MAX(-tbl_FDX[[#This Row],[Move]],0)</f>
        <v>0.93999999999999773</v>
      </c>
      <c r="P40" s="46">
        <f ca="1">IF(ROW($N40)-5&lt;RSI_Periods, "", AVERAGE(INDIRECT(ADDRESS(ROW($N40)-RSI_Periods +1, MATCH("Upmove", Price_Header,0))): INDIRECT(ADDRESS(ROW($N40),MATCH("Upmove", Price_Header,0)))))</f>
        <v>3.1114286428571427</v>
      </c>
      <c r="Q40" s="46">
        <f ca="1">IF(ROW($O40)-5&lt;RSI_Periods, "", AVERAGE(INDIRECT(ADDRESS(ROW($O40)-RSI_Periods +1, MATCH("Downmove", Price_Header,0))): INDIRECT(ADDRESS(ROW($O40),MATCH("Downmove", Price_Header,0)))))</f>
        <v>1.1292857857142857</v>
      </c>
      <c r="R40" s="46">
        <f ca="1">IF(tbl_FDX[[#This Row],[Avg_Upmove]]="", "", tbl_FDX[[#This Row],[Avg_Upmove]]/tbl_FDX[[#This Row],[Avg_Downmove]])</f>
        <v>2.7552181052992974</v>
      </c>
      <c r="S40" s="10">
        <f ca="1">IF(ROW($N40)-4&lt;BB_Periods, "", _xlfn.STDEV.S(INDIRECT(ADDRESS(ROW($F40)-RSI_Periods +1, MATCH("Adj Close", Price_Header,0))): INDIRECT(ADDRESS(ROW($F40),MATCH("Adj Close", Price_Header,0)))))</f>
        <v>8.293029874208333</v>
      </c>
    </row>
    <row r="41" spans="1:19" x14ac:dyDescent="0.35">
      <c r="A41" s="8">
        <v>44104</v>
      </c>
      <c r="B41" s="10">
        <v>253.47</v>
      </c>
      <c r="C41" s="10">
        <v>257.51</v>
      </c>
      <c r="D41" s="10">
        <v>249.5</v>
      </c>
      <c r="E41" s="10">
        <v>251.52</v>
      </c>
      <c r="F41" s="10">
        <v>251.52</v>
      </c>
      <c r="G41">
        <v>2503000</v>
      </c>
      <c r="H41" s="10">
        <f>IF(tbl_FDX[[#This Row],[Date]]=$A$5, $F41, EMA_Beta*$H40 + (1-EMA_Beta)*$F41)</f>
        <v>239.67727644716896</v>
      </c>
      <c r="I41" s="46">
        <f ca="1">IF(tbl_FDX[[#This Row],[RS]]= "", "", 100-(100/(1+tbl_FDX[[#This Row],[RS]])))</f>
        <v>72.551629077173303</v>
      </c>
      <c r="J41" s="10">
        <f ca="1">IF(ROW($N41)-4&lt;BB_Periods, "", AVERAGE(INDIRECT(ADDRESS(ROW($F41)-RSI_Periods +1, MATCH("Adj Close", Price_Header,0))): INDIRECT(ADDRESS(ROW($F41),MATCH("Adj Close", Price_Header,0)))))</f>
        <v>244.11357085714286</v>
      </c>
      <c r="K41" s="10">
        <f ca="1">IF(tbl_FDX[[#This Row],[BB_Mean]]="", "", tbl_FDX[[#This Row],[BB_Mean]]+(BB_Width*tbl_FDX[[#This Row],[BB_Stdev]]))</f>
        <v>257.86132937548706</v>
      </c>
      <c r="L41" s="127">
        <f ca="1">IF(tbl_FDX[[#This Row],[BB_Mean]]="", "", tbl_FDX[[#This Row],[BB_Mean]]-(BB_Width*tbl_FDX[[#This Row],[BB_Stdev]]))</f>
        <v>230.36581233879869</v>
      </c>
      <c r="M41" s="46">
        <f>IF(ROW(tbl_FDX[[#This Row],[Adj Close]])=5, 0, $F41-$F40)</f>
        <v>-1.9799999999999898</v>
      </c>
      <c r="N41" s="46">
        <f>MAX(tbl_FDX[[#This Row],[Move]],0)</f>
        <v>0</v>
      </c>
      <c r="O41" s="46">
        <f>MAX(-tbl_FDX[[#This Row],[Move]],0)</f>
        <v>1.9799999999999898</v>
      </c>
      <c r="P41" s="46">
        <f ca="1">IF(ROW($N41)-5&lt;RSI_Periods, "", AVERAGE(INDIRECT(ADDRESS(ROW($N41)-RSI_Periods +1, MATCH("Upmove", Price_Header,0))): INDIRECT(ADDRESS(ROW($N41),MATCH("Upmove", Price_Header,0)))))</f>
        <v>3.1114286428571427</v>
      </c>
      <c r="Q41" s="46">
        <f ca="1">IF(ROW($O41)-5&lt;RSI_Periods, "", AVERAGE(INDIRECT(ADDRESS(ROW($O41)-RSI_Periods +1, MATCH("Downmove", Price_Header,0))): INDIRECT(ADDRESS(ROW($O41),MATCH("Downmove", Price_Header,0)))))</f>
        <v>1.1771430714285702</v>
      </c>
      <c r="R41" s="46">
        <f ca="1">IF(tbl_FDX[[#This Row],[Avg_Upmove]]="", "", tbl_FDX[[#This Row],[Avg_Upmove]]/tbl_FDX[[#This Row],[Avg_Downmove]])</f>
        <v>2.643203463009081</v>
      </c>
      <c r="S41" s="10">
        <f ca="1">IF(ROW($N41)-4&lt;BB_Periods, "", _xlfn.STDEV.S(INDIRECT(ADDRESS(ROW($F41)-RSI_Periods +1, MATCH("Adj Close", Price_Header,0))): INDIRECT(ADDRESS(ROW($F41),MATCH("Adj Close", Price_Header,0)))))</f>
        <v>6.8738792591720914</v>
      </c>
    </row>
    <row r="42" spans="1:19" x14ac:dyDescent="0.35">
      <c r="A42" s="8">
        <v>44105</v>
      </c>
      <c r="B42" s="10">
        <v>255.26</v>
      </c>
      <c r="C42" s="10">
        <v>257.79000000000002</v>
      </c>
      <c r="D42" s="10">
        <v>252.88</v>
      </c>
      <c r="E42" s="10">
        <v>254.08</v>
      </c>
      <c r="F42" s="10">
        <v>254.08</v>
      </c>
      <c r="G42">
        <v>2862300</v>
      </c>
      <c r="H42" s="10">
        <f>IF(tbl_FDX[[#This Row],[Date]]=$A$5, $F42, EMA_Beta*$H41 + (1-EMA_Beta)*$F42)</f>
        <v>241.11754880245206</v>
      </c>
      <c r="I42" s="46">
        <f ca="1">IF(tbl_FDX[[#This Row],[RS]]= "", "", 100-(100/(1+tbl_FDX[[#This Row],[RS]])))</f>
        <v>69.622121565205902</v>
      </c>
      <c r="J42" s="10">
        <f ca="1">IF(ROW($N42)-4&lt;BB_Periods, "", AVERAGE(INDIRECT(ADDRESS(ROW($F42)-RSI_Periods +1, MATCH("Adj Close", Price_Header,0))): INDIRECT(ADDRESS(ROW($F42),MATCH("Adj Close", Price_Header,0)))))</f>
        <v>245.63428564285715</v>
      </c>
      <c r="K42" s="10">
        <f ca="1">IF(tbl_FDX[[#This Row],[BB_Mean]]="", "", tbl_FDX[[#This Row],[BB_Mean]]+(BB_Width*tbl_FDX[[#This Row],[BB_Stdev]]))</f>
        <v>258.6783892308419</v>
      </c>
      <c r="L42" s="127">
        <f ca="1">IF(tbl_FDX[[#This Row],[BB_Mean]]="", "", tbl_FDX[[#This Row],[BB_Mean]]-(BB_Width*tbl_FDX[[#This Row],[BB_Stdev]]))</f>
        <v>232.59018205487243</v>
      </c>
      <c r="M42" s="46">
        <f>IF(ROW(tbl_FDX[[#This Row],[Adj Close]])=5, 0, $F42-$F41)</f>
        <v>2.5600000000000023</v>
      </c>
      <c r="N42" s="46">
        <f>MAX(tbl_FDX[[#This Row],[Move]],0)</f>
        <v>2.5600000000000023</v>
      </c>
      <c r="O42" s="46">
        <f>MAX(-tbl_FDX[[#This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2.6978578571428562</v>
      </c>
      <c r="Q42" s="46">
        <f ca="1">IF(ROW($O42)-5&lt;RSI_Periods, "", AVERAGE(INDIRECT(ADDRESS(ROW($O42)-RSI_Periods +1, MATCH("Downmove", Price_Header,0))): INDIRECT(ADDRESS(ROW($O42),MATCH("Downmove", Price_Header,0)))))</f>
        <v>1.1771430714285702</v>
      </c>
      <c r="R42" s="46">
        <f ca="1">IF(tbl_FDX[[#This Row],[Avg_Upmove]]="", "", tbl_FDX[[#This Row],[Avg_Upmove]]/tbl_FDX[[#This Row],[Avg_Downmove]])</f>
        <v>2.2918691216257683</v>
      </c>
      <c r="S42" s="10">
        <f ca="1">IF(ROW($N42)-4&lt;BB_Periods, "", _xlfn.STDEV.S(INDIRECT(ADDRESS(ROW($F42)-RSI_Periods +1, MATCH("Adj Close", Price_Header,0))): INDIRECT(ADDRESS(ROW($F42),MATCH("Adj Close", Price_Header,0)))))</f>
        <v>6.5220517939923655</v>
      </c>
    </row>
    <row r="43" spans="1:19" x14ac:dyDescent="0.35">
      <c r="A43" s="8">
        <v>44106</v>
      </c>
      <c r="B43" s="10">
        <v>250.55</v>
      </c>
      <c r="C43" s="10">
        <v>258.55</v>
      </c>
      <c r="D43" s="10">
        <v>250</v>
      </c>
      <c r="E43" s="10">
        <v>255.2</v>
      </c>
      <c r="F43" s="10">
        <v>255.2</v>
      </c>
      <c r="G43">
        <v>3015300</v>
      </c>
      <c r="H43" s="10">
        <f>IF(tbl_FDX[[#This Row],[Date]]=$A$5, $F43, EMA_Beta*$H42 + (1-EMA_Beta)*$F43)</f>
        <v>242.52579392220684</v>
      </c>
      <c r="I43" s="46">
        <f ca="1">IF(tbl_FDX[[#This Row],[RS]]= "", "", 100-(100/(1+tbl_FDX[[#This Row],[RS]])))</f>
        <v>68.197607449323144</v>
      </c>
      <c r="J43" s="10">
        <f ca="1">IF(ROW($N43)-4&lt;BB_Periods, "", AVERAGE(INDIRECT(ADDRESS(ROW($F43)-RSI_Periods +1, MATCH("Adj Close", Price_Header,0))): INDIRECT(ADDRESS(ROW($F43),MATCH("Adj Close", Price_Header,0)))))</f>
        <v>246.98142878571429</v>
      </c>
      <c r="K43" s="10">
        <f ca="1">IF(tbl_FDX[[#This Row],[BB_Mean]]="", "", tbl_FDX[[#This Row],[BB_Mean]]+(BB_Width*tbl_FDX[[#This Row],[BB_Stdev]]))</f>
        <v>259.78401291164539</v>
      </c>
      <c r="L43" s="127">
        <f ca="1">IF(tbl_FDX[[#This Row],[BB_Mean]]="", "", tbl_FDX[[#This Row],[BB_Mean]]-(BB_Width*tbl_FDX[[#This Row],[BB_Stdev]]))</f>
        <v>234.17884465978315</v>
      </c>
      <c r="M43" s="46">
        <f>IF(ROW(tbl_FDX[[#This Row],[Adj Close]])=5, 0, $F43-$F42)</f>
        <v>1.1199999999999761</v>
      </c>
      <c r="N43" s="46">
        <f>MAX(tbl_FDX[[#This Row],[Move]],0)</f>
        <v>1.1199999999999761</v>
      </c>
      <c r="O43" s="46">
        <f>MAX(-tbl_FDX[[#This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2.5242862142857114</v>
      </c>
      <c r="Q43" s="46">
        <f ca="1">IF(ROW($O43)-5&lt;RSI_Periods, "", AVERAGE(INDIRECT(ADDRESS(ROW($O43)-RSI_Periods +1, MATCH("Downmove", Price_Header,0))): INDIRECT(ADDRESS(ROW($O43),MATCH("Downmove", Price_Header,0)))))</f>
        <v>1.1771430714285702</v>
      </c>
      <c r="R43" s="46">
        <f ca="1">IF(tbl_FDX[[#This Row],[Avg_Upmove]]="", "", tbl_FDX[[#This Row],[Avg_Upmove]]/tbl_FDX[[#This Row],[Avg_Downmove]])</f>
        <v>2.1444175101181715</v>
      </c>
      <c r="S43" s="10">
        <f ca="1">IF(ROW($N43)-4&lt;BB_Periods, "", _xlfn.STDEV.S(INDIRECT(ADDRESS(ROW($F43)-RSI_Periods +1, MATCH("Adj Close", Price_Header,0))): INDIRECT(ADDRESS(ROW($F43),MATCH("Adj Close", Price_Header,0)))))</f>
        <v>6.4012920629655614</v>
      </c>
    </row>
    <row r="44" spans="1:19" x14ac:dyDescent="0.35">
      <c r="A44" s="8">
        <v>44109</v>
      </c>
      <c r="B44" s="10">
        <v>258.8</v>
      </c>
      <c r="C44" s="10">
        <v>260.95999999999998</v>
      </c>
      <c r="D44" s="10">
        <v>257.73</v>
      </c>
      <c r="E44" s="10">
        <v>259.20999999999998</v>
      </c>
      <c r="F44" s="10">
        <v>259.20999999999998</v>
      </c>
      <c r="G44">
        <v>2426300</v>
      </c>
      <c r="H44" s="10">
        <f>IF(tbl_FDX[[#This Row],[Date]]=$A$5, $F44, EMA_Beta*$H43 + (1-EMA_Beta)*$F44)</f>
        <v>244.19421452998617</v>
      </c>
      <c r="I44" s="46">
        <f ca="1">IF(tbl_FDX[[#This Row],[RS]]= "", "", 100-(100/(1+tbl_FDX[[#This Row],[RS]])))</f>
        <v>70.306305181073128</v>
      </c>
      <c r="J44" s="10">
        <f ca="1">IF(ROW($N44)-4&lt;BB_Periods, "", AVERAGE(INDIRECT(ADDRESS(ROW($F44)-RSI_Periods +1, MATCH("Adj Close", Price_Header,0))): INDIRECT(ADDRESS(ROW($F44),MATCH("Adj Close", Price_Header,0)))))</f>
        <v>248.59142892857145</v>
      </c>
      <c r="K44" s="10">
        <f ca="1">IF(tbl_FDX[[#This Row],[BB_Mean]]="", "", tbl_FDX[[#This Row],[BB_Mean]]+(BB_Width*tbl_FDX[[#This Row],[BB_Stdev]]))</f>
        <v>261.47693615579618</v>
      </c>
      <c r="L44" s="127">
        <f ca="1">IF(tbl_FDX[[#This Row],[BB_Mean]]="", "", tbl_FDX[[#This Row],[BB_Mean]]-(BB_Width*tbl_FDX[[#This Row],[BB_Stdev]]))</f>
        <v>235.70592170134671</v>
      </c>
      <c r="M44" s="46">
        <f>IF(ROW(tbl_FDX[[#This Row],[Adj Close]])=5, 0, $F44-$F43)</f>
        <v>4.0099999999999909</v>
      </c>
      <c r="N44" s="46">
        <f>MAX(tbl_FDX[[#This Row],[Move]],0)</f>
        <v>4.0099999999999909</v>
      </c>
      <c r="O44" s="46">
        <f>MAX(-tbl_FDX[[#This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2.7871432142857122</v>
      </c>
      <c r="Q44" s="46">
        <f ca="1">IF(ROW($O44)-5&lt;RSI_Periods, "", AVERAGE(INDIRECT(ADDRESS(ROW($O44)-RSI_Periods +1, MATCH("Downmove", Price_Header,0))): INDIRECT(ADDRESS(ROW($O44),MATCH("Downmove", Price_Header,0)))))</f>
        <v>1.1771430714285702</v>
      </c>
      <c r="R44" s="46">
        <f ca="1">IF(tbl_FDX[[#This Row],[Avg_Upmove]]="", "", tbl_FDX[[#This Row],[Avg_Upmove]]/tbl_FDX[[#This Row],[Avg_Downmove]])</f>
        <v>2.3677183189833162</v>
      </c>
      <c r="S44" s="10">
        <f ca="1">IF(ROW($N44)-4&lt;BB_Periods, "", _xlfn.STDEV.S(INDIRECT(ADDRESS(ROW($F44)-RSI_Periods +1, MATCH("Adj Close", Price_Header,0))): INDIRECT(ADDRESS(ROW($F44),MATCH("Adj Close", Price_Header,0)))))</f>
        <v>6.4427536136123615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J45" s="61"/>
      <c r="K45" s="61"/>
      <c r="L45" s="61"/>
      <c r="S45" s="61">
        <f ca="1">SUBTOTAL(103,tbl_FDX[BB_Stdev])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45"/>
  <sheetViews>
    <sheetView topLeftCell="A26" workbookViewId="0">
      <selection activeCell="A45" sqref="A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3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3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3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3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3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3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3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3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3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3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3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3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3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3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3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3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3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3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35">
      <c r="A37" s="8">
        <v>44098</v>
      </c>
      <c r="B37">
        <v>18.100000000000001</v>
      </c>
      <c r="C37">
        <v>20.69</v>
      </c>
      <c r="D37">
        <v>16.149999999999999</v>
      </c>
      <c r="E37">
        <v>19.100000000000001</v>
      </c>
      <c r="F37">
        <v>19.100000000000001</v>
      </c>
      <c r="G37">
        <v>51692400</v>
      </c>
      <c r="H37" s="10">
        <f>IF(tbl_NKLA[[#This Row],[Date]]=$A$5, $F37, EMA_Beta*$H36 + (1-EMA_Beta)*$F37)</f>
        <v>32.805119585893635</v>
      </c>
      <c r="I37" s="46">
        <f ca="1">IF(tbl_NKLA[[#This Row],[RS]]= "", "", 100-(100/(1+tbl_NKLA[[#This Row],[RS]])))</f>
        <v>35.301223992813249</v>
      </c>
      <c r="J37" s="10">
        <f ca="1">IF(ROW($N37)-4&lt;BB_Periods, "", AVERAGE(INDIRECT(ADDRESS(ROW($F37)-RSI_Periods +1, MATCH("Adj Close", Price_Header,0))): INDIRECT(ADDRESS(ROW($F37),MATCH("Adj Close", Price_Header,0)))))</f>
        <v>33.137857285714276</v>
      </c>
      <c r="K37" s="10">
        <f ca="1">IF(tbl_NKLA[[#This Row],[BB_Mean]]="", "", tbl_NKLA[[#This Row],[BB_Mean]]+(BB_Width*tbl_NKLA[[#This Row],[BB_Stdev]]))</f>
        <v>48.822666037574265</v>
      </c>
      <c r="L37" s="10">
        <f ca="1">IF(tbl_NKLA[[#This Row],[BB_Mean]]="", "", tbl_NKLA[[#This Row],[BB_Mean]]-(BB_Width*tbl_NKLA[[#This Row],[BB_Stdev]]))</f>
        <v>17.453048533854286</v>
      </c>
      <c r="M37" s="46">
        <f>IF(ROW(tbl_NKLA[[#This Row],[Adj Close]])=5, 0, $F37-$F36)</f>
        <v>-2.0499999999999972</v>
      </c>
      <c r="N37" s="46">
        <f>MAX(tbl_NKLA[[#This Row],[Move]],0)</f>
        <v>0</v>
      </c>
      <c r="O37" s="46">
        <f>MAX(-tbl_NKLA[[#This Row],[Move]],0)</f>
        <v>2.0499999999999972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2.6771427857142851</v>
      </c>
      <c r="R37" s="46">
        <f ca="1">IF(tbl_NKLA[[#This Row],[Avg_Upmove]]="", "", tbl_NKLA[[#This Row],[Avg_Upmove]]/tbl_NKLA[[#This Row],[Avg_Downmove]])</f>
        <v>0.54562429417354041</v>
      </c>
      <c r="S37" s="10">
        <f ca="1">IF(ROW($N37)-4&lt;BB_Periods, "", _xlfn.STDEV.S(INDIRECT(ADDRESS(ROW($F37)-RSI_Periods +1, MATCH("Adj Close", Price_Header,0))): INDIRECT(ADDRESS(ROW($F37),MATCH("Adj Close", Price_Header,0)))))</f>
        <v>7.8424043759299957</v>
      </c>
    </row>
    <row r="38" spans="1:19" x14ac:dyDescent="0.35">
      <c r="A38" s="8">
        <v>44099</v>
      </c>
      <c r="B38">
        <v>19.52</v>
      </c>
      <c r="C38">
        <v>20.98</v>
      </c>
      <c r="D38">
        <v>18.82</v>
      </c>
      <c r="E38">
        <v>19.46</v>
      </c>
      <c r="F38">
        <v>19.46</v>
      </c>
      <c r="G38">
        <v>24713800</v>
      </c>
      <c r="H38" s="10">
        <f>IF(tbl_NKLA[[#This Row],[Date]]=$A$5, $F38, EMA_Beta*$H37 + (1-EMA_Beta)*$F38)</f>
        <v>31.470607627304275</v>
      </c>
      <c r="I38" s="46">
        <f ca="1">IF(tbl_NKLA[[#This Row],[RS]]= "", "", 100-(100/(1+tbl_NKLA[[#This Row],[RS]])))</f>
        <v>36.059608045365451</v>
      </c>
      <c r="J38" s="10">
        <f ca="1">IF(ROW($N38)-4&lt;BB_Periods, "", AVERAGE(INDIRECT(ADDRESS(ROW($F38)-RSI_Periods +1, MATCH("Adj Close", Price_Header,0))): INDIRECT(ADDRESS(ROW($F38),MATCH("Adj Close", Price_Header,0)))))</f>
        <v>31.988571642857135</v>
      </c>
      <c r="K38" s="10">
        <f ca="1">IF(tbl_NKLA[[#This Row],[BB_Mean]]="", "", tbl_NKLA[[#This Row],[BB_Mean]]+(BB_Width*tbl_NKLA[[#This Row],[BB_Stdev]]))</f>
        <v>49.196050612342475</v>
      </c>
      <c r="L38" s="10">
        <f ca="1">IF(tbl_NKLA[[#This Row],[BB_Mean]]="", "", tbl_NKLA[[#This Row],[BB_Mean]]-(BB_Width*tbl_NKLA[[#This Row],[BB_Stdev]]))</f>
        <v>14.781092673371791</v>
      </c>
      <c r="M38" s="46">
        <f>IF(ROW(tbl_NKLA[[#This Row],[Adj Close]])=5, 0, $F38-$F37)</f>
        <v>0.35999999999999943</v>
      </c>
      <c r="N38" s="46">
        <f>MAX(tbl_NKLA[[#This Row],[Move]],0)</f>
        <v>0.35999999999999943</v>
      </c>
      <c r="O38" s="46">
        <f>MAX(-tbl_NKLA[[#This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1.4864284285714284</v>
      </c>
      <c r="Q38" s="46">
        <f ca="1">IF(ROW($O38)-5&lt;RSI_Periods, "", AVERAGE(INDIRECT(ADDRESS(ROW($O38)-RSI_Periods +1, MATCH("Downmove", Price_Header,0))): INDIRECT(ADDRESS(ROW($O38),MATCH("Downmove", Price_Header,0)))))</f>
        <v>2.6357140714285712</v>
      </c>
      <c r="R38" s="46">
        <f ca="1">IF(tbl_NKLA[[#This Row],[Avg_Upmove]]="", "", tbl_NKLA[[#This Row],[Avg_Upmove]]/tbl_NKLA[[#This Row],[Avg_Downmove]])</f>
        <v>0.56395663121598627</v>
      </c>
      <c r="S38" s="10">
        <f ca="1">IF(ROW($N38)-4&lt;BB_Periods, "", _xlfn.STDEV.S(INDIRECT(ADDRESS(ROW($F38)-RSI_Periods +1, MATCH("Adj Close", Price_Header,0))): INDIRECT(ADDRESS(ROW($F38),MATCH("Adj Close", Price_Header,0)))))</f>
        <v>8.6037394847426718</v>
      </c>
    </row>
    <row r="39" spans="1:19" x14ac:dyDescent="0.35">
      <c r="A39" s="8">
        <v>44102</v>
      </c>
      <c r="B39">
        <v>19.66</v>
      </c>
      <c r="C39">
        <v>20.149999999999999</v>
      </c>
      <c r="D39">
        <v>17.88</v>
      </c>
      <c r="E39">
        <v>19.3</v>
      </c>
      <c r="F39">
        <v>19.3</v>
      </c>
      <c r="G39">
        <v>23996800</v>
      </c>
      <c r="H39" s="10">
        <f>IF(tbl_NKLA[[#This Row],[Date]]=$A$5, $F39, EMA_Beta*$H38 + (1-EMA_Beta)*$F39)</f>
        <v>30.253546864573849</v>
      </c>
      <c r="I39" s="46">
        <f ca="1">IF(tbl_NKLA[[#This Row],[RS]]= "", "", 100-(100/(1+tbl_NKLA[[#This Row],[RS]])))</f>
        <v>14.549224642520699</v>
      </c>
      <c r="J39" s="10">
        <f ca="1">IF(ROW($N39)-4&lt;BB_Periods, "", AVERAGE(INDIRECT(ADDRESS(ROW($F39)-RSI_Periods +1, MATCH("Adj Close", Price_Header,0))): INDIRECT(ADDRESS(ROW($F39),MATCH("Adj Close", Price_Header,0)))))</f>
        <v>29.792143142857139</v>
      </c>
      <c r="K39" s="10">
        <f ca="1">IF(tbl_NKLA[[#This Row],[BB_Mean]]="", "", tbl_NKLA[[#This Row],[BB_Mean]]+(BB_Width*tbl_NKLA[[#This Row],[BB_Stdev]]))</f>
        <v>44.774808496341777</v>
      </c>
      <c r="L39" s="10">
        <f ca="1">IF(tbl_NKLA[[#This Row],[BB_Mean]]="", "", tbl_NKLA[[#This Row],[BB_Mean]]-(BB_Width*tbl_NKLA[[#This Row],[BB_Stdev]]))</f>
        <v>14.809477789372503</v>
      </c>
      <c r="M39" s="46">
        <f>IF(ROW(tbl_NKLA[[#This Row],[Adj Close]])=5, 0, $F39-$F38)</f>
        <v>-0.16000000000000014</v>
      </c>
      <c r="N39" s="46">
        <f>MAX(tbl_NKLA[[#This Row],[Move]],0)</f>
        <v>0</v>
      </c>
      <c r="O39" s="46">
        <f>MAX(-tbl_NKLA[[#This Row],[Move]],0)</f>
        <v>0.16000000000000014</v>
      </c>
      <c r="P39" s="46">
        <f ca="1">IF(ROW($N39)-5&lt;RSI_Periods, "", AVERAGE(INDIRECT(ADDRESS(ROW($N39)-RSI_Periods +1, MATCH("Upmove", Price_Header,0))): INDIRECT(ADDRESS(ROW($N39),MATCH("Upmove", Price_Header,0)))))</f>
        <v>0.45071414285714262</v>
      </c>
      <c r="Q39" s="46">
        <f ca="1">IF(ROW($O39)-5&lt;RSI_Periods, "", AVERAGE(INDIRECT(ADDRESS(ROW($O39)-RSI_Periods +1, MATCH("Downmove", Price_Header,0))): INDIRECT(ADDRESS(ROW($O39),MATCH("Downmove", Price_Header,0)))))</f>
        <v>2.6471426428571427</v>
      </c>
      <c r="R39" s="46">
        <f ca="1">IF(tbl_NKLA[[#This Row],[Avg_Upmove]]="", "", tbl_NKLA[[#This Row],[Avg_Upmove]]/tbl_NKLA[[#This Row],[Avg_Downmove]])</f>
        <v>0.17026439586597908</v>
      </c>
      <c r="S39" s="10">
        <f ca="1">IF(ROW($N39)-4&lt;BB_Periods, "", _xlfn.STDEV.S(INDIRECT(ADDRESS(ROW($F39)-RSI_Periods +1, MATCH("Adj Close", Price_Header,0))): INDIRECT(ADDRESS(ROW($F39),MATCH("Adj Close", Price_Header,0)))))</f>
        <v>7.4913326767423181</v>
      </c>
    </row>
    <row r="40" spans="1:19" x14ac:dyDescent="0.35">
      <c r="A40" s="8">
        <v>44103</v>
      </c>
      <c r="B40">
        <v>18.690000000000001</v>
      </c>
      <c r="C40">
        <v>18.79</v>
      </c>
      <c r="D40">
        <v>17.510000000000002</v>
      </c>
      <c r="E40">
        <v>17.88</v>
      </c>
      <c r="F40">
        <v>17.88</v>
      </c>
      <c r="G40">
        <v>30987200</v>
      </c>
      <c r="H40" s="10">
        <f>IF(tbl_NKLA[[#This Row],[Date]]=$A$5, $F40, EMA_Beta*$H39 + (1-EMA_Beta)*$F40)</f>
        <v>29.016192178116466</v>
      </c>
      <c r="I40" s="46">
        <f ca="1">IF(tbl_NKLA[[#This Row],[RS]]= "", "", 100-(100/(1+tbl_NKLA[[#This Row],[RS]])))</f>
        <v>17.003500000471561</v>
      </c>
      <c r="J40" s="10">
        <f ca="1">IF(ROW($N40)-4&lt;BB_Periods, "", AVERAGE(INDIRECT(ADDRESS(ROW($F40)-RSI_Periods +1, MATCH("Adj Close", Price_Header,0))): INDIRECT(ADDRESS(ROW($F40),MATCH("Adj Close", Price_Header,0)))))</f>
        <v>28.0428575</v>
      </c>
      <c r="K40" s="10">
        <f ca="1">IF(tbl_NKLA[[#This Row],[BB_Mean]]="", "", tbl_NKLA[[#This Row],[BB_Mean]]+(BB_Width*tbl_NKLA[[#This Row],[BB_Stdev]]))</f>
        <v>42.405389323149834</v>
      </c>
      <c r="L40" s="10">
        <f ca="1">IF(tbl_NKLA[[#This Row],[BB_Mean]]="", "", tbl_NKLA[[#This Row],[BB_Mean]]-(BB_Width*tbl_NKLA[[#This Row],[BB_Stdev]]))</f>
        <v>13.680325676850167</v>
      </c>
      <c r="M40" s="46">
        <f>IF(ROW(tbl_NKLA[[#This Row],[Adj Close]])=5, 0, $F40-$F39)</f>
        <v>-1.4200000000000017</v>
      </c>
      <c r="N40" s="46">
        <f>MAX(tbl_NKLA[[#This Row],[Move]],0)</f>
        <v>0</v>
      </c>
      <c r="O40" s="46">
        <f>MAX(-tbl_NKLA[[#This Row],[Move]],0)</f>
        <v>1.4200000000000017</v>
      </c>
      <c r="P40" s="46">
        <f ca="1">IF(ROW($N40)-5&lt;RSI_Periods, "", AVERAGE(INDIRECT(ADDRESS(ROW($N40)-RSI_Periods +1, MATCH("Upmove", Price_Header,0))): INDIRECT(ADDRESS(ROW($N40),MATCH("Upmove", Price_Header,0)))))</f>
        <v>0.45071414285714262</v>
      </c>
      <c r="Q40" s="46">
        <f ca="1">IF(ROW($O40)-5&lt;RSI_Periods, "", AVERAGE(INDIRECT(ADDRESS(ROW($O40)-RSI_Periods +1, MATCH("Downmove", Price_Header,0))): INDIRECT(ADDRESS(ROW($O40),MATCH("Downmove", Price_Header,0)))))</f>
        <v>2.1999997857142857</v>
      </c>
      <c r="R40" s="46">
        <f ca="1">IF(tbl_NKLA[[#This Row],[Avg_Upmove]]="", "", tbl_NKLA[[#This Row],[Avg_Upmove]]/tbl_NKLA[[#This Row],[Avg_Downmove]])</f>
        <v>0.20487008488994324</v>
      </c>
      <c r="S40" s="10">
        <f ca="1">IF(ROW($N40)-4&lt;BB_Periods, "", _xlfn.STDEV.S(INDIRECT(ADDRESS(ROW($F40)-RSI_Periods +1, MATCH("Adj Close", Price_Header,0))): INDIRECT(ADDRESS(ROW($F40),MATCH("Adj Close", Price_Header,0)))))</f>
        <v>7.1812659115749167</v>
      </c>
    </row>
    <row r="41" spans="1:19" x14ac:dyDescent="0.35">
      <c r="A41" s="8">
        <v>44104</v>
      </c>
      <c r="B41">
        <v>18.260000000000002</v>
      </c>
      <c r="C41">
        <v>21.67</v>
      </c>
      <c r="D41">
        <v>17.93</v>
      </c>
      <c r="E41">
        <v>20.48</v>
      </c>
      <c r="F41">
        <v>20.48</v>
      </c>
      <c r="G41">
        <v>92463300</v>
      </c>
      <c r="H41" s="10">
        <f>IF(tbl_NKLA[[#This Row],[Date]]=$A$5, $F41, EMA_Beta*$H40 + (1-EMA_Beta)*$F41)</f>
        <v>28.162572960304818</v>
      </c>
      <c r="I41" s="46">
        <f ca="1">IF(tbl_NKLA[[#This Row],[RS]]= "", "", 100-(100/(1+tbl_NKLA[[#This Row],[RS]])))</f>
        <v>25.522770039847614</v>
      </c>
      <c r="J41" s="10">
        <f ca="1">IF(ROW($N41)-4&lt;BB_Periods, "", AVERAGE(INDIRECT(ADDRESS(ROW($F41)-RSI_Periods +1, MATCH("Adj Close", Price_Header,0))): INDIRECT(ADDRESS(ROW($F41),MATCH("Adj Close", Price_Header,0)))))</f>
        <v>26.822143214285713</v>
      </c>
      <c r="K41" s="10">
        <f ca="1">IF(tbl_NKLA[[#This Row],[BB_Mean]]="", "", tbl_NKLA[[#This Row],[BB_Mean]]+(BB_Width*tbl_NKLA[[#This Row],[BB_Stdev]]))</f>
        <v>40.589282500536733</v>
      </c>
      <c r="L41" s="10">
        <f ca="1">IF(tbl_NKLA[[#This Row],[BB_Mean]]="", "", tbl_NKLA[[#This Row],[BB_Mean]]-(BB_Width*tbl_NKLA[[#This Row],[BB_Stdev]]))</f>
        <v>13.055003928034695</v>
      </c>
      <c r="M41" s="46">
        <f>IF(ROW(tbl_NKLA[[#This Row],[Adj Close]])=5, 0, $F41-$F40)</f>
        <v>2.6000000000000014</v>
      </c>
      <c r="N41" s="46">
        <f>MAX(tbl_NKLA[[#This Row],[Move]],0)</f>
        <v>2.6000000000000014</v>
      </c>
      <c r="O41" s="46">
        <f>MAX(-tbl_NKLA[[#This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0.63642842857142845</v>
      </c>
      <c r="Q41" s="46">
        <f ca="1">IF(ROW($O41)-5&lt;RSI_Periods, "", AVERAGE(INDIRECT(ADDRESS(ROW($O41)-RSI_Periods +1, MATCH("Downmove", Price_Header,0))): INDIRECT(ADDRESS(ROW($O41),MATCH("Downmove", Price_Header,0)))))</f>
        <v>1.8571427142857142</v>
      </c>
      <c r="R41" s="46">
        <f ca="1">IF(tbl_NKLA[[#This Row],[Avg_Upmove]]="", "", tbl_NKLA[[#This Row],[Avg_Upmove]]/tbl_NKLA[[#This Row],[Avg_Downmove]])</f>
        <v>0.34269225713017359</v>
      </c>
      <c r="S41" s="10">
        <f ca="1">IF(ROW($N41)-4&lt;BB_Periods, "", _xlfn.STDEV.S(INDIRECT(ADDRESS(ROW($F41)-RSI_Periods +1, MATCH("Adj Close", Price_Header,0))): INDIRECT(ADDRESS(ROW($F41),MATCH("Adj Close", Price_Header,0)))))</f>
        <v>6.8835696431255089</v>
      </c>
    </row>
    <row r="42" spans="1:19" x14ac:dyDescent="0.35">
      <c r="A42" s="8">
        <v>44105</v>
      </c>
      <c r="B42">
        <v>21.97</v>
      </c>
      <c r="C42">
        <v>27</v>
      </c>
      <c r="D42">
        <v>21.78</v>
      </c>
      <c r="E42">
        <v>24.11</v>
      </c>
      <c r="F42">
        <v>24.11</v>
      </c>
      <c r="G42">
        <v>138537700</v>
      </c>
      <c r="H42" s="10">
        <f>IF(tbl_NKLA[[#This Row],[Date]]=$A$5, $F42, EMA_Beta*$H41 + (1-EMA_Beta)*$F42)</f>
        <v>27.757315664274337</v>
      </c>
      <c r="I42" s="46">
        <f ca="1">IF(tbl_NKLA[[#This Row],[RS]]= "", "", 100-(100/(1+tbl_NKLA[[#This Row],[RS]])))</f>
        <v>37.885193766029644</v>
      </c>
      <c r="J42" s="10">
        <f ca="1">IF(ROW($N42)-4&lt;BB_Periods, "", AVERAGE(INDIRECT(ADDRESS(ROW($F42)-RSI_Periods +1, MATCH("Adj Close", Price_Header,0))): INDIRECT(ADDRESS(ROW($F42),MATCH("Adj Close", Price_Header,0)))))</f>
        <v>26.249286000000001</v>
      </c>
      <c r="K42" s="10">
        <f ca="1">IF(tbl_NKLA[[#This Row],[BB_Mean]]="", "", tbl_NKLA[[#This Row],[BB_Mean]]+(BB_Width*tbl_NKLA[[#This Row],[BB_Stdev]]))</f>
        <v>39.729458956238808</v>
      </c>
      <c r="L42" s="10">
        <f ca="1">IF(tbl_NKLA[[#This Row],[BB_Mean]]="", "", tbl_NKLA[[#This Row],[BB_Mean]]-(BB_Width*tbl_NKLA[[#This Row],[BB_Stdev]]))</f>
        <v>12.769113043761195</v>
      </c>
      <c r="M42" s="46">
        <f>IF(ROW(tbl_NKLA[[#This Row],[Adj Close]])=5, 0, $F42-$F41)</f>
        <v>3.629999999999999</v>
      </c>
      <c r="N42" s="46">
        <f>MAX(tbl_NKLA[[#This Row],[Move]],0)</f>
        <v>3.629999999999999</v>
      </c>
      <c r="O42" s="46">
        <f>MAX(-tbl_NKLA[[#This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0.89571414285714268</v>
      </c>
      <c r="Q42" s="46">
        <f ca="1">IF(ROW($O42)-5&lt;RSI_Periods, "", AVERAGE(INDIRECT(ADDRESS(ROW($O42)-RSI_Periods +1, MATCH("Downmove", Price_Header,0))): INDIRECT(ADDRESS(ROW($O42),MATCH("Downmove", Price_Header,0)))))</f>
        <v>1.4685713571428569</v>
      </c>
      <c r="R42" s="46">
        <f ca="1">IF(tbl_NKLA[[#This Row],[Avg_Upmove]]="", "", tbl_NKLA[[#This Row],[Avg_Upmove]]/tbl_NKLA[[#This Row],[Avg_Downmove]])</f>
        <v>0.6099221113775346</v>
      </c>
      <c r="S42" s="10">
        <f ca="1">IF(ROW($N42)-4&lt;BB_Periods, "", _xlfn.STDEV.S(INDIRECT(ADDRESS(ROW($F42)-RSI_Periods +1, MATCH("Adj Close", Price_Header,0))): INDIRECT(ADDRESS(ROW($F42),MATCH("Adj Close", Price_Header,0)))))</f>
        <v>6.7400864781194034</v>
      </c>
    </row>
    <row r="43" spans="1:19" x14ac:dyDescent="0.35">
      <c r="A43" s="8">
        <v>44106</v>
      </c>
      <c r="B43">
        <v>22.3</v>
      </c>
      <c r="C43">
        <v>26.3</v>
      </c>
      <c r="D43">
        <v>22.09</v>
      </c>
      <c r="E43">
        <v>24.25</v>
      </c>
      <c r="F43">
        <v>24.25</v>
      </c>
      <c r="G43">
        <v>64632300</v>
      </c>
      <c r="H43" s="10">
        <f>IF(tbl_NKLA[[#This Row],[Date]]=$A$5, $F43, EMA_Beta*$H42 + (1-EMA_Beta)*$F43)</f>
        <v>27.406584097846906</v>
      </c>
      <c r="I43" s="46">
        <f ca="1">IF(tbl_NKLA[[#This Row],[RS]]= "", "", 100-(100/(1+tbl_NKLA[[#This Row],[RS]])))</f>
        <v>30.493573072370495</v>
      </c>
      <c r="J43" s="10">
        <f ca="1">IF(ROW($N43)-4&lt;BB_Periods, "", AVERAGE(INDIRECT(ADDRESS(ROW($F43)-RSI_Periods +1, MATCH("Adj Close", Price_Header,0))): INDIRECT(ADDRESS(ROW($F43),MATCH("Adj Close", Price_Header,0)))))</f>
        <v>25.425000214285713</v>
      </c>
      <c r="K43" s="10">
        <f ca="1">IF(tbl_NKLA[[#This Row],[BB_Mean]]="", "", tbl_NKLA[[#This Row],[BB_Mean]]+(BB_Width*tbl_NKLA[[#This Row],[BB_Stdev]]))</f>
        <v>37.754247462254341</v>
      </c>
      <c r="L43" s="10">
        <f ca="1">IF(tbl_NKLA[[#This Row],[BB_Mean]]="", "", tbl_NKLA[[#This Row],[BB_Mean]]-(BB_Width*tbl_NKLA[[#This Row],[BB_Stdev]]))</f>
        <v>13.095752966317088</v>
      </c>
      <c r="M43" s="46">
        <f>IF(ROW(tbl_NKLA[[#This Row],[Adj Close]])=5, 0, $F43-$F42)</f>
        <v>0.14000000000000057</v>
      </c>
      <c r="N43" s="46">
        <f>MAX(tbl_NKLA[[#This Row],[Move]],0)</f>
        <v>0.14000000000000057</v>
      </c>
      <c r="O43" s="46">
        <f>MAX(-tbl_NKLA[[#This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0.64428557142857146</v>
      </c>
      <c r="Q43" s="46">
        <f ca="1">IF(ROW($O43)-5&lt;RSI_Periods, "", AVERAGE(INDIRECT(ADDRESS(ROW($O43)-RSI_Periods +1, MATCH("Downmove", Price_Header,0))): INDIRECT(ADDRESS(ROW($O43),MATCH("Downmove", Price_Header,0)))))</f>
        <v>1.4685713571428569</v>
      </c>
      <c r="R43" s="46">
        <f ca="1">IF(tbl_NKLA[[#This Row],[Avg_Upmove]]="", "", tbl_NKLA[[#This Row],[Avg_Upmove]]/tbl_NKLA[[#This Row],[Avg_Downmove]])</f>
        <v>0.43871587736944939</v>
      </c>
      <c r="S43" s="10">
        <f ca="1">IF(ROW($N43)-4&lt;BB_Periods, "", _xlfn.STDEV.S(INDIRECT(ADDRESS(ROW($F43)-RSI_Periods +1, MATCH("Adj Close", Price_Header,0))): INDIRECT(ADDRESS(ROW($F43),MATCH("Adj Close", Price_Header,0)))))</f>
        <v>6.1646236239843129</v>
      </c>
    </row>
    <row r="44" spans="1:19" x14ac:dyDescent="0.35">
      <c r="A44" s="8">
        <v>44109</v>
      </c>
      <c r="B44">
        <v>24.52</v>
      </c>
      <c r="C44">
        <v>25.5</v>
      </c>
      <c r="D44">
        <v>22.77</v>
      </c>
      <c r="E44">
        <v>23.78</v>
      </c>
      <c r="F44">
        <v>23.78</v>
      </c>
      <c r="G44">
        <v>37859300</v>
      </c>
      <c r="H44" s="10">
        <f>IF(tbl_NKLA[[#This Row],[Date]]=$A$5, $F44, EMA_Beta*$H43 + (1-EMA_Beta)*$F44)</f>
        <v>27.043925688062217</v>
      </c>
      <c r="I44" s="46">
        <f ca="1">IF(tbl_NKLA[[#This Row],[RS]]= "", "", 100-(100/(1+tbl_NKLA[[#This Row],[RS]])))</f>
        <v>33.296414418339936</v>
      </c>
      <c r="J44" s="10">
        <f ca="1">IF(ROW($N44)-4&lt;BB_Periods, "", AVERAGE(INDIRECT(ADDRESS(ROW($F44)-RSI_Periods +1, MATCH("Adj Close", Price_Header,0))): INDIRECT(ADDRESS(ROW($F44),MATCH("Adj Close", Price_Header,0)))))</f>
        <v>24.778571499999998</v>
      </c>
      <c r="K44" s="10">
        <f ca="1">IF(tbl_NKLA[[#This Row],[BB_Mean]]="", "", tbl_NKLA[[#This Row],[BB_Mean]]+(BB_Width*tbl_NKLA[[#This Row],[BB_Stdev]]))</f>
        <v>36.361787349886278</v>
      </c>
      <c r="L44" s="10">
        <f ca="1">IF(tbl_NKLA[[#This Row],[BB_Mean]]="", "", tbl_NKLA[[#This Row],[BB_Mean]]-(BB_Width*tbl_NKLA[[#This Row],[BB_Stdev]]))</f>
        <v>13.195355650113719</v>
      </c>
      <c r="M44" s="46">
        <f>IF(ROW(tbl_NKLA[[#This Row],[Adj Close]])=5, 0, $F44-$F43)</f>
        <v>-0.46999999999999886</v>
      </c>
      <c r="N44" s="46">
        <f>MAX(tbl_NKLA[[#This Row],[Move]],0)</f>
        <v>0</v>
      </c>
      <c r="O44" s="46">
        <f>MAX(-tbl_NKLA[[#This Row],[Move]],0)</f>
        <v>0.46999999999999886</v>
      </c>
      <c r="P44" s="46">
        <f ca="1">IF(ROW($N44)-5&lt;RSI_Periods, "", AVERAGE(INDIRECT(ADDRESS(ROW($N44)-RSI_Periods +1, MATCH("Upmove", Price_Header,0))): INDIRECT(ADDRESS(ROW($N44),MATCH("Upmove", Price_Header,0)))))</f>
        <v>0.64428557142857146</v>
      </c>
      <c r="Q44" s="46">
        <f ca="1">IF(ROW($O44)-5&lt;RSI_Periods, "", AVERAGE(INDIRECT(ADDRESS(ROW($O44)-RSI_Periods +1, MATCH("Downmove", Price_Header,0))): INDIRECT(ADDRESS(ROW($O44),MATCH("Downmove", Price_Header,0)))))</f>
        <v>1.2907142857142857</v>
      </c>
      <c r="R44" s="46">
        <f ca="1">IF(tbl_NKLA[[#This Row],[Avg_Upmove]]="", "", tbl_NKLA[[#This Row],[Avg_Upmove]]/tbl_NKLA[[#This Row],[Avg_Downmove]])</f>
        <v>0.49916978417266189</v>
      </c>
      <c r="S44" s="10">
        <f ca="1">IF(ROW($N44)-4&lt;BB_Periods, "", _xlfn.STDEV.S(INDIRECT(ADDRESS(ROW($F44)-RSI_Periods +1, MATCH("Adj Close", Price_Header,0))): INDIRECT(ADDRESS(ROW($F44),MATCH("Adj Close", Price_Header,0)))))</f>
        <v>5.7916079249431398</v>
      </c>
    </row>
    <row r="45" spans="1:19" x14ac:dyDescent="0.35">
      <c r="A45" t="s">
        <v>162</v>
      </c>
      <c r="H45" s="61"/>
      <c r="J45" s="61"/>
      <c r="K45" s="61"/>
      <c r="L45" s="61"/>
      <c r="S45" s="61">
        <f ca="1">SUBTOTAL(103,tbl_NKLA[BB_Stdev])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5"/>
  <sheetViews>
    <sheetView topLeftCell="A29" workbookViewId="0">
      <selection activeCell="G44" sqref="G44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254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3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3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3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3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3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3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3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3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3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3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3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3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3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3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3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3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3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3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35">
      <c r="A37" s="8">
        <v>44098</v>
      </c>
      <c r="B37" s="10">
        <v>6.57</v>
      </c>
      <c r="C37" s="10">
        <v>6.65</v>
      </c>
      <c r="D37" s="10">
        <v>6.22</v>
      </c>
      <c r="E37" s="10">
        <v>6.41</v>
      </c>
      <c r="F37" s="10">
        <v>6.41</v>
      </c>
      <c r="G37">
        <v>61530700</v>
      </c>
      <c r="H37" s="10">
        <f>IF(tbl_SPXS[[#This Row],[Date]]=$A$5, $F37, EMA_Beta*$H36 + (1-EMA_Beta)*$F37)</f>
        <v>5.9261326888632224</v>
      </c>
      <c r="I37" s="46">
        <f ca="1">IF(tbl_SPXS[[#This Row],[RS]]= "", "", 100-(100/(1+tbl_SPXS[[#This Row],[RS]])))</f>
        <v>66.894197952218434</v>
      </c>
      <c r="J37" s="10">
        <f ca="1">IF(ROW($N37)-4&lt;BB_Periods, "", AVERAGE(INDIRECT(ADDRESS(ROW($F37)-RSI_Periods +1, MATCH("Adj Close", Price_Header,0))): INDIRECT(ADDRESS(ROW($F37),MATCH("Adj Close", Price_Header,0)))))</f>
        <v>5.95</v>
      </c>
      <c r="K37" s="10">
        <f ca="1">IF(tbl_SPXS[[#This Row],[BB_Mean]]="", "", tbl_SPXS[[#This Row],[BB_Mean]]+(BB_Width*tbl_SPXS[[#This Row],[BB_Stdev]]))</f>
        <v>6.5281136433395988</v>
      </c>
      <c r="L37" s="10">
        <f ca="1">IF(tbl_SPXS[[#This Row],[BB_Mean]]="", "", tbl_SPXS[[#This Row],[BB_Mean]]-(BB_Width*tbl_SPXS[[#This Row],[BB_Stdev]]))</f>
        <v>5.3718863566604016</v>
      </c>
      <c r="M37" s="46">
        <f>IF(ROW(tbl_SPXS[[#This Row],[Adj Close]])=5, 0, $F37-$F36)</f>
        <v>-7.0000000000000284E-2</v>
      </c>
      <c r="N37" s="46">
        <f>MAX(tbl_SPXS[[#This Row],[Move]],0)</f>
        <v>0</v>
      </c>
      <c r="O37" s="46">
        <f>MAX(-tbl_SPXS[[#This Row],[Move]],0)</f>
        <v>7.0000000000000284E-2</v>
      </c>
      <c r="P37" s="46">
        <f ca="1">IF(ROW($N37)-5&lt;RSI_Periods, "", AVERAGE(INDIRECT(ADDRESS(ROW($N37)-RSI_Periods +1, MATCH("Upmove", Price_Header,0))): INDIRECT(ADDRESS(ROW($N37),MATCH("Upmove", Price_Header,0)))))</f>
        <v>0.13999999999999999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IF(tbl_SPXS[[#This Row],[Avg_Upmove]]="", "", tbl_SPXS[[#This Row],[Avg_Upmove]]/tbl_SPXS[[#This Row],[Avg_Downmove]])</f>
        <v>2.0206185567010313</v>
      </c>
      <c r="S37" s="10">
        <f ca="1">IF(ROW($N37)-4&lt;BB_Periods, "", _xlfn.STDEV.S(INDIRECT(ADDRESS(ROW($F37)-RSI_Periods +1, MATCH("Adj Close", Price_Header,0))): INDIRECT(ADDRESS(ROW($F37),MATCH("Adj Close", Price_Header,0)))))</f>
        <v>0.28905682166979935</v>
      </c>
    </row>
    <row r="38" spans="1:19" x14ac:dyDescent="0.35">
      <c r="A38" s="8">
        <v>44099</v>
      </c>
      <c r="B38" s="10">
        <v>6.48</v>
      </c>
      <c r="C38" s="10">
        <v>6.53</v>
      </c>
      <c r="D38" s="10">
        <v>6.06</v>
      </c>
      <c r="E38" s="10">
        <v>6.1</v>
      </c>
      <c r="F38" s="10">
        <v>6.1</v>
      </c>
      <c r="G38">
        <v>41909900</v>
      </c>
      <c r="H38" s="10">
        <f>IF(tbl_SPXS[[#This Row],[Date]]=$A$5, $F38, EMA_Beta*$H37 + (1-EMA_Beta)*$F38)</f>
        <v>5.9435194199768997</v>
      </c>
      <c r="I38" s="46">
        <f ca="1">IF(tbl_SPXS[[#This Row],[RS]]= "", "", 100-(100/(1+tbl_SPXS[[#This Row],[RS]])))</f>
        <v>58.70967741935484</v>
      </c>
      <c r="J38" s="10">
        <f ca="1">IF(ROW($N38)-4&lt;BB_Periods, "", AVERAGE(INDIRECT(ADDRESS(ROW($F38)-RSI_Periods +1, MATCH("Adj Close", Price_Header,0))): INDIRECT(ADDRESS(ROW($F38),MATCH("Adj Close", Price_Header,0)))))</f>
        <v>5.9885714285714275</v>
      </c>
      <c r="K38" s="10">
        <f ca="1">IF(tbl_SPXS[[#This Row],[BB_Mean]]="", "", tbl_SPXS[[#This Row],[BB_Mean]]+(BB_Width*tbl_SPXS[[#This Row],[BB_Stdev]]))</f>
        <v>6.5251622133689962</v>
      </c>
      <c r="L38" s="10">
        <f ca="1">IF(tbl_SPXS[[#This Row],[BB_Mean]]="", "", tbl_SPXS[[#This Row],[BB_Mean]]-(BB_Width*tbl_SPXS[[#This Row],[BB_Stdev]]))</f>
        <v>5.4519806437738589</v>
      </c>
      <c r="M38" s="46">
        <f>IF(ROW(tbl_SPXS[[#This Row],[Adj Close]])=5, 0, $F38-$F37)</f>
        <v>-0.3100000000000005</v>
      </c>
      <c r="N38" s="46">
        <f>MAX(tbl_SPXS[[#This Row],[Move]],0)</f>
        <v>0</v>
      </c>
      <c r="O38" s="46">
        <f>MAX(-tbl_SPXS[[#This Row],[Move]],0)</f>
        <v>0.3100000000000005</v>
      </c>
      <c r="P38" s="46">
        <f ca="1">IF(ROW($N38)-5&lt;RSI_Periods, "", AVERAGE(INDIRECT(ADDRESS(ROW($N38)-RSI_Periods +1, MATCH("Upmove", Price_Header,0))): INDIRECT(ADDRESS(ROW($N38),MATCH("Upmove", Price_Header,0)))))</f>
        <v>0.13000000000000003</v>
      </c>
      <c r="Q38" s="46">
        <f ca="1">IF(ROW($O38)-5&lt;RSI_Periods, "", AVERAGE(INDIRECT(ADDRESS(ROW($O38)-RSI_Periods +1, MATCH("Downmove", Price_Header,0))): INDIRECT(ADDRESS(ROW($O38),MATCH("Downmove", Price_Header,0)))))</f>
        <v>9.1428571428571442E-2</v>
      </c>
      <c r="R38" s="46">
        <f ca="1">IF(tbl_SPXS[[#This Row],[Avg_Upmove]]="", "", tbl_SPXS[[#This Row],[Avg_Upmove]]/tbl_SPXS[[#This Row],[Avg_Downmove]])</f>
        <v>1.4218750000000002</v>
      </c>
      <c r="S38" s="10">
        <f ca="1">IF(ROW($N38)-4&lt;BB_Periods, "", _xlfn.STDEV.S(INDIRECT(ADDRESS(ROW($F38)-RSI_Periods +1, MATCH("Adj Close", Price_Header,0))): INDIRECT(ADDRESS(ROW($F38),MATCH("Adj Close", Price_Header,0)))))</f>
        <v>0.26829539239878425</v>
      </c>
    </row>
    <row r="39" spans="1:19" x14ac:dyDescent="0.35">
      <c r="A39" s="8">
        <v>44102</v>
      </c>
      <c r="B39" s="10">
        <v>5.85</v>
      </c>
      <c r="C39" s="10">
        <v>5.92</v>
      </c>
      <c r="D39" s="10">
        <v>5.76</v>
      </c>
      <c r="E39" s="10">
        <v>5.81</v>
      </c>
      <c r="F39" s="10">
        <v>5.81</v>
      </c>
      <c r="G39">
        <v>28157700</v>
      </c>
      <c r="H39" s="10">
        <f>IF(tbl_SPXS[[#This Row],[Date]]=$A$5, $F39, EMA_Beta*$H38 + (1-EMA_Beta)*$F39)</f>
        <v>5.9301674779792091</v>
      </c>
      <c r="I39" s="46">
        <f ca="1">IF(tbl_SPXS[[#This Row],[RS]]= "", "", 100-(100/(1+tbl_SPXS[[#This Row],[RS]])))</f>
        <v>46.416382252559728</v>
      </c>
      <c r="J39" s="10">
        <f ca="1">IF(ROW($N39)-4&lt;BB_Periods, "", AVERAGE(INDIRECT(ADDRESS(ROW($F39)-RSI_Periods +1, MATCH("Adj Close", Price_Header,0))): INDIRECT(ADDRESS(ROW($F39),MATCH("Adj Close", Price_Header,0)))))</f>
        <v>5.9735714285714279</v>
      </c>
      <c r="K39" s="10">
        <f ca="1">IF(tbl_SPXS[[#This Row],[BB_Mean]]="", "", tbl_SPXS[[#This Row],[BB_Mean]]+(BB_Width*tbl_SPXS[[#This Row],[BB_Stdev]]))</f>
        <v>6.5180603006965905</v>
      </c>
      <c r="L39" s="10">
        <f ca="1">IF(tbl_SPXS[[#This Row],[BB_Mean]]="", "", tbl_SPXS[[#This Row],[BB_Mean]]-(BB_Width*tbl_SPXS[[#This Row],[BB_Stdev]]))</f>
        <v>5.4290825564462653</v>
      </c>
      <c r="M39" s="46">
        <f>IF(ROW(tbl_SPXS[[#This Row],[Adj Close]])=5, 0, $F39-$F38)</f>
        <v>-0.29000000000000004</v>
      </c>
      <c r="N39" s="46">
        <f>MAX(tbl_SPXS[[#This Row],[Move]],0)</f>
        <v>0</v>
      </c>
      <c r="O39" s="46">
        <f>MAX(-tbl_SPXS[[#This Row],[Move]],0)</f>
        <v>0.29000000000000004</v>
      </c>
      <c r="P39" s="46">
        <f ca="1">IF(ROW($N39)-5&lt;RSI_Periods, "", AVERAGE(INDIRECT(ADDRESS(ROW($N39)-RSI_Periods +1, MATCH("Upmove", Price_Header,0))): INDIRECT(ADDRESS(ROW($N39),MATCH("Upmove", Price_Header,0)))))</f>
        <v>9.714285714285717E-2</v>
      </c>
      <c r="Q39" s="46">
        <f ca="1">IF(ROW($O39)-5&lt;RSI_Periods, "", AVERAGE(INDIRECT(ADDRESS(ROW($O39)-RSI_Periods +1, MATCH("Downmove", Price_Header,0))): INDIRECT(ADDRESS(ROW($O39),MATCH("Downmove", Price_Header,0)))))</f>
        <v>0.11214285714285717</v>
      </c>
      <c r="R39" s="46">
        <f ca="1">IF(tbl_SPXS[[#This Row],[Avg_Upmove]]="", "", tbl_SPXS[[#This Row],[Avg_Upmove]]/tbl_SPXS[[#This Row],[Avg_Downmove]])</f>
        <v>0.86624203821656054</v>
      </c>
      <c r="S39" s="10">
        <f ca="1">IF(ROW($N39)-4&lt;BB_Periods, "", _xlfn.STDEV.S(INDIRECT(ADDRESS(ROW($F39)-RSI_Periods +1, MATCH("Adj Close", Price_Header,0))): INDIRECT(ADDRESS(ROW($F39),MATCH("Adj Close", Price_Header,0)))))</f>
        <v>0.27224443606258142</v>
      </c>
    </row>
    <row r="40" spans="1:19" x14ac:dyDescent="0.35">
      <c r="A40" s="8">
        <v>44103</v>
      </c>
      <c r="B40" s="10">
        <v>5.81</v>
      </c>
      <c r="C40" s="10">
        <v>5.94</v>
      </c>
      <c r="D40" s="10">
        <v>5.78</v>
      </c>
      <c r="E40" s="10">
        <v>5.91</v>
      </c>
      <c r="F40" s="10">
        <v>5.91</v>
      </c>
      <c r="G40">
        <v>31636100</v>
      </c>
      <c r="H40" s="10">
        <f>IF(tbl_SPXS[[#This Row],[Date]]=$A$5, $F40, EMA_Beta*$H39 + (1-EMA_Beta)*$F40)</f>
        <v>5.9281507301812884</v>
      </c>
      <c r="I40" s="46">
        <f ca="1">IF(tbl_SPXS[[#This Row],[RS]]= "", "", 100-(100/(1+tbl_SPXS[[#This Row],[RS]])))</f>
        <v>54.681647940074903</v>
      </c>
      <c r="J40" s="10">
        <f ca="1">IF(ROW($N40)-4&lt;BB_Periods, "", AVERAGE(INDIRECT(ADDRESS(ROW($F40)-RSI_Periods +1, MATCH("Adj Close", Price_Header,0))): INDIRECT(ADDRESS(ROW($F40),MATCH("Adj Close", Price_Header,0)))))</f>
        <v>5.9914285714285702</v>
      </c>
      <c r="K40" s="10">
        <f ca="1">IF(tbl_SPXS[[#This Row],[BB_Mean]]="", "", tbl_SPXS[[#This Row],[BB_Mean]]+(BB_Width*tbl_SPXS[[#This Row],[BB_Stdev]]))</f>
        <v>6.507261409161412</v>
      </c>
      <c r="L40" s="10">
        <f ca="1">IF(tbl_SPXS[[#This Row],[BB_Mean]]="", "", tbl_SPXS[[#This Row],[BB_Mean]]-(BB_Width*tbl_SPXS[[#This Row],[BB_Stdev]]))</f>
        <v>5.4755957336957284</v>
      </c>
      <c r="M40" s="46">
        <f>IF(ROW(tbl_SPXS[[#This Row],[Adj Close]])=5, 0, $F40-$F39)</f>
        <v>0.10000000000000053</v>
      </c>
      <c r="N40" s="46">
        <f>MAX(tbl_SPXS[[#This Row],[Move]],0)</f>
        <v>0.10000000000000053</v>
      </c>
      <c r="O40" s="46">
        <f>MAX(-tbl_SPXS[[#This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0.10428571428571434</v>
      </c>
      <c r="Q40" s="46">
        <f ca="1">IF(ROW($O40)-5&lt;RSI_Periods, "", AVERAGE(INDIRECT(ADDRESS(ROW($O40)-RSI_Periods +1, MATCH("Downmove", Price_Header,0))): INDIRECT(ADDRESS(ROW($O40),MATCH("Downmove", Price_Header,0)))))</f>
        <v>8.6428571428571493E-2</v>
      </c>
      <c r="R40" s="46">
        <f ca="1">IF(tbl_SPXS[[#This Row],[Avg_Upmove]]="", "", tbl_SPXS[[#This Row],[Avg_Upmove]]/tbl_SPXS[[#This Row],[Avg_Downmove]])</f>
        <v>1.2066115702479336</v>
      </c>
      <c r="S40" s="10">
        <f ca="1">IF(ROW($N40)-4&lt;BB_Periods, "", _xlfn.STDEV.S(INDIRECT(ADDRESS(ROW($F40)-RSI_Periods +1, MATCH("Adj Close", Price_Header,0))): INDIRECT(ADDRESS(ROW($F40),MATCH("Adj Close", Price_Header,0)))))</f>
        <v>0.25791641886642108</v>
      </c>
    </row>
    <row r="41" spans="1:19" x14ac:dyDescent="0.35">
      <c r="A41" s="8">
        <v>44104</v>
      </c>
      <c r="B41" s="10">
        <v>5.87</v>
      </c>
      <c r="C41" s="10">
        <v>5.88</v>
      </c>
      <c r="D41" s="10">
        <v>5.59</v>
      </c>
      <c r="E41" s="10">
        <v>5.76</v>
      </c>
      <c r="F41" s="10">
        <v>5.76</v>
      </c>
      <c r="G41">
        <v>44462200</v>
      </c>
      <c r="H41" s="10">
        <f>IF(tbl_SPXS[[#This Row],[Date]]=$A$5, $F41, EMA_Beta*$H40 + (1-EMA_Beta)*$F41)</f>
        <v>5.9113356571631597</v>
      </c>
      <c r="I41" s="46">
        <f ca="1">IF(tbl_SPXS[[#This Row],[RS]]= "", "", 100-(100/(1+tbl_SPXS[[#This Row],[RS]])))</f>
        <v>46.031746031746032</v>
      </c>
      <c r="J41" s="10">
        <f ca="1">IF(ROW($N41)-4&lt;BB_Periods, "", AVERAGE(INDIRECT(ADDRESS(ROW($F41)-RSI_Periods +1, MATCH("Adj Close", Price_Header,0))): INDIRECT(ADDRESS(ROW($F41),MATCH("Adj Close", Price_Header,0)))))</f>
        <v>5.9771428571428569</v>
      </c>
      <c r="K41" s="10">
        <f ca="1">IF(tbl_SPXS[[#This Row],[BB_Mean]]="", "", tbl_SPXS[[#This Row],[BB_Mean]]+(BB_Width*tbl_SPXS[[#This Row],[BB_Stdev]]))</f>
        <v>6.5075957012112244</v>
      </c>
      <c r="L41" s="10">
        <f ca="1">IF(tbl_SPXS[[#This Row],[BB_Mean]]="", "", tbl_SPXS[[#This Row],[BB_Mean]]-(BB_Width*tbl_SPXS[[#This Row],[BB_Stdev]]))</f>
        <v>5.4466900130744893</v>
      </c>
      <c r="M41" s="46">
        <f>IF(ROW(tbl_SPXS[[#This Row],[Adj Close]])=5, 0, $F41-$F40)</f>
        <v>-0.15000000000000036</v>
      </c>
      <c r="N41" s="46">
        <f>MAX(tbl_SPXS[[#This Row],[Move]],0)</f>
        <v>0</v>
      </c>
      <c r="O41" s="46">
        <f>MAX(-tbl_SPXS[[#This Row],[Move]],0)</f>
        <v>0.15000000000000036</v>
      </c>
      <c r="P41" s="46">
        <f ca="1">IF(ROW($N41)-5&lt;RSI_Periods, "", AVERAGE(INDIRECT(ADDRESS(ROW($N41)-RSI_Periods +1, MATCH("Upmove", Price_Header,0))): INDIRECT(ADDRESS(ROW($N41),MATCH("Upmove", Price_Header,0)))))</f>
        <v>8.2857142857142935E-2</v>
      </c>
      <c r="Q41" s="46">
        <f ca="1">IF(ROW($O41)-5&lt;RSI_Periods, "", AVERAGE(INDIRECT(ADDRESS(ROW($O41)-RSI_Periods +1, MATCH("Downmove", Price_Header,0))): INDIRECT(ADDRESS(ROW($O41),MATCH("Downmove", Price_Header,0)))))</f>
        <v>9.7142857142857225E-2</v>
      </c>
      <c r="R41" s="46">
        <f ca="1">IF(tbl_SPXS[[#This Row],[Avg_Upmove]]="", "", tbl_SPXS[[#This Row],[Avg_Upmove]]/tbl_SPXS[[#This Row],[Avg_Downmove]])</f>
        <v>0.85294117647058831</v>
      </c>
      <c r="S41" s="10">
        <f ca="1">IF(ROW($N41)-4&lt;BB_Periods, "", _xlfn.STDEV.S(INDIRECT(ADDRESS(ROW($F41)-RSI_Periods +1, MATCH("Adj Close", Price_Header,0))): INDIRECT(ADDRESS(ROW($F41),MATCH("Adj Close", Price_Header,0)))))</f>
        <v>0.26522642203418384</v>
      </c>
    </row>
    <row r="42" spans="1:19" x14ac:dyDescent="0.35">
      <c r="A42" s="8">
        <v>44105</v>
      </c>
      <c r="B42" s="10">
        <v>5.62</v>
      </c>
      <c r="C42" s="10">
        <v>5.76</v>
      </c>
      <c r="D42" s="10">
        <v>5.57</v>
      </c>
      <c r="E42" s="10">
        <v>5.66</v>
      </c>
      <c r="F42" s="10">
        <v>5.66</v>
      </c>
      <c r="G42">
        <v>40085100</v>
      </c>
      <c r="H42" s="10">
        <f>IF(tbl_SPXS[[#This Row],[Date]]=$A$5, $F42, EMA_Beta*$H41 + (1-EMA_Beta)*$F42)</f>
        <v>5.8862020914468438</v>
      </c>
      <c r="I42" s="46">
        <f ca="1">IF(tbl_SPXS[[#This Row],[RS]]= "", "", 100-(100/(1+tbl_SPXS[[#This Row],[RS]])))</f>
        <v>44.44444444444445</v>
      </c>
      <c r="J42" s="10">
        <f ca="1">IF(ROW($N42)-4&lt;BB_Periods, "", AVERAGE(INDIRECT(ADDRESS(ROW($F42)-RSI_Periods +1, MATCH("Adj Close", Price_Header,0))): INDIRECT(ADDRESS(ROW($F42),MATCH("Adj Close", Price_Header,0)))))</f>
        <v>5.9564285714285718</v>
      </c>
      <c r="K42" s="10">
        <f ca="1">IF(tbl_SPXS[[#This Row],[BB_Mean]]="", "", tbl_SPXS[[#This Row],[BB_Mean]]+(BB_Width*tbl_SPXS[[#This Row],[BB_Stdev]]))</f>
        <v>6.5134319352000549</v>
      </c>
      <c r="L42" s="10">
        <f ca="1">IF(tbl_SPXS[[#This Row],[BB_Mean]]="", "", tbl_SPXS[[#This Row],[BB_Mean]]-(BB_Width*tbl_SPXS[[#This Row],[BB_Stdev]]))</f>
        <v>5.3994252076570888</v>
      </c>
      <c r="M42" s="46">
        <f>IF(ROW(tbl_SPXS[[#This Row],[Adj Close]])=5, 0, $F42-$F41)</f>
        <v>-9.9999999999999645E-2</v>
      </c>
      <c r="N42" s="46">
        <f>MAX(tbl_SPXS[[#This Row],[Move]],0)</f>
        <v>0</v>
      </c>
      <c r="O42" s="46">
        <f>MAX(-tbl_SPXS[[#This Row],[Move]],0)</f>
        <v>9.9999999999999645E-2</v>
      </c>
      <c r="P42" s="46">
        <f ca="1">IF(ROW($N42)-5&lt;RSI_Periods, "", AVERAGE(INDIRECT(ADDRESS(ROW($N42)-RSI_Periods +1, MATCH("Upmove", Price_Header,0))): INDIRECT(ADDRESS(ROW($N42),MATCH("Upmove", Price_Header,0)))))</f>
        <v>8.2857142857142935E-2</v>
      </c>
      <c r="Q42" s="46">
        <f ca="1">IF(ROW($O42)-5&lt;RSI_Periods, "", AVERAGE(INDIRECT(ADDRESS(ROW($O42)-RSI_Periods +1, MATCH("Downmove", Price_Header,0))): INDIRECT(ADDRESS(ROW($O42),MATCH("Downmove", Price_Header,0)))))</f>
        <v>0.10357142857142865</v>
      </c>
      <c r="R42" s="46">
        <f ca="1">IF(tbl_SPXS[[#This Row],[Avg_Upmove]]="", "", tbl_SPXS[[#This Row],[Avg_Upmove]]/tbl_SPXS[[#This Row],[Avg_Downmove]])</f>
        <v>0.80000000000000016</v>
      </c>
      <c r="S42" s="10">
        <f ca="1">IF(ROW($N42)-4&lt;BB_Periods, "", _xlfn.STDEV.S(INDIRECT(ADDRESS(ROW($F42)-RSI_Periods +1, MATCH("Adj Close", Price_Header,0))): INDIRECT(ADDRESS(ROW($F42),MATCH("Adj Close", Price_Header,0)))))</f>
        <v>0.27850168188574165</v>
      </c>
    </row>
    <row r="43" spans="1:19" x14ac:dyDescent="0.35">
      <c r="A43" s="8">
        <v>44106</v>
      </c>
      <c r="B43" s="10">
        <v>5.92</v>
      </c>
      <c r="C43" s="10">
        <v>5.95</v>
      </c>
      <c r="D43" s="10">
        <v>5.71</v>
      </c>
      <c r="E43" s="10">
        <v>5.81</v>
      </c>
      <c r="F43" s="10">
        <v>5.81</v>
      </c>
      <c r="G43">
        <v>49876800</v>
      </c>
      <c r="H43" s="10">
        <f>IF(tbl_SPXS[[#This Row],[Date]]=$A$5, $F43, EMA_Beta*$H42 + (1-EMA_Beta)*$F43)</f>
        <v>5.8785818823021589</v>
      </c>
      <c r="I43" s="46">
        <f ca="1">IF(tbl_SPXS[[#This Row],[RS]]= "", "", 100-(100/(1+tbl_SPXS[[#This Row],[RS]])))</f>
        <v>51.778656126482211</v>
      </c>
      <c r="J43" s="10">
        <f ca="1">IF(ROW($N43)-4&lt;BB_Periods, "", AVERAGE(INDIRECT(ADDRESS(ROW($F43)-RSI_Periods +1, MATCH("Adj Close", Price_Header,0))): INDIRECT(ADDRESS(ROW($F43),MATCH("Adj Close", Price_Header,0)))))</f>
        <v>5.9628571428571444</v>
      </c>
      <c r="K43" s="10">
        <f ca="1">IF(tbl_SPXS[[#This Row],[BB_Mean]]="", "", tbl_SPXS[[#This Row],[BB_Mean]]+(BB_Width*tbl_SPXS[[#This Row],[BB_Stdev]]))</f>
        <v>6.5100979741851148</v>
      </c>
      <c r="L43" s="10">
        <f ca="1">IF(tbl_SPXS[[#This Row],[BB_Mean]]="", "", tbl_SPXS[[#This Row],[BB_Mean]]-(BB_Width*tbl_SPXS[[#This Row],[BB_Stdev]]))</f>
        <v>5.415616311529174</v>
      </c>
      <c r="M43" s="46">
        <f>IF(ROW(tbl_SPXS[[#This Row],[Adj Close]])=5, 0, $F43-$F42)</f>
        <v>0.14999999999999947</v>
      </c>
      <c r="N43" s="46">
        <f>MAX(tbl_SPXS[[#This Row],[Move]],0)</f>
        <v>0.14999999999999947</v>
      </c>
      <c r="O43" s="46">
        <f>MAX(-tbl_SPXS[[#This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9.3571428571428611E-2</v>
      </c>
      <c r="Q43" s="46">
        <f ca="1">IF(ROW($O43)-5&lt;RSI_Periods, "", AVERAGE(INDIRECT(ADDRESS(ROW($O43)-RSI_Periods +1, MATCH("Downmove", Price_Header,0))): INDIRECT(ADDRESS(ROW($O43),MATCH("Downmove", Price_Header,0)))))</f>
        <v>8.7142857142857189E-2</v>
      </c>
      <c r="R43" s="46">
        <f ca="1">IF(tbl_SPXS[[#This Row],[Avg_Upmove]]="", "", tbl_SPXS[[#This Row],[Avg_Upmove]]/tbl_SPXS[[#This Row],[Avg_Downmove]])</f>
        <v>1.0737704918032787</v>
      </c>
      <c r="S43" s="10">
        <f ca="1">IF(ROW($N43)-4&lt;BB_Periods, "", _xlfn.STDEV.S(INDIRECT(ADDRESS(ROW($F43)-RSI_Periods +1, MATCH("Adj Close", Price_Header,0))): INDIRECT(ADDRESS(ROW($F43),MATCH("Adj Close", Price_Header,0)))))</f>
        <v>0.27362041566398498</v>
      </c>
    </row>
    <row r="44" spans="1:19" x14ac:dyDescent="0.35">
      <c r="A44" s="8">
        <v>44109</v>
      </c>
      <c r="B44" s="10">
        <v>5.7</v>
      </c>
      <c r="C44" s="10">
        <v>5.7</v>
      </c>
      <c r="D44" s="10">
        <v>5.5</v>
      </c>
      <c r="E44" s="10">
        <v>5.51</v>
      </c>
      <c r="F44" s="10">
        <v>5.51</v>
      </c>
      <c r="G44">
        <v>22828700</v>
      </c>
      <c r="H44" s="10">
        <f>IF(tbl_SPXS[[#This Row],[Date]]=$A$5, $F44, EMA_Beta*$H43 + (1-EMA_Beta)*$F44)</f>
        <v>5.841723694071943</v>
      </c>
      <c r="I44" s="46">
        <f ca="1">IF(tbl_SPXS[[#This Row],[RS]]= "", "", 100-(100/(1+tbl_SPXS[[#This Row],[RS]])))</f>
        <v>47.985347985347985</v>
      </c>
      <c r="J44" s="10">
        <f ca="1">IF(ROW($N44)-4&lt;BB_Periods, "", AVERAGE(INDIRECT(ADDRESS(ROW($F44)-RSI_Periods +1, MATCH("Adj Close", Price_Header,0))): INDIRECT(ADDRESS(ROW($F44),MATCH("Adj Close", Price_Header,0)))))</f>
        <v>5.955000000000001</v>
      </c>
      <c r="K44" s="10">
        <f ca="1">IF(tbl_SPXS[[#This Row],[BB_Mean]]="", "", tbl_SPXS[[#This Row],[BB_Mean]]+(BB_Width*tbl_SPXS[[#This Row],[BB_Stdev]]))</f>
        <v>6.5260853364764877</v>
      </c>
      <c r="L44" s="10">
        <f ca="1">IF(tbl_SPXS[[#This Row],[BB_Mean]]="", "", tbl_SPXS[[#This Row],[BB_Mean]]-(BB_Width*tbl_SPXS[[#This Row],[BB_Stdev]]))</f>
        <v>5.3839146635235142</v>
      </c>
      <c r="M44" s="46">
        <f>IF(ROW(tbl_SPXS[[#This Row],[Adj Close]])=5, 0, $F44-$F43)</f>
        <v>-0.29999999999999982</v>
      </c>
      <c r="N44" s="46">
        <f>MAX(tbl_SPXS[[#This Row],[Move]],0)</f>
        <v>0</v>
      </c>
      <c r="O44" s="46">
        <f>MAX(-tbl_SPXS[[#This Row],[Move]],0)</f>
        <v>0.29999999999999982</v>
      </c>
      <c r="P44" s="46">
        <f ca="1">IF(ROW($N44)-5&lt;RSI_Periods, "", AVERAGE(INDIRECT(ADDRESS(ROW($N44)-RSI_Periods +1, MATCH("Upmove", Price_Header,0))): INDIRECT(ADDRESS(ROW($N44),MATCH("Upmove", Price_Header,0)))))</f>
        <v>9.3571428571428611E-2</v>
      </c>
      <c r="Q44" s="46">
        <f ca="1">IF(ROW($O44)-5&lt;RSI_Periods, "", AVERAGE(INDIRECT(ADDRESS(ROW($O44)-RSI_Periods +1, MATCH("Downmove", Price_Header,0))): INDIRECT(ADDRESS(ROW($O44),MATCH("Downmove", Price_Header,0)))))</f>
        <v>0.10142857142857149</v>
      </c>
      <c r="R44" s="46">
        <f ca="1">IF(tbl_SPXS[[#This Row],[Avg_Upmove]]="", "", tbl_SPXS[[#This Row],[Avg_Upmove]]/tbl_SPXS[[#This Row],[Avg_Downmove]])</f>
        <v>0.9225352112676054</v>
      </c>
      <c r="S44" s="10">
        <f ca="1">IF(ROW($N44)-4&lt;BB_Periods, "", _xlfn.STDEV.S(INDIRECT(ADDRESS(ROW($F44)-RSI_Periods +1, MATCH("Adj Close", Price_Header,0))): INDIRECT(ADDRESS(ROW($F44),MATCH("Adj Close", Price_Header,0)))))</f>
        <v>0.2855426682382432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J45" s="61"/>
      <c r="K45" s="61"/>
      <c r="L45" s="61"/>
      <c r="S45" s="61">
        <f ca="1">SUBTOTAL(103,tbl_SPXS[BB_Stdev])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W44"/>
  <sheetViews>
    <sheetView topLeftCell="F21" zoomScale="95" zoomScaleNormal="55" workbookViewId="0">
      <selection activeCell="F5" sqref="F5"/>
    </sheetView>
  </sheetViews>
  <sheetFormatPr defaultColWidth="9.1796875" defaultRowHeight="13.5" x14ac:dyDescent="0.25"/>
  <cols>
    <col min="1" max="1" width="10.453125" style="67" customWidth="1"/>
    <col min="2" max="2" width="13.54296875" style="67" customWidth="1"/>
    <col min="3" max="3" width="13.7265625" style="67" customWidth="1"/>
    <col min="4" max="4" width="14.453125" style="67" customWidth="1"/>
    <col min="5" max="5" width="13.7265625" style="67" customWidth="1"/>
    <col min="6" max="6" width="13" style="67" customWidth="1"/>
    <col min="7" max="7" width="15.54296875" style="67" customWidth="1"/>
    <col min="8" max="8" width="13.7265625" style="67" customWidth="1"/>
    <col min="9" max="16384" width="9.1796875" style="67"/>
  </cols>
  <sheetData>
    <row r="1" spans="1:23" x14ac:dyDescent="0.25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5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45">
      <c r="A3" s="84"/>
      <c r="B3" s="87" t="s">
        <v>288</v>
      </c>
      <c r="C3" s="69"/>
      <c r="D3" s="68"/>
      <c r="E3" s="68"/>
      <c r="F3" s="72" t="s">
        <v>195</v>
      </c>
      <c r="G3" s="89">
        <f>DATE(2020, 9, 25)</f>
        <v>44099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5</v>
      </c>
      <c r="W3" s="85"/>
    </row>
    <row r="4" spans="1:23" x14ac:dyDescent="0.25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7.5" x14ac:dyDescent="0.3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101486.7</v>
      </c>
      <c r="G5" s="70">
        <f ca="1">INDEX(tbl_position[], COUNT(tbl_position[Date]), MATCH("Total_Net_Asset", pos_header,0))-INDEX(tbl_position[], COUNT(tbl_position[Date])-1, MATCH("Total_Net_Asset", pos_header,0))</f>
        <v>372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7.5" x14ac:dyDescent="0.35">
      <c r="A6" s="84"/>
      <c r="B6" s="91" t="s">
        <v>180</v>
      </c>
      <c r="C6" s="73"/>
      <c r="D6" s="68"/>
      <c r="F6" s="90">
        <f>INDEX(tbl_position[], COUNT(tbl_position[Date]), MATCH("Cash_holding", pos_header,0))</f>
        <v>49591.099999999991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7" x14ac:dyDescent="0.3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5.5" thickBot="1" x14ac:dyDescent="0.35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5" thickBot="1" x14ac:dyDescent="0.3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5" x14ac:dyDescent="0.35">
      <c r="A10" s="84"/>
      <c r="B10" s="105">
        <v>1</v>
      </c>
      <c r="C10" s="106" t="str">
        <f ca="1">INDEX(tbl_holdings[], MATCH(LARGE(tbl_holdings[Total], Dashboard!$B10), tbl_holdings[Total], 0), 2)</f>
        <v>NKLA</v>
      </c>
      <c r="D10" s="107">
        <f ca="1">LARGE(tbl_holdings[Total], 1)/tbl_holdings[[#Totals],[Total]]</f>
        <v>0.28349812605711988</v>
      </c>
      <c r="E10" s="75"/>
      <c r="F10" s="108" t="s">
        <v>190</v>
      </c>
      <c r="G10" s="109">
        <f>INDEX(tbl_transsummary[], _xlfn.FLOOR.MATH(($G$3-DATE(2020, 9, 9))/7)+1, 4)</f>
        <v>12305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6.5" thickBot="1" x14ac:dyDescent="0.35">
      <c r="A11" s="84"/>
      <c r="B11" s="98">
        <v>2</v>
      </c>
      <c r="C11" s="101" t="str">
        <f ca="1">INDEX(tbl_holdings[], MATCH(LARGE(tbl_holdings[Total], Dashboard!$B11), tbl_holdings[Total], 0), 2)</f>
        <v>HD</v>
      </c>
      <c r="D11" s="94">
        <f ca="1">LARGE(tbl_holdings[Total], 2)/tbl_holdings[[#Totals],[Total]]</f>
        <v>0.21019454731053808</v>
      </c>
      <c r="E11" s="75"/>
      <c r="F11" s="112" t="s">
        <v>191</v>
      </c>
      <c r="G11" s="113">
        <f>INDEX(tbl_transsummary[], _xlfn.FLOOR.MATH(($G$3-DATE(2020, 9, 9))/7)+1, 5)</f>
        <v>11844.4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5.5" thickBot="1" x14ac:dyDescent="0.35">
      <c r="A12" s="84"/>
      <c r="B12" s="99">
        <v>3</v>
      </c>
      <c r="C12" s="102" t="str">
        <f ca="1">INDEX(tbl_holdings[], MATCH(LARGE(tbl_holdings[Total], Dashboard!$B12), tbl_holdings[Total], 0), 2)</f>
        <v>FDX</v>
      </c>
      <c r="D12" s="95">
        <f ca="1">LARGE(tbl_holdings[Total], 3)/tbl_holdings[[#Totals],[Total]]</f>
        <v>0.19313905922851668</v>
      </c>
      <c r="E12" s="75"/>
      <c r="F12" s="110" t="s">
        <v>192</v>
      </c>
      <c r="G12" s="111">
        <f>INDEX(tbl_transsummary[], _xlfn.FLOOR.MATH(($G$3-DATE(2020, 9, 9))/7)+1, 6)</f>
        <v>15616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5.5" thickBot="1" x14ac:dyDescent="0.35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0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5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4" thickBot="1" x14ac:dyDescent="0.3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5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7.5" x14ac:dyDescent="0.3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19.5" x14ac:dyDescent="0.35">
      <c r="A18" s="84"/>
      <c r="B18" s="88" t="s">
        <v>275</v>
      </c>
      <c r="C18" s="68"/>
      <c r="D18" s="68"/>
      <c r="E18" s="68"/>
      <c r="F18" s="68"/>
      <c r="G18" s="124" t="s">
        <v>29</v>
      </c>
      <c r="H18" s="68"/>
      <c r="I18" s="123">
        <v>11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4" thickBot="1" x14ac:dyDescent="0.3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5" thickBot="1" x14ac:dyDescent="0.3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5">
      <c r="A21" s="114">
        <v>0</v>
      </c>
      <c r="B21" s="116">
        <f t="shared" ref="B21:B30" ca="1" si="0">INDEX(INDIRECT("tbl_"&amp;$G$18), COUNT(Date_List)-20+$I$18+A21, 1)</f>
        <v>44096</v>
      </c>
      <c r="C21" s="119">
        <f t="shared" ref="C21:C30" ca="1" si="1">INDEX(INDIRECT("tbl_"&amp;$G$18), COUNT(Date_List)-20+$I$18+A21, MATCH("Open", Price_Header,0))</f>
        <v>137.07</v>
      </c>
      <c r="D21" s="119">
        <f t="shared" ref="D21:D30" ca="1" si="2">INDEX(INDIRECT("tbl_"&amp;$G$18), COUNT(Date_List)-20+$I$18+A21, MATCH("High", Price_Header,0))</f>
        <v>138.99</v>
      </c>
      <c r="E21" s="119">
        <f t="shared" ref="E21:E30" ca="1" si="3">INDEX(INDIRECT("tbl_"&amp;$G$18), COUNT(Date_List)-20+$I$18+A21, MATCH("low", Price_Header,0))</f>
        <v>136.57</v>
      </c>
      <c r="F21" s="119">
        <f t="shared" ref="F21:F30" ca="1" si="4">INDEX(INDIRECT("tbl_"&amp;$G$18), COUNT(Date_List)-20+$I$18+A21, MATCH("Close", Price_Header,0))</f>
        <v>138.31</v>
      </c>
      <c r="G21" s="119">
        <f t="shared" ref="G21:G30" ca="1" si="5">INDEX(INDIRECT("tbl_"&amp;$G$18), COUNT(Date_List)-20+$I$18+A21, MATCH("adj close", Price_Header,0))</f>
        <v>138.31</v>
      </c>
      <c r="H21" s="121">
        <f t="shared" ref="H21:H30" ca="1" si="6">INDEX(INDIRECT("tbl_"&amp;$G$18), COUNT(Date_List)-20+$I$18+A21, MATCH("volume", Price_Header,0))/1000</f>
        <v>11024.1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5">
      <c r="A22" s="114">
        <v>1</v>
      </c>
      <c r="B22" s="116">
        <f t="shared" ca="1" si="0"/>
        <v>44097</v>
      </c>
      <c r="C22" s="119">
        <f t="shared" ca="1" si="1"/>
        <v>139</v>
      </c>
      <c r="D22" s="119">
        <f t="shared" ca="1" si="2"/>
        <v>139.24</v>
      </c>
      <c r="E22" s="119">
        <f t="shared" ca="1" si="3"/>
        <v>135.82</v>
      </c>
      <c r="F22" s="119">
        <f t="shared" ca="1" si="4"/>
        <v>135.99</v>
      </c>
      <c r="G22" s="119">
        <f t="shared" ca="1" si="5"/>
        <v>135.99</v>
      </c>
      <c r="H22" s="121">
        <f t="shared" ca="1" si="6"/>
        <v>7702.5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5">
      <c r="A23" s="114">
        <v>2</v>
      </c>
      <c r="B23" s="116">
        <f t="shared" ca="1" si="0"/>
        <v>44098</v>
      </c>
      <c r="C23" s="119">
        <f t="shared" ca="1" si="1"/>
        <v>135.72999999999999</v>
      </c>
      <c r="D23" s="119">
        <f t="shared" ca="1" si="2"/>
        <v>137.79</v>
      </c>
      <c r="E23" s="119">
        <f t="shared" ca="1" si="3"/>
        <v>135.07</v>
      </c>
      <c r="F23" s="119">
        <f t="shared" ca="1" si="4"/>
        <v>136.69999999999999</v>
      </c>
      <c r="G23" s="119">
        <f t="shared" ca="1" si="5"/>
        <v>136.69999999999999</v>
      </c>
      <c r="H23" s="121">
        <f t="shared" ca="1" si="6"/>
        <v>9817.7000000000007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5">
      <c r="A24" s="114">
        <v>3</v>
      </c>
      <c r="B24" s="116">
        <f t="shared" ca="1" si="0"/>
        <v>44099</v>
      </c>
      <c r="C24" s="119">
        <f t="shared" ca="1" si="1"/>
        <v>136.52000000000001</v>
      </c>
      <c r="D24" s="119">
        <f t="shared" ca="1" si="2"/>
        <v>137.54</v>
      </c>
      <c r="E24" s="119">
        <f t="shared" ca="1" si="3"/>
        <v>135.96</v>
      </c>
      <c r="F24" s="119">
        <f t="shared" ca="1" si="4"/>
        <v>137.27000000000001</v>
      </c>
      <c r="G24" s="119">
        <f t="shared" ca="1" si="5"/>
        <v>137.27000000000001</v>
      </c>
      <c r="H24" s="121">
        <f t="shared" ca="1" si="6"/>
        <v>7539.6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5">
      <c r="A25" s="114">
        <v>4</v>
      </c>
      <c r="B25" s="116">
        <f t="shared" ca="1" si="0"/>
        <v>44102</v>
      </c>
      <c r="C25" s="119">
        <f t="shared" ca="1" si="1"/>
        <v>137.16</v>
      </c>
      <c r="D25" s="119">
        <f t="shared" ca="1" si="2"/>
        <v>138.05000000000001</v>
      </c>
      <c r="E25" s="119">
        <f t="shared" ca="1" si="3"/>
        <v>136.72</v>
      </c>
      <c r="F25" s="119">
        <f t="shared" ca="1" si="4"/>
        <v>137.25</v>
      </c>
      <c r="G25" s="119">
        <f t="shared" ca="1" si="5"/>
        <v>137.25</v>
      </c>
      <c r="H25" s="121">
        <f t="shared" ca="1" si="6"/>
        <v>7065.7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5">
      <c r="A26" s="114">
        <v>5</v>
      </c>
      <c r="B26" s="116">
        <f t="shared" ca="1" si="0"/>
        <v>44103</v>
      </c>
      <c r="C26" s="119">
        <f t="shared" ca="1" si="1"/>
        <v>137.25</v>
      </c>
      <c r="D26" s="119">
        <f t="shared" ca="1" si="2"/>
        <v>138.13999999999999</v>
      </c>
      <c r="E26" s="119">
        <f t="shared" ca="1" si="3"/>
        <v>136.38999999999999</v>
      </c>
      <c r="F26" s="119">
        <f t="shared" ca="1" si="4"/>
        <v>137.13999999999999</v>
      </c>
      <c r="G26" s="119">
        <f t="shared" ca="1" si="5"/>
        <v>137.13999999999999</v>
      </c>
      <c r="H26" s="121">
        <f t="shared" ca="1" si="6"/>
        <v>9234.2999999999993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5">
      <c r="A27" s="114">
        <v>6</v>
      </c>
      <c r="B27" s="116">
        <f t="shared" ca="1" si="0"/>
        <v>44104</v>
      </c>
      <c r="C27" s="119">
        <f t="shared" ca="1" si="1"/>
        <v>137.38999999999999</v>
      </c>
      <c r="D27" s="119">
        <f t="shared" ca="1" si="2"/>
        <v>141.74</v>
      </c>
      <c r="E27" s="119">
        <f t="shared" ca="1" si="3"/>
        <v>137.19999999999999</v>
      </c>
      <c r="F27" s="119">
        <f t="shared" ca="1" si="4"/>
        <v>139.91</v>
      </c>
      <c r="G27" s="119">
        <f t="shared" ca="1" si="5"/>
        <v>139.91</v>
      </c>
      <c r="H27" s="121">
        <f t="shared" ca="1" si="6"/>
        <v>11605.3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5">
      <c r="A28" s="114">
        <v>7</v>
      </c>
      <c r="B28" s="116">
        <f t="shared" ca="1" si="0"/>
        <v>44105</v>
      </c>
      <c r="C28" s="119">
        <f t="shared" ca="1" si="1"/>
        <v>140.80000000000001</v>
      </c>
      <c r="D28" s="119">
        <f t="shared" ca="1" si="2"/>
        <v>144.38</v>
      </c>
      <c r="E28" s="119">
        <f t="shared" ca="1" si="3"/>
        <v>140.26</v>
      </c>
      <c r="F28" s="119">
        <f t="shared" ca="1" si="4"/>
        <v>143.08000000000001</v>
      </c>
      <c r="G28" s="119">
        <f t="shared" ca="1" si="5"/>
        <v>143.08000000000001</v>
      </c>
      <c r="H28" s="121">
        <f t="shared" ca="1" si="6"/>
        <v>14430.3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5">
      <c r="A29" s="114">
        <v>8</v>
      </c>
      <c r="B29" s="116">
        <f t="shared" ca="1" si="0"/>
        <v>44106</v>
      </c>
      <c r="C29" s="119">
        <f t="shared" ca="1" si="1"/>
        <v>142.34</v>
      </c>
      <c r="D29" s="119">
        <f t="shared" ca="1" si="2"/>
        <v>143.1</v>
      </c>
      <c r="E29" s="119">
        <f t="shared" ca="1" si="3"/>
        <v>140.13</v>
      </c>
      <c r="F29" s="119">
        <f t="shared" ca="1" si="4"/>
        <v>140.5</v>
      </c>
      <c r="G29" s="119">
        <f t="shared" ca="1" si="5"/>
        <v>140.5</v>
      </c>
      <c r="H29" s="121">
        <f t="shared" ca="1" si="6"/>
        <v>8195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4" thickBot="1" x14ac:dyDescent="0.3">
      <c r="A30" s="114">
        <v>9</v>
      </c>
      <c r="B30" s="117">
        <f t="shared" ca="1" si="0"/>
        <v>44109</v>
      </c>
      <c r="C30" s="120">
        <f t="shared" ca="1" si="1"/>
        <v>141.29</v>
      </c>
      <c r="D30" s="120">
        <f t="shared" ca="1" si="2"/>
        <v>142.19</v>
      </c>
      <c r="E30" s="120">
        <f t="shared" ca="1" si="3"/>
        <v>141.07</v>
      </c>
      <c r="F30" s="120">
        <f t="shared" ca="1" si="4"/>
        <v>141.80000000000001</v>
      </c>
      <c r="G30" s="120">
        <f t="shared" ca="1" si="5"/>
        <v>141.80000000000001</v>
      </c>
      <c r="H30" s="122">
        <f t="shared" ca="1" si="6"/>
        <v>4748.8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7.5" x14ac:dyDescent="0.3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5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5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5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5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5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5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5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5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5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5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5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5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4" thickBot="1" x14ac:dyDescent="0.3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 xr:uid="{00000000-0002-0000-0F00-000000000000}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12700</xdr:colOff>
                    <xdr:row>18</xdr:row>
                    <xdr:rowOff>165100</xdr:rowOff>
                  </from>
                  <to>
                    <xdr:col>8</xdr:col>
                    <xdr:colOff>114300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184150</xdr:colOff>
                    <xdr:row>13</xdr:row>
                    <xdr:rowOff>57150</xdr:rowOff>
                  </from>
                  <to>
                    <xdr:col>20</xdr:col>
                    <xdr:colOff>203200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K20"/>
  <sheetViews>
    <sheetView workbookViewId="0">
      <selection activeCell="AH20" sqref="AH20"/>
    </sheetView>
  </sheetViews>
  <sheetFormatPr defaultRowHeight="14.5" x14ac:dyDescent="0.35"/>
  <cols>
    <col min="4" max="4" width="14.7265625" customWidth="1"/>
    <col min="5" max="5" width="12.26953125" customWidth="1"/>
    <col min="11" max="11" width="11.1796875" customWidth="1"/>
    <col min="12" max="12" width="11.54296875" customWidth="1"/>
    <col min="20" max="20" width="9.7265625" bestFit="1" customWidth="1"/>
    <col min="22" max="22" width="12.81640625" customWidth="1"/>
    <col min="30" max="30" width="10.7265625" customWidth="1"/>
    <col min="33" max="33" width="9.7265625" bestFit="1" customWidth="1"/>
    <col min="34" max="34" width="12" customWidth="1"/>
    <col min="35" max="35" width="15.7265625" customWidth="1"/>
    <col min="36" max="36" width="12.54296875" bestFit="1" customWidth="1"/>
  </cols>
  <sheetData>
    <row r="1" spans="2:37" x14ac:dyDescent="0.35">
      <c r="R1" s="21"/>
    </row>
    <row r="2" spans="2:37" x14ac:dyDescent="0.35">
      <c r="B2" s="51" t="s">
        <v>212</v>
      </c>
      <c r="J2" s="51" t="s">
        <v>213</v>
      </c>
      <c r="T2" t="s">
        <v>183</v>
      </c>
      <c r="U2" s="51" t="str">
        <f>Dashboard!G18</f>
        <v>WMT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" thickBot="1" x14ac:dyDescent="0.4">
      <c r="R3" s="21"/>
    </row>
    <row r="4" spans="2:37" ht="15" thickBot="1" x14ac:dyDescent="0.4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3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116.5</v>
      </c>
      <c r="E5">
        <f>INDEX(tbl_position[], COUNT(tbl_position[Date]), MATCH("Shares_"&amp;C5, pos_header,0))</f>
        <v>50</v>
      </c>
      <c r="F5">
        <f ca="1">tbl_holdings[[#This Row],[Current Price]]*tbl_holdings[[#This Row],['# Holdings]]</f>
        <v>5825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44090</v>
      </c>
      <c r="U5" s="63">
        <f ca="1">INDEX(INDIRECT("tbl_"&amp;$U$2), COUNT(Date_List)-$W$2+$S5, MATCH("Adj Close", Price_Header,0))</f>
        <v>136.259995</v>
      </c>
      <c r="V5" s="19">
        <f t="shared" ref="V5:V18" ca="1" si="1">INDEX(INDIRECT("tbl_"&amp;$U$2), COUNT(Date_List)-$W$2+$S5, MATCH("volume", Price_Header,0))/1000</f>
        <v>9286.7999999999993</v>
      </c>
      <c r="W5" s="63">
        <f t="shared" ref="W5:W18" ca="1" si="2">INDEX(INDIRECT("tbl_"&amp;$U$2), COUNT(Date_List)-$W$2+$S5, MATCH("EMA", Price_Header,0))</f>
        <v>247.99382957781384</v>
      </c>
      <c r="X5" s="64">
        <f t="shared" ref="X5:X18" ca="1" si="3">INDEX(INDIRECT("tbl_"&amp;$U$2), COUNT(Date_List)-$W$2+$S5, MATCH("RSI", Price_Header,0))</f>
        <v>9.0699595974394924</v>
      </c>
      <c r="Y5" s="63">
        <f t="shared" ref="Y5:Y18" ca="1" si="4">INDEX(INDIRECT("tbl_"&amp;$U$2), COUNT(Date_List)-$W$2+$S5, MATCH("BB_Mean", Price_Header,0))</f>
        <v>251.4778562857143</v>
      </c>
      <c r="Z5" s="63">
        <f t="shared" ref="Z5:Z18" ca="1" si="5">INDEX(INDIRECT("tbl_"&amp;$U$2), COUNT(Date_List)-$W$2+$S5, MATCH("BB_upper", Price_Header,0))</f>
        <v>384.60965025515327</v>
      </c>
      <c r="AA5" s="63">
        <f t="shared" ref="AA5:AA18" ca="1" si="6">INDEX(INDIRECT("tbl_"&amp;$U$2), COUNT(Date_List)-$W$2+$S5, MATCH("BB_lower", Price_Header,0))</f>
        <v>118.34606231627529</v>
      </c>
      <c r="AB5" s="19" t="str">
        <f ca="1">TEXT(T5, "mm/dd")</f>
        <v>09/16</v>
      </c>
      <c r="AC5" s="19">
        <v>70</v>
      </c>
      <c r="AD5" s="20">
        <v>30</v>
      </c>
      <c r="AG5">
        <f>0+Dashboard!V3</f>
        <v>5</v>
      </c>
      <c r="AH5" s="8">
        <f>IF(AG5=0, DATE(2020, 9, 9),INDEX(tbl_position[], AG5, MATCH("DATE", pos_header, 0)))</f>
        <v>44090</v>
      </c>
      <c r="AI5" s="126">
        <f ca="1">IF(AG5=0, 100000, INDEX(tbl_position[Total_Net_Asset], AG5))</f>
        <v>99755.299849999996</v>
      </c>
      <c r="AJ5" s="126">
        <f>IF(AG5=0, 100000, INDEX(tbl_position[Cash_Holding], AG5))</f>
        <v>61575.199999999997</v>
      </c>
      <c r="AK5" t="str">
        <f>TEXT(AH5, "mm/dd")</f>
        <v>09/16</v>
      </c>
    </row>
    <row r="6" spans="2:37" x14ac:dyDescent="0.3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29.89</v>
      </c>
      <c r="E6">
        <f>INDEX(tbl_position[], COUNT(tbl_position[Date]), MATCH("Shares_"&amp;C6, pos_header,0))</f>
        <v>100</v>
      </c>
      <c r="F6">
        <f ca="1">tbl_holdings[[#This Row],[Current Price]]*tbl_holdings[[#This Row],['# Holdings]]</f>
        <v>2989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t="shared" ref="T6:T18" ca="1" si="8">INDEX(INDIRECT("tbl_"&amp;$U$2), COUNT(Date_List)-$W$2+$S6, 1)</f>
        <v>44091</v>
      </c>
      <c r="U6" s="53">
        <f t="shared" ref="U6:U18" ca="1" si="9">INDEX(INDIRECT("tbl_"&amp;$U$2), COUNT(Date_List)-$W$2+$S6, MATCH("Adj Close", Price_Header,0))</f>
        <v>136.69000199999999</v>
      </c>
      <c r="V6" s="21">
        <f t="shared" ca="1" si="1"/>
        <v>11976.413</v>
      </c>
      <c r="W6" s="53">
        <f t="shared" ca="1" si="2"/>
        <v>236.86344682003246</v>
      </c>
      <c r="X6" s="54">
        <f t="shared" ca="1" si="3"/>
        <v>9.6499865370712712</v>
      </c>
      <c r="Y6" s="53">
        <f t="shared" ca="1" si="4"/>
        <v>237.57785578571426</v>
      </c>
      <c r="Z6" s="53">
        <f t="shared" ca="1" si="5"/>
        <v>375.36763313788651</v>
      </c>
      <c r="AA6" s="53">
        <f t="shared" ca="1" si="6"/>
        <v>99.78807843354204</v>
      </c>
      <c r="AB6" s="21" t="str">
        <f t="shared" ref="AB6:AB18" ca="1" si="10">TEXT(T6, "mm/dd")</f>
        <v>09/17</v>
      </c>
      <c r="AC6" s="21">
        <v>70</v>
      </c>
      <c r="AD6" s="15">
        <v>30</v>
      </c>
      <c r="AG6" s="47">
        <f>1+Dashboard!V3</f>
        <v>6</v>
      </c>
      <c r="AH6" s="8">
        <f>IF(AG6=0, DATE(2020, 9, 9),INDEX(tbl_position[], AG6, MATCH("DATE", pos_header, 0)))</f>
        <v>44091</v>
      </c>
      <c r="AI6" s="126">
        <f ca="1">IF(AG6=0, 100000, INDEX(tbl_position[Total_Net_Asset], AG6))</f>
        <v>99446.298949999997</v>
      </c>
      <c r="AJ6" s="126">
        <f>IF(AG6=0, 100000, INDEX(tbl_position[Cash_Holding], AG6))</f>
        <v>57949.2</v>
      </c>
      <c r="AK6" t="str">
        <f>TEXT(AH6, "mm/dd")</f>
        <v>09/17</v>
      </c>
    </row>
    <row r="7" spans="2:37" x14ac:dyDescent="0.35">
      <c r="B7">
        <v>3</v>
      </c>
      <c r="C7" t="str">
        <f t="shared" si="0"/>
        <v>FDX</v>
      </c>
      <c r="D7">
        <f t="shared" ca="1" si="7"/>
        <v>259.20999999999998</v>
      </c>
      <c r="E7">
        <f>INDEX(tbl_position[], COUNT(tbl_position[Date]), MATCH("Shares_"&amp;C7, pos_header,0))</f>
        <v>50</v>
      </c>
      <c r="F7">
        <f ca="1">tbl_holdings[[#This Row],[Current Price]]*tbl_holdings[[#This Row],['# Holdings]]</f>
        <v>12960.499999999998</v>
      </c>
      <c r="J7">
        <v>3</v>
      </c>
      <c r="K7" s="8">
        <f t="shared" ref="K7:K10" si="11">K6+7</f>
        <v>44097</v>
      </c>
      <c r="L7" s="8">
        <f t="shared" ref="L7:L10" si="12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11844.4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15616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ca="1" si="8"/>
        <v>44092</v>
      </c>
      <c r="U7" s="53">
        <f t="shared" ca="1" si="9"/>
        <v>135.29</v>
      </c>
      <c r="V7" s="21">
        <f t="shared" ca="1" si="1"/>
        <v>18236.400000000001</v>
      </c>
      <c r="W7" s="53">
        <f t="shared" ca="1" si="2"/>
        <v>226.70610213802922</v>
      </c>
      <c r="X7" s="54">
        <f t="shared" ca="1" si="3"/>
        <v>10.473008886972693</v>
      </c>
      <c r="Y7" s="53">
        <f t="shared" ca="1" si="4"/>
        <v>225.03142707142851</v>
      </c>
      <c r="Z7" s="53">
        <f t="shared" ca="1" si="5"/>
        <v>365.99688342842148</v>
      </c>
      <c r="AA7" s="53">
        <f t="shared" ca="1" si="6"/>
        <v>84.065970714435537</v>
      </c>
      <c r="AB7" s="21" t="str">
        <f t="shared" ca="1" si="10"/>
        <v>09/18</v>
      </c>
      <c r="AC7" s="21">
        <v>70</v>
      </c>
      <c r="AD7" s="15">
        <v>30</v>
      </c>
      <c r="AG7" s="47">
        <f>2+Dashboard!V3</f>
        <v>7</v>
      </c>
      <c r="AH7" s="8">
        <f>IF(AG7=0, DATE(2020, 9, 9),INDEX(tbl_position[], AG7, MATCH("DATE", pos_header, 0)))</f>
        <v>44092</v>
      </c>
      <c r="AI7" s="126">
        <f ca="1">IF(AG7=0, 100000, INDEX(tbl_position[Total_Net_Asset], AG7))</f>
        <v>98836.3</v>
      </c>
      <c r="AJ7" s="126">
        <f>IF(AG7=0, 100000, INDEX(tbl_position[Cash_Holding], AG7))</f>
        <v>63351.7</v>
      </c>
      <c r="AK7" t="str">
        <f>TEXT(AH7, "mm/dd")</f>
        <v>09/18</v>
      </c>
    </row>
    <row r="8" spans="2:37" x14ac:dyDescent="0.35">
      <c r="B8">
        <v>4</v>
      </c>
      <c r="C8" t="str">
        <f t="shared" si="0"/>
        <v>HD</v>
      </c>
      <c r="D8">
        <f t="shared" ca="1" si="7"/>
        <v>282.10000000000002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14105.000000000002</v>
      </c>
      <c r="J8">
        <v>4</v>
      </c>
      <c r="K8" s="8">
        <f t="shared" si="11"/>
        <v>44104</v>
      </c>
      <c r="L8" s="8">
        <f t="shared" si="12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8"/>
        <v>44095</v>
      </c>
      <c r="U8" s="53">
        <f t="shared" ca="1" si="9"/>
        <v>137.07</v>
      </c>
      <c r="V8" s="21">
        <f t="shared" ca="1" si="1"/>
        <v>15758.5</v>
      </c>
      <c r="W8" s="53">
        <f t="shared" ca="1" si="2"/>
        <v>217.7424919242263</v>
      </c>
      <c r="X8" s="54">
        <f t="shared" ca="1" si="3"/>
        <v>11.951896413503505</v>
      </c>
      <c r="Y8" s="53">
        <f t="shared" ca="1" si="4"/>
        <v>213.63928435714283</v>
      </c>
      <c r="Z8" s="53">
        <f t="shared" ca="1" si="5"/>
        <v>355.47943057157886</v>
      </c>
      <c r="AA8" s="53">
        <f t="shared" ca="1" si="6"/>
        <v>71.799138142706795</v>
      </c>
      <c r="AB8" s="21" t="str">
        <f t="shared" ca="1" si="10"/>
        <v>09/21</v>
      </c>
      <c r="AC8" s="21">
        <v>70</v>
      </c>
      <c r="AD8" s="15">
        <v>30</v>
      </c>
      <c r="AG8" s="47">
        <f>3+Dashboard!V3</f>
        <v>8</v>
      </c>
      <c r="AH8" s="8">
        <f>IF(AG8=0, DATE(2020, 9, 9),INDEX(tbl_position[], AG8, MATCH("DATE", pos_header, 0)))</f>
        <v>44095</v>
      </c>
      <c r="AI8" s="126">
        <f ca="1">IF(AG8=0, 100000, INDEX(tbl_position[Total_Net_Asset], AG8))</f>
        <v>97840.3</v>
      </c>
      <c r="AJ8" s="126">
        <f>IF(AG8=0, 100000, INDEX(tbl_position[Cash_Holding], AG8))</f>
        <v>37751.699999999997</v>
      </c>
      <c r="AK8" t="str">
        <f t="shared" ref="AK8:AK18" si="13">TEXT(AH8, "mm/dd")</f>
        <v>09/21</v>
      </c>
    </row>
    <row r="9" spans="2:37" x14ac:dyDescent="0.35">
      <c r="B9">
        <v>5</v>
      </c>
      <c r="C9" t="str">
        <f t="shared" si="0"/>
        <v>IBM</v>
      </c>
      <c r="D9">
        <f t="shared" ca="1" si="7"/>
        <v>122.01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12201</v>
      </c>
      <c r="J9">
        <v>5</v>
      </c>
      <c r="K9" s="8">
        <f t="shared" si="11"/>
        <v>44111</v>
      </c>
      <c r="L9" s="8">
        <f t="shared" si="12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9" s="14">
        <v>5</v>
      </c>
      <c r="T9" s="52">
        <f t="shared" ca="1" si="8"/>
        <v>44096</v>
      </c>
      <c r="U9" s="53">
        <f t="shared" ca="1" si="9"/>
        <v>138.31</v>
      </c>
      <c r="V9" s="21">
        <f t="shared" ca="1" si="1"/>
        <v>11024.1</v>
      </c>
      <c r="W9" s="53">
        <f t="shared" ca="1" si="2"/>
        <v>209.79924273180367</v>
      </c>
      <c r="X9" s="54">
        <f t="shared" ca="1" si="3"/>
        <v>7.9876284375911268</v>
      </c>
      <c r="Y9" s="53">
        <f t="shared" ca="1" si="4"/>
        <v>201.60214242857143</v>
      </c>
      <c r="Z9" s="53">
        <f t="shared" ca="1" si="5"/>
        <v>337.86775751153567</v>
      </c>
      <c r="AA9" s="53">
        <f t="shared" ca="1" si="6"/>
        <v>65.33652734560718</v>
      </c>
      <c r="AB9" s="21" t="str">
        <f t="shared" ca="1" si="10"/>
        <v>09/22</v>
      </c>
      <c r="AC9" s="21">
        <v>70</v>
      </c>
      <c r="AD9" s="15">
        <v>30</v>
      </c>
      <c r="AG9" s="47">
        <f>4+Dashboard!V3</f>
        <v>9</v>
      </c>
      <c r="AH9" s="8">
        <f>IF(AG9=0, DATE(2020, 9, 9),INDEX(tbl_position[], AG9, MATCH("DATE", pos_header, 0)))</f>
        <v>44096</v>
      </c>
      <c r="AI9" s="126">
        <f ca="1">IF(AG9=0, 100000, INDEX(tbl_position[Total_Net_Asset], AG9))</f>
        <v>97149.8</v>
      </c>
      <c r="AJ9" s="126">
        <f>IF(AG9=0, 100000, INDEX(tbl_position[Cash_Holding], AG9))</f>
        <v>50051.7</v>
      </c>
      <c r="AK9" t="str">
        <f t="shared" si="13"/>
        <v>09/22</v>
      </c>
    </row>
    <row r="10" spans="2:37" x14ac:dyDescent="0.35">
      <c r="B10">
        <v>6</v>
      </c>
      <c r="C10" t="str">
        <f t="shared" si="0"/>
        <v>NKLA</v>
      </c>
      <c r="D10">
        <f t="shared" ca="1" si="7"/>
        <v>23.78</v>
      </c>
      <c r="E10">
        <f>INDEX(tbl_position[], COUNT(tbl_position[Date]), MATCH("Shares_"&amp;C10, pos_header,0))</f>
        <v>800</v>
      </c>
      <c r="F10">
        <f ca="1">tbl_holdings[[#This Row],[Current Price]]*tbl_holdings[[#This Row],['# Holdings]]</f>
        <v>19024</v>
      </c>
      <c r="J10">
        <v>6</v>
      </c>
      <c r="K10" s="8">
        <f t="shared" si="11"/>
        <v>44118</v>
      </c>
      <c r="L10" s="8">
        <f t="shared" si="12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8"/>
        <v>44097</v>
      </c>
      <c r="U10" s="53">
        <f t="shared" ca="1" si="9"/>
        <v>135.99</v>
      </c>
      <c r="V10" s="21">
        <f t="shared" ca="1" si="1"/>
        <v>7702.5</v>
      </c>
      <c r="W10" s="53">
        <f t="shared" ca="1" si="2"/>
        <v>202.4183184586233</v>
      </c>
      <c r="X10" s="54">
        <f t="shared" ca="1" si="3"/>
        <v>8.1626349468461825</v>
      </c>
      <c r="Y10" s="53">
        <f t="shared" ca="1" si="4"/>
        <v>189.87214307142858</v>
      </c>
      <c r="Z10" s="53">
        <f t="shared" ca="1" si="5"/>
        <v>317.57634223209936</v>
      </c>
      <c r="AA10" s="53">
        <f t="shared" ca="1" si="6"/>
        <v>62.167943910757813</v>
      </c>
      <c r="AB10" s="21" t="str">
        <f t="shared" ca="1" si="10"/>
        <v>09/23</v>
      </c>
      <c r="AC10" s="21">
        <v>70</v>
      </c>
      <c r="AD10" s="15">
        <v>30</v>
      </c>
      <c r="AG10" s="47">
        <f>5+Dashboard!V3</f>
        <v>10</v>
      </c>
      <c r="AH10" s="8">
        <f>IF(AG10=0, DATE(2020, 9, 9),INDEX(tbl_position[], AG10, MATCH("DATE", pos_header, 0)))</f>
        <v>44097</v>
      </c>
      <c r="AI10" s="126">
        <f ca="1">IF(AG10=0, 100000, INDEX(tbl_position[Total_Net_Asset], AG10))</f>
        <v>96487.3</v>
      </c>
      <c r="AJ10" s="126">
        <f>IF(AG10=0, 100000, INDEX(tbl_position[Cash_Holding], AG10))</f>
        <v>43897.299999999996</v>
      </c>
      <c r="AK10" t="str">
        <f t="shared" si="13"/>
        <v>09/23</v>
      </c>
    </row>
    <row r="11" spans="2:37" x14ac:dyDescent="0.35">
      <c r="B11">
        <v>7</v>
      </c>
      <c r="C11" t="str">
        <f>INDEX(Symbol,B11)</f>
        <v>ORCL</v>
      </c>
      <c r="D11">
        <f ca="1">INDEX(INDIRECT("tbl_"&amp;C11),COUNT(INDIRECT("tbl_"&amp;C11&amp;"[Date]")), MATCH("Adj close", Price_Header,0))</f>
        <v>59.56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K11" s="8"/>
      <c r="L11" s="8"/>
      <c r="S11" s="14">
        <v>7</v>
      </c>
      <c r="T11" s="52">
        <f t="shared" ca="1" si="8"/>
        <v>44098</v>
      </c>
      <c r="U11" s="53">
        <f t="shared" ca="1" si="9"/>
        <v>136.69999999999999</v>
      </c>
      <c r="V11" s="21">
        <f t="shared" ca="1" si="1"/>
        <v>9817.7000000000007</v>
      </c>
      <c r="W11" s="53">
        <f t="shared" ca="1" si="2"/>
        <v>195.84648661276097</v>
      </c>
      <c r="X11" s="54">
        <f t="shared" ca="1" si="3"/>
        <v>9.7007920330269997</v>
      </c>
      <c r="Y11" s="53">
        <f t="shared" ca="1" si="4"/>
        <v>179.94357078571426</v>
      </c>
      <c r="Z11" s="53">
        <f t="shared" ca="1" si="5"/>
        <v>300.30579347878512</v>
      </c>
      <c r="AA11" s="53">
        <f t="shared" ca="1" si="6"/>
        <v>59.581348092643395</v>
      </c>
      <c r="AB11" s="21" t="str">
        <f t="shared" ca="1" si="10"/>
        <v>09/24</v>
      </c>
      <c r="AC11" s="21">
        <v>70</v>
      </c>
      <c r="AD11" s="15">
        <v>30</v>
      </c>
      <c r="AG11" s="47">
        <f>6+Dashboard!V3</f>
        <v>11</v>
      </c>
      <c r="AH11" s="8">
        <f>IF(AG11=0, DATE(2020, 9, 9),INDEX(tbl_position[], AG11, MATCH("DATE", pos_header, 0)))</f>
        <v>44098</v>
      </c>
      <c r="AI11" s="126">
        <f ca="1">IF(AG11=0, 100000, INDEX(tbl_position[Total_Net_Asset], AG11))</f>
        <v>95942.200000000012</v>
      </c>
      <c r="AJ11" s="126">
        <f>IF(AG11=0, 100000, INDEX(tbl_position[Cash_Holding], AG11))</f>
        <v>43897.299999999996</v>
      </c>
      <c r="AK11" t="str">
        <f t="shared" si="13"/>
        <v>09/24</v>
      </c>
    </row>
    <row r="12" spans="2:37" x14ac:dyDescent="0.35">
      <c r="B12">
        <v>8</v>
      </c>
      <c r="C12" t="str">
        <f>INDEX(Symbol,B12)</f>
        <v>RIOT</v>
      </c>
      <c r="D12">
        <f ca="1">INDEX(INDIRECT("tbl_"&amp;C12),COUNT(INDIRECT("tbl_"&amp;C12&amp;"[Date]")), MATCH("Adj close", Price_Header,0))</f>
        <v>2.66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K12" s="8"/>
      <c r="L12" s="8"/>
      <c r="S12" s="14">
        <v>8</v>
      </c>
      <c r="T12" s="52">
        <f t="shared" ca="1" si="8"/>
        <v>44099</v>
      </c>
      <c r="U12" s="53">
        <f t="shared" ca="1" si="9"/>
        <v>137.27000000000001</v>
      </c>
      <c r="V12" s="21">
        <f t="shared" ca="1" si="1"/>
        <v>7539.6</v>
      </c>
      <c r="W12" s="53">
        <f t="shared" ca="1" si="2"/>
        <v>189.98883795148487</v>
      </c>
      <c r="X12" s="54">
        <f t="shared" ca="1" si="3"/>
        <v>10.930680027297655</v>
      </c>
      <c r="Y12" s="53">
        <f t="shared" ca="1" si="4"/>
        <v>171.10999921428566</v>
      </c>
      <c r="Z12" s="53">
        <f t="shared" ca="1" si="5"/>
        <v>283.7716766492577</v>
      </c>
      <c r="AA12" s="53">
        <f t="shared" ca="1" si="6"/>
        <v>58.44832177931363</v>
      </c>
      <c r="AB12" s="21" t="str">
        <f t="shared" ca="1" si="10"/>
        <v>09/25</v>
      </c>
      <c r="AC12" s="21">
        <v>70</v>
      </c>
      <c r="AD12" s="15">
        <v>30</v>
      </c>
      <c r="AG12" s="47">
        <v>12</v>
      </c>
      <c r="AH12" s="8">
        <f>IF(AG12=0, DATE(2020, 9, 9),INDEX(tbl_position[], AG12, MATCH("DATE", pos_header, 0)))</f>
        <v>44099</v>
      </c>
      <c r="AI12" s="126">
        <f ca="1">IF(AG12=0, 100000, INDEX(tbl_position[Total_Net_Asset], AG12))</f>
        <v>96685.4</v>
      </c>
      <c r="AJ12" s="126">
        <f>IF(AG12=0, 100000, INDEX(tbl_position[Cash_Holding], AG12))</f>
        <v>43897.299999999996</v>
      </c>
      <c r="AK12" t="str">
        <f t="shared" si="13"/>
        <v>09/25</v>
      </c>
    </row>
    <row r="13" spans="2:37" x14ac:dyDescent="0.35">
      <c r="B13">
        <v>9</v>
      </c>
      <c r="C13" t="str">
        <f>INDEX(Symbol,B13)</f>
        <v>SPXS</v>
      </c>
      <c r="D13">
        <f ca="1">INDEX(INDIRECT("tbl_"&amp;C13),COUNT(INDIRECT("tbl_"&amp;C13&amp;"[Date]")), MATCH("Adj close", Price_Header,0))</f>
        <v>5.51</v>
      </c>
      <c r="E13">
        <f>INDEX(tbl_position[], COUNT(tbl_position[Date]), MATCH("Shares_"&amp;C13, pos_header,0))</f>
        <v>0</v>
      </c>
      <c r="F13">
        <f ca="1">tbl_holdings[[#This Row],[Current Price]]*tbl_holdings[[#This Row],['# Holdings]]</f>
        <v>0</v>
      </c>
      <c r="K13" s="8"/>
      <c r="L13" s="8"/>
      <c r="S13" s="14">
        <v>9</v>
      </c>
      <c r="T13" s="52">
        <f t="shared" ca="1" si="8"/>
        <v>44102</v>
      </c>
      <c r="U13" s="53">
        <f t="shared" ca="1" si="9"/>
        <v>137.25</v>
      </c>
      <c r="V13" s="21">
        <f t="shared" ca="1" si="1"/>
        <v>7065.7</v>
      </c>
      <c r="W13" s="53">
        <f t="shared" ca="1" si="2"/>
        <v>184.71495415633638</v>
      </c>
      <c r="X13" s="54">
        <f t="shared" ca="1" si="3"/>
        <v>11.577318793545885</v>
      </c>
      <c r="Y13" s="53">
        <f t="shared" ca="1" si="4"/>
        <v>162.90785621428569</v>
      </c>
      <c r="Z13" s="53">
        <f t="shared" ca="1" si="5"/>
        <v>266.53385559011662</v>
      </c>
      <c r="AA13" s="53">
        <f t="shared" ca="1" si="6"/>
        <v>59.281856838454772</v>
      </c>
      <c r="AB13" s="21" t="str">
        <f t="shared" ca="1" si="10"/>
        <v>09/28</v>
      </c>
      <c r="AC13" s="21">
        <v>70</v>
      </c>
      <c r="AD13" s="15">
        <v>30</v>
      </c>
      <c r="AG13" s="47">
        <v>13</v>
      </c>
      <c r="AH13" s="8">
        <f>IF(AG13=0, DATE(2020, 9, 9),INDEX(tbl_position[], AG13, MATCH("DATE", pos_header, 0)))</f>
        <v>44102</v>
      </c>
      <c r="AI13" s="126">
        <f ca="1">IF(AG13=0, 100000, INDEX(tbl_position[Total_Net_Asset], AG13))</f>
        <v>97238.7</v>
      </c>
      <c r="AJ13" s="126">
        <f>IF(AG13=0, 100000, INDEX(tbl_position[Cash_Holding], AG13))</f>
        <v>49591.099999999991</v>
      </c>
      <c r="AK13" t="str">
        <f t="shared" si="13"/>
        <v>09/28</v>
      </c>
    </row>
    <row r="14" spans="2:37" x14ac:dyDescent="0.35">
      <c r="B14">
        <v>10</v>
      </c>
      <c r="C14" t="str">
        <f>INDEX(Symbol,B14)</f>
        <v>WMT</v>
      </c>
      <c r="D14">
        <f ca="1">INDEX(INDIRECT("tbl_"&amp;C14),COUNT(INDIRECT("tbl_"&amp;C14&amp;"[Date]")), MATCH("Adj close", Price_Header,0))</f>
        <v>141.80000000000001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8"/>
        <v>44103</v>
      </c>
      <c r="U14" s="53">
        <f t="shared" ca="1" si="9"/>
        <v>137.13999999999999</v>
      </c>
      <c r="V14" s="21">
        <f t="shared" ca="1" si="1"/>
        <v>9234.2999999999993</v>
      </c>
      <c r="W14" s="53">
        <f t="shared" ca="1" si="2"/>
        <v>179.95745874070275</v>
      </c>
      <c r="X14" s="54">
        <f t="shared" ca="1" si="3"/>
        <v>7.7245063208231386</v>
      </c>
      <c r="Y14" s="53">
        <f t="shared" ca="1" si="4"/>
        <v>154.25285635714286</v>
      </c>
      <c r="Z14" s="53">
        <f t="shared" ca="1" si="5"/>
        <v>242.68069328608476</v>
      </c>
      <c r="AA14" s="53">
        <f t="shared" ca="1" si="6"/>
        <v>65.825019428200974</v>
      </c>
      <c r="AB14" s="21" t="str">
        <f t="shared" ca="1" si="10"/>
        <v>09/29</v>
      </c>
      <c r="AC14" s="21">
        <v>70</v>
      </c>
      <c r="AD14" s="15">
        <v>30</v>
      </c>
      <c r="AG14" s="47">
        <v>14</v>
      </c>
      <c r="AH14" s="8">
        <f>IF(AG14=0, DATE(2020, 9, 9),INDEX(tbl_position[], AG14, MATCH("DATE", pos_header, 0)))</f>
        <v>44103</v>
      </c>
      <c r="AI14" s="126">
        <f ca="1">IF(AG14=0, 100000, INDEX(tbl_position[Total_Net_Asset], AG14))</f>
        <v>95902.2</v>
      </c>
      <c r="AJ14" s="126">
        <f>IF(AG14=0, 100000, INDEX(tbl_position[Cash_Holding], AG14))</f>
        <v>49591.099999999991</v>
      </c>
      <c r="AK14" t="str">
        <f t="shared" si="13"/>
        <v>09/29</v>
      </c>
    </row>
    <row r="15" spans="2:37" x14ac:dyDescent="0.35">
      <c r="B15" t="s">
        <v>162</v>
      </c>
      <c r="F15">
        <f ca="1">SUBTOTAL(109,tbl_holdings[Total])</f>
        <v>67104.5</v>
      </c>
      <c r="S15" s="14">
        <v>11</v>
      </c>
      <c r="T15" s="52">
        <f t="shared" ca="1" si="8"/>
        <v>44104</v>
      </c>
      <c r="U15" s="53">
        <f t="shared" ca="1" si="9"/>
        <v>139.91</v>
      </c>
      <c r="V15" s="21">
        <f t="shared" ca="1" si="1"/>
        <v>11605.3</v>
      </c>
      <c r="W15" s="53">
        <f t="shared" ca="1" si="2"/>
        <v>175.95271286663245</v>
      </c>
      <c r="X15" s="54">
        <f t="shared" ca="1" si="3"/>
        <v>5.3941920884568475</v>
      </c>
      <c r="Y15" s="53">
        <f t="shared" ca="1" si="4"/>
        <v>145.34571457142857</v>
      </c>
      <c r="Z15" s="53">
        <f t="shared" ca="1" si="5"/>
        <v>206.93896809032904</v>
      </c>
      <c r="AA15" s="53">
        <f t="shared" ca="1" si="6"/>
        <v>83.752461052528105</v>
      </c>
      <c r="AB15" s="21" t="str">
        <f t="shared" ca="1" si="10"/>
        <v>09/30</v>
      </c>
      <c r="AC15" s="21">
        <v>70</v>
      </c>
      <c r="AD15" s="15">
        <v>30</v>
      </c>
      <c r="AG15" s="47">
        <v>15</v>
      </c>
      <c r="AH15" s="8">
        <f>IF(AG15=0, DATE(2020, 9, 9),INDEX(tbl_position[], AG15, MATCH("DATE", pos_header, 0)))</f>
        <v>44104</v>
      </c>
      <c r="AI15" s="126">
        <f ca="1">IF(AG15=0, 100000, INDEX(tbl_position[Total_Net_Asset], AG15))</f>
        <v>98264.2</v>
      </c>
      <c r="AJ15" s="126">
        <f>IF(AG15=0, 100000, INDEX(tbl_position[Cash_Holding], AG15))</f>
        <v>49591.099999999991</v>
      </c>
      <c r="AK15" t="str">
        <f t="shared" si="13"/>
        <v>09/30</v>
      </c>
    </row>
    <row r="16" spans="2:37" x14ac:dyDescent="0.35">
      <c r="S16" s="14">
        <v>12</v>
      </c>
      <c r="T16" s="52">
        <f t="shared" ca="1" si="8"/>
        <v>44105</v>
      </c>
      <c r="U16" s="53">
        <f t="shared" ca="1" si="9"/>
        <v>143.08000000000001</v>
      </c>
      <c r="V16" s="21">
        <f t="shared" ca="1" si="1"/>
        <v>14430.3</v>
      </c>
      <c r="W16" s="53">
        <f t="shared" ca="1" si="2"/>
        <v>172.66544157996921</v>
      </c>
      <c r="X16" s="54">
        <f t="shared" ca="1" si="3"/>
        <v>8.1993576159902375</v>
      </c>
      <c r="Y16" s="53">
        <f t="shared" ca="1" si="4"/>
        <v>137.54571464285715</v>
      </c>
      <c r="Z16" s="53">
        <f t="shared" ca="1" si="5"/>
        <v>141.39083737812251</v>
      </c>
      <c r="AA16" s="53">
        <f t="shared" ca="1" si="6"/>
        <v>133.70059190759179</v>
      </c>
      <c r="AB16" s="21" t="str">
        <f t="shared" ca="1" si="10"/>
        <v>10/01</v>
      </c>
      <c r="AC16" s="21">
        <v>70</v>
      </c>
      <c r="AD16" s="15">
        <v>30</v>
      </c>
      <c r="AG16" s="47">
        <v>16</v>
      </c>
      <c r="AH16" s="8">
        <f>IF(AG16=0, DATE(2020, 9, 9),INDEX(tbl_position[], AG16, MATCH("DATE", pos_header, 0)))</f>
        <v>44105</v>
      </c>
      <c r="AI16" s="126">
        <f ca="1">IF(AG16=0, 100000, INDEX(tbl_position[Total_Net_Asset], AG16))</f>
        <v>101121.7</v>
      </c>
      <c r="AJ16" s="126">
        <f>IF(AG16=0, 100000, INDEX(tbl_position[Cash_Holding], AG16))</f>
        <v>49591.099999999991</v>
      </c>
      <c r="AK16" t="str">
        <f t="shared" si="13"/>
        <v>10/01</v>
      </c>
    </row>
    <row r="17" spans="18:37" x14ac:dyDescent="0.35">
      <c r="S17" s="14">
        <v>13</v>
      </c>
      <c r="T17" s="52">
        <f t="shared" ca="1" si="8"/>
        <v>44106</v>
      </c>
      <c r="U17" s="53">
        <f t="shared" ca="1" si="9"/>
        <v>140.5</v>
      </c>
      <c r="V17" s="21">
        <f t="shared" ca="1" si="1"/>
        <v>8195</v>
      </c>
      <c r="W17" s="53">
        <f t="shared" ca="1" si="2"/>
        <v>169.44889742197228</v>
      </c>
      <c r="X17" s="54">
        <f t="shared" ca="1" si="3"/>
        <v>58.717081773369692</v>
      </c>
      <c r="Y17" s="53">
        <f t="shared" ca="1" si="4"/>
        <v>137.77285700000002</v>
      </c>
      <c r="Z17" s="53">
        <f t="shared" ca="1" si="5"/>
        <v>141.92406426409318</v>
      </c>
      <c r="AA17" s="53">
        <f t="shared" ca="1" si="6"/>
        <v>133.62164973590686</v>
      </c>
      <c r="AB17" s="21" t="str">
        <f t="shared" ca="1" si="10"/>
        <v>10/02</v>
      </c>
      <c r="AC17" s="21">
        <v>70</v>
      </c>
      <c r="AD17" s="15">
        <v>30</v>
      </c>
      <c r="AG17" s="47">
        <v>17</v>
      </c>
      <c r="AH17" s="8">
        <f>IF(AG17=0, DATE(2020, 9, 9),INDEX(tbl_position[], AG17, MATCH("DATE", pos_header, 0)))</f>
        <v>44106</v>
      </c>
      <c r="AI17" s="126">
        <f ca="1">IF(AG17=0, 100000, INDEX(tbl_position[Total_Net_Asset], AG17))</f>
        <v>101114.7</v>
      </c>
      <c r="AJ17" s="126">
        <f>IF(AG17=0, 100000, INDEX(tbl_position[Cash_Holding], AG17))</f>
        <v>49591.099999999991</v>
      </c>
      <c r="AK17" t="str">
        <f t="shared" si="13"/>
        <v>10/02</v>
      </c>
    </row>
    <row r="18" spans="18:37" ht="15" thickBot="1" x14ac:dyDescent="0.4">
      <c r="S18" s="16">
        <v>14</v>
      </c>
      <c r="T18" s="55">
        <f t="shared" ca="1" si="8"/>
        <v>44109</v>
      </c>
      <c r="U18" s="56">
        <f t="shared" ca="1" si="9"/>
        <v>141.80000000000001</v>
      </c>
      <c r="V18" s="22">
        <f t="shared" ca="1" si="1"/>
        <v>4748.8</v>
      </c>
      <c r="W18" s="56">
        <f t="shared" ca="1" si="2"/>
        <v>166.68400767977505</v>
      </c>
      <c r="X18" s="57">
        <f t="shared" ca="1" si="3"/>
        <v>61.384604063125039</v>
      </c>
      <c r="Y18" s="56">
        <f t="shared" ca="1" si="4"/>
        <v>138.0899997857143</v>
      </c>
      <c r="Z18" s="56">
        <f t="shared" ca="1" si="5"/>
        <v>142.75228752722319</v>
      </c>
      <c r="AA18" s="56">
        <f t="shared" ca="1" si="6"/>
        <v>133.42771204420541</v>
      </c>
      <c r="AB18" s="22" t="str">
        <f t="shared" ca="1" si="10"/>
        <v>10/05</v>
      </c>
      <c r="AC18" s="22">
        <v>70</v>
      </c>
      <c r="AD18" s="17">
        <v>30</v>
      </c>
      <c r="AG18" s="47">
        <v>18</v>
      </c>
      <c r="AH18" s="8">
        <f>IF(AG18=0, DATE(2020, 9, 9),INDEX(tbl_position[], AG18, MATCH("DATE", pos_header, 0)))</f>
        <v>44109</v>
      </c>
      <c r="AI18" s="126">
        <f ca="1">IF(AG18=0, 100000, INDEX(tbl_position[Total_Net_Asset], AG18))</f>
        <v>101486.7</v>
      </c>
      <c r="AJ18" s="126">
        <f>IF(AG18=0, 100000, INDEX(tbl_position[Cash_Holding], AG18))</f>
        <v>49591.099999999991</v>
      </c>
      <c r="AK18" t="str">
        <f t="shared" si="13"/>
        <v>10/05</v>
      </c>
    </row>
    <row r="19" spans="18:37" x14ac:dyDescent="0.35"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8:37" x14ac:dyDescent="0.35"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CC"/>
  </sheetPr>
  <dimension ref="A2:J43"/>
  <sheetViews>
    <sheetView topLeftCell="A31" workbookViewId="0">
      <selection activeCell="W45" sqref="W45"/>
    </sheetView>
  </sheetViews>
  <sheetFormatPr defaultRowHeight="14.5" x14ac:dyDescent="0.35"/>
  <sheetData>
    <row r="2" spans="1:10" ht="21" x14ac:dyDescent="0.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5">
      <c r="A3" t="s">
        <v>257</v>
      </c>
    </row>
    <row r="4" spans="1:10" x14ac:dyDescent="0.35">
      <c r="A4" t="s">
        <v>258</v>
      </c>
    </row>
    <row r="6" spans="1:10" ht="15.5" x14ac:dyDescent="0.35">
      <c r="A6" s="7" t="s">
        <v>259</v>
      </c>
    </row>
    <row r="7" spans="1:10" x14ac:dyDescent="0.35">
      <c r="A7" t="s">
        <v>260</v>
      </c>
    </row>
    <row r="9" spans="1:10" x14ac:dyDescent="0.35">
      <c r="A9" s="66" t="s">
        <v>261</v>
      </c>
    </row>
    <row r="10" spans="1:10" x14ac:dyDescent="0.35">
      <c r="A10" t="s">
        <v>262</v>
      </c>
    </row>
    <row r="11" spans="1:10" x14ac:dyDescent="0.35">
      <c r="B11" t="s">
        <v>263</v>
      </c>
    </row>
    <row r="12" spans="1:10" x14ac:dyDescent="0.35">
      <c r="A12" t="s">
        <v>264</v>
      </c>
    </row>
    <row r="13" spans="1:10" x14ac:dyDescent="0.35">
      <c r="B13" t="s">
        <v>267</v>
      </c>
    </row>
    <row r="14" spans="1:10" x14ac:dyDescent="0.35">
      <c r="A14" t="s">
        <v>265</v>
      </c>
    </row>
    <row r="15" spans="1:10" x14ac:dyDescent="0.35">
      <c r="B15" t="s">
        <v>266</v>
      </c>
    </row>
    <row r="17" spans="1:2" ht="15.5" x14ac:dyDescent="0.35">
      <c r="A17" s="7" t="s">
        <v>268</v>
      </c>
    </row>
    <row r="18" spans="1:2" x14ac:dyDescent="0.35">
      <c r="A18" t="s">
        <v>284</v>
      </c>
    </row>
    <row r="20" spans="1:2" x14ac:dyDescent="0.35">
      <c r="A20" s="66" t="s">
        <v>261</v>
      </c>
    </row>
    <row r="21" spans="1:2" x14ac:dyDescent="0.35">
      <c r="A21" t="s">
        <v>269</v>
      </c>
    </row>
    <row r="22" spans="1:2" x14ac:dyDescent="0.35">
      <c r="B22" t="s">
        <v>270</v>
      </c>
    </row>
    <row r="23" spans="1:2" x14ac:dyDescent="0.35">
      <c r="A23" t="s">
        <v>272</v>
      </c>
    </row>
    <row r="26" spans="1:2" ht="15.5" x14ac:dyDescent="0.35">
      <c r="A26" s="7" t="s">
        <v>271</v>
      </c>
    </row>
    <row r="27" spans="1:2" x14ac:dyDescent="0.35">
      <c r="A27" t="s">
        <v>285</v>
      </c>
    </row>
    <row r="28" spans="1:2" x14ac:dyDescent="0.35">
      <c r="A28" s="66" t="s">
        <v>261</v>
      </c>
    </row>
    <row r="29" spans="1:2" x14ac:dyDescent="0.35">
      <c r="A29" t="s">
        <v>273</v>
      </c>
    </row>
    <row r="30" spans="1:2" x14ac:dyDescent="0.35">
      <c r="A30" t="s">
        <v>274</v>
      </c>
    </row>
    <row r="31" spans="1:2" x14ac:dyDescent="0.35">
      <c r="A31" t="s">
        <v>276</v>
      </c>
    </row>
    <row r="33" spans="1:1" ht="15.5" x14ac:dyDescent="0.35">
      <c r="A33" s="7" t="s">
        <v>277</v>
      </c>
    </row>
    <row r="34" spans="1:1" x14ac:dyDescent="0.35">
      <c r="A34" t="s">
        <v>286</v>
      </c>
    </row>
    <row r="35" spans="1:1" x14ac:dyDescent="0.35">
      <c r="A35" s="66" t="s">
        <v>261</v>
      </c>
    </row>
    <row r="36" spans="1:1" x14ac:dyDescent="0.35">
      <c r="A36" t="s">
        <v>278</v>
      </c>
    </row>
    <row r="37" spans="1:1" x14ac:dyDescent="0.35">
      <c r="A37" t="s">
        <v>279</v>
      </c>
    </row>
    <row r="38" spans="1:1" x14ac:dyDescent="0.35">
      <c r="A38" t="s">
        <v>280</v>
      </c>
    </row>
    <row r="39" spans="1:1" x14ac:dyDescent="0.35">
      <c r="A39" t="s">
        <v>281</v>
      </c>
    </row>
    <row r="40" spans="1:1" x14ac:dyDescent="0.35">
      <c r="A40" t="s">
        <v>282</v>
      </c>
    </row>
    <row r="41" spans="1:1" x14ac:dyDescent="0.35">
      <c r="A41" t="s">
        <v>283</v>
      </c>
    </row>
    <row r="43" spans="1:1" x14ac:dyDescent="0.35">
      <c r="A43" t="s">
        <v>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tabSelected="1" topLeftCell="A38" workbookViewId="0">
      <selection activeCell="G57" sqref="G57"/>
    </sheetView>
  </sheetViews>
  <sheetFormatPr defaultRowHeight="14.5" x14ac:dyDescent="0.35"/>
  <cols>
    <col min="1" max="1" width="9.7265625" customWidth="1"/>
    <col min="2" max="2" width="15.54296875" customWidth="1"/>
    <col min="3" max="3" width="17.81640625" customWidth="1"/>
    <col min="4" max="4" width="14.1796875" customWidth="1"/>
    <col min="5" max="5" width="15.81640625" customWidth="1"/>
    <col min="6" max="6" width="10.26953125" customWidth="1"/>
    <col min="7" max="7" width="17.26953125" customWidth="1"/>
    <col min="8" max="8" width="15" hidden="1" customWidth="1"/>
    <col min="9" max="9" width="13.1796875" hidden="1" customWidth="1"/>
    <col min="10" max="10" width="13" hidden="1" customWidth="1"/>
    <col min="11" max="11" width="17.453125" customWidth="1"/>
    <col min="12" max="12" width="15.54296875" customWidth="1"/>
    <col min="13" max="13" width="15.453125" customWidth="1"/>
    <col min="14" max="14" width="13.453125" customWidth="1"/>
    <col min="15" max="15" width="18.453125" customWidth="1"/>
    <col min="16" max="16" width="19.1796875" customWidth="1"/>
    <col min="17" max="17" width="20.453125" customWidth="1"/>
    <col min="18" max="18" width="18.7265625" customWidth="1"/>
    <col min="19" max="19" width="21" customWidth="1"/>
  </cols>
  <sheetData>
    <row r="1" spans="1:19" ht="21" x14ac:dyDescent="0.5">
      <c r="A1" s="41" t="s">
        <v>15</v>
      </c>
      <c r="B1" s="41"/>
      <c r="C1" s="41"/>
      <c r="D1" s="41"/>
      <c r="E1" s="41"/>
    </row>
    <row r="2" spans="1:19" ht="15.5" x14ac:dyDescent="0.35">
      <c r="A2" t="s">
        <v>112</v>
      </c>
    </row>
    <row r="4" spans="1:19" x14ac:dyDescent="0.3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3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3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3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3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3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3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3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3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3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3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3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3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3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3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3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3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3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3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3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3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3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3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3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3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3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3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3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3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3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3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3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3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3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3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3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3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3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3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3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3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3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3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3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3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3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3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3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3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3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3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35">
      <c r="A55" t="s">
        <v>217</v>
      </c>
      <c r="B55" t="s">
        <v>298</v>
      </c>
      <c r="C55" t="s">
        <v>298</v>
      </c>
      <c r="D55" t="s">
        <v>31</v>
      </c>
      <c r="F55" s="47">
        <v>500</v>
      </c>
      <c r="G55" s="48">
        <v>19.97</v>
      </c>
      <c r="H55" s="61">
        <f>VALUE(LEFT(tbl_transaction[[#This Row],[Order Date]],FIND("/",tbl_transaction[[#This Row],[Order Date]])-1))</f>
        <v>9</v>
      </c>
      <c r="I5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24</v>
      </c>
      <c r="J55" s="61" t="str">
        <f>MID(tbl_transaction[[#This Row],[Order Date]], FIND("/",tbl_transaction[[#This Row],[Order Date]], FIND("/", tbl_transaction[[#This Row],[Order Date]])+1)+1, 2)</f>
        <v>20</v>
      </c>
      <c r="K55" s="61">
        <f>VALUE(LEFT(tbl_transaction[[#This Row],[Transaction Date]],FIND("/",tbl_transaction[[#This Row],[Transaction Date]])-1))</f>
        <v>9</v>
      </c>
      <c r="L5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24</v>
      </c>
      <c r="M55" s="61" t="str">
        <f>MID(tbl_transaction[[#This Row],[Transaction Date]], FIND("/",tbl_transaction[[#This Row],[Transaction Date]], FIND("/", tbl_transaction[[#This Row],[Transaction Date]])+1)+1, 2)</f>
        <v>20</v>
      </c>
      <c r="N55" s="9">
        <f>DATE(tbl_transaction[[#This Row],[Year_order]]+2000, tbl_transaction[[#This Row],[Month_order]], tbl_transaction[[#This Row],[Date_order]])</f>
        <v>44098</v>
      </c>
      <c r="O55" s="9">
        <f>DATE(tbl_transaction[[#This Row],[Year_Transact]]+2000,tbl_transaction[[#This Row],[Month_Transact]],tbl_transaction[[#This Row],[Date_Transact]])</f>
        <v>44098</v>
      </c>
      <c r="P5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9985</v>
      </c>
      <c r="R5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9985</v>
      </c>
      <c r="S5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500</v>
      </c>
    </row>
    <row r="56" spans="1:19" x14ac:dyDescent="0.35">
      <c r="A56" t="s">
        <v>217</v>
      </c>
      <c r="B56" t="s">
        <v>299</v>
      </c>
      <c r="C56" t="s">
        <v>299</v>
      </c>
      <c r="D56" t="s">
        <v>31</v>
      </c>
      <c r="F56" s="47">
        <v>300</v>
      </c>
      <c r="G56" s="48">
        <v>18.77</v>
      </c>
      <c r="H56" s="61">
        <f>VALUE(LEFT(tbl_transaction[[#This Row],[Order Date]],FIND("/",tbl_transaction[[#This Row],[Order Date]])-1))</f>
        <v>9</v>
      </c>
      <c r="I5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6" s="61" t="str">
        <f>MID(tbl_transaction[[#This Row],[Order Date]], FIND("/",tbl_transaction[[#This Row],[Order Date]], FIND("/", tbl_transaction[[#This Row],[Order Date]])+1)+1, 2)</f>
        <v>20</v>
      </c>
      <c r="K56" s="61">
        <f>VALUE(LEFT(tbl_transaction[[#This Row],[Transaction Date]],FIND("/",tbl_transaction[[#This Row],[Transaction Date]])-1))</f>
        <v>9</v>
      </c>
      <c r="L5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6" s="61" t="str">
        <f>MID(tbl_transaction[[#This Row],[Transaction Date]], FIND("/",tbl_transaction[[#This Row],[Transaction Date]], FIND("/", tbl_transaction[[#This Row],[Transaction Date]])+1)+1, 2)</f>
        <v>20</v>
      </c>
      <c r="N56" s="9">
        <f>DATE(tbl_transaction[[#This Row],[Year_order]]+2000, tbl_transaction[[#This Row],[Month_order]], tbl_transaction[[#This Row],[Date_order]])</f>
        <v>44102</v>
      </c>
      <c r="O56" s="9">
        <f>DATE(tbl_transaction[[#This Row],[Year_Transact]]+2000,tbl_transaction[[#This Row],[Month_Transact]],tbl_transaction[[#This Row],[Date_Transact]])</f>
        <v>44102</v>
      </c>
      <c r="P5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5631</v>
      </c>
      <c r="R5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5631</v>
      </c>
      <c r="S5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</v>
      </c>
    </row>
    <row r="57" spans="1:19" x14ac:dyDescent="0.35">
      <c r="A57" t="s">
        <v>240</v>
      </c>
      <c r="B57" t="s">
        <v>300</v>
      </c>
      <c r="C57" t="s">
        <v>300</v>
      </c>
      <c r="D57" t="s">
        <v>26</v>
      </c>
      <c r="F57" s="47">
        <v>980</v>
      </c>
      <c r="G57" s="48">
        <v>5.81</v>
      </c>
      <c r="H57" s="61">
        <f>VALUE(LEFT(tbl_transaction[[#This Row],[Order Date]],FIND("/",tbl_transaction[[#This Row],[Order Date]])-1))</f>
        <v>9</v>
      </c>
      <c r="I5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7" s="61" t="str">
        <f>MID(tbl_transaction[[#This Row],[Order Date]], FIND("/",tbl_transaction[[#This Row],[Order Date]], FIND("/", tbl_transaction[[#This Row],[Order Date]])+1)+1, 2)</f>
        <v>20</v>
      </c>
      <c r="K57" s="61">
        <f>VALUE(LEFT(tbl_transaction[[#This Row],[Transaction Date]],FIND("/",tbl_transaction[[#This Row],[Transaction Date]])-1))</f>
        <v>9</v>
      </c>
      <c r="L5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7" s="61" t="str">
        <f>MID(tbl_transaction[[#This Row],[Transaction Date]], FIND("/",tbl_transaction[[#This Row],[Transaction Date]], FIND("/", tbl_transaction[[#This Row],[Transaction Date]])+1)+1, 2)</f>
        <v>20</v>
      </c>
      <c r="N57" s="9">
        <f>DATE(tbl_transaction[[#This Row],[Year_order]]+2000, tbl_transaction[[#This Row],[Month_order]], tbl_transaction[[#This Row],[Date_order]])</f>
        <v>44102</v>
      </c>
      <c r="O57" s="9">
        <f>DATE(tbl_transaction[[#This Row],[Year_Transact]]+2000,tbl_transaction[[#This Row],[Month_Transact]],tbl_transaction[[#This Row],[Date_Transact]])</f>
        <v>44102</v>
      </c>
      <c r="P5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5693.7999999999993</v>
      </c>
      <c r="Q5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-5693.7999999999993</v>
      </c>
      <c r="R5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-980</v>
      </c>
    </row>
    <row r="58" spans="1:19" x14ac:dyDescent="0.35">
      <c r="A58" t="s">
        <v>162</v>
      </c>
      <c r="B58">
        <f>SUBTOTAL(103,tbl_transaction[Order Date])</f>
        <v>53</v>
      </c>
      <c r="P58" s="11">
        <f>SUBTOTAL(109,tbl_transaction[Net_Cash_Change])</f>
        <v>-50408.900000000009</v>
      </c>
      <c r="S58" s="47">
        <f>SUBTOTAL(109,tbl_transaction[Stock Holding Change])</f>
        <v>1150</v>
      </c>
    </row>
  </sheetData>
  <dataValidations count="3">
    <dataValidation type="list" allowBlank="1" showInputMessage="1" showErrorMessage="1" sqref="D5:D57" xr:uid="{00000000-0002-0000-0200-000000000000}">
      <formula1>Transactions</formula1>
    </dataValidation>
    <dataValidation type="list" allowBlank="1" showInputMessage="1" showErrorMessage="1" sqref="A5:A57" xr:uid="{00000000-0002-0000-0200-000001000000}">
      <formula1>Symbol</formula1>
    </dataValidation>
    <dataValidation type="whole" allowBlank="1" showInputMessage="1" showErrorMessage="1" sqref="F5:F57" xr:uid="{00000000-0002-0000-0200-000002000000}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3"/>
  <sheetViews>
    <sheetView workbookViewId="0">
      <selection activeCell="M10" sqref="M10"/>
    </sheetView>
  </sheetViews>
  <sheetFormatPr defaultRowHeight="14.5" x14ac:dyDescent="0.35"/>
  <cols>
    <col min="1" max="1" width="10.453125" customWidth="1"/>
    <col min="3" max="3" width="15.453125" customWidth="1"/>
    <col min="5" max="5" width="11.7265625" customWidth="1"/>
    <col min="8" max="8" width="12" customWidth="1"/>
  </cols>
  <sheetData>
    <row r="3" spans="1:9" ht="15.5" x14ac:dyDescent="0.3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3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3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3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35">
      <c r="A7" t="s">
        <v>22</v>
      </c>
      <c r="C7" t="s">
        <v>34</v>
      </c>
    </row>
    <row r="8" spans="1:9" x14ac:dyDescent="0.35">
      <c r="A8" t="s">
        <v>37</v>
      </c>
    </row>
    <row r="9" spans="1:9" x14ac:dyDescent="0.35">
      <c r="A9" t="s">
        <v>217</v>
      </c>
    </row>
    <row r="10" spans="1:9" x14ac:dyDescent="0.35">
      <c r="A10" t="s">
        <v>35</v>
      </c>
    </row>
    <row r="11" spans="1:9" x14ac:dyDescent="0.35">
      <c r="A11" t="s">
        <v>20</v>
      </c>
    </row>
    <row r="12" spans="1:9" x14ac:dyDescent="0.35">
      <c r="A12" t="s">
        <v>240</v>
      </c>
    </row>
    <row r="13" spans="1:9" x14ac:dyDescent="0.35">
      <c r="A13" t="s">
        <v>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"/>
  <sheetViews>
    <sheetView topLeftCell="A3" workbookViewId="0">
      <selection activeCell="J22" sqref="J22"/>
    </sheetView>
  </sheetViews>
  <sheetFormatPr defaultRowHeight="14.5" x14ac:dyDescent="0.35"/>
  <cols>
    <col min="1" max="1" width="9.7265625" bestFit="1" customWidth="1"/>
    <col min="2" max="2" width="14" customWidth="1"/>
    <col min="3" max="4" width="12.7265625" customWidth="1"/>
    <col min="5" max="5" width="13.453125" customWidth="1"/>
    <col min="6" max="6" width="12.1796875" customWidth="1"/>
    <col min="7" max="9" width="13.1796875" customWidth="1"/>
    <col min="10" max="10" width="13.36328125" customWidth="1"/>
    <col min="11" max="11" width="13.1796875" customWidth="1"/>
    <col min="12" max="12" width="14.54296875" customWidth="1"/>
    <col min="13" max="13" width="15.54296875" customWidth="1"/>
    <col min="14" max="14" width="12.54296875" customWidth="1"/>
    <col min="15" max="15" width="16.7265625" customWidth="1"/>
    <col min="16" max="16" width="15.54296875" customWidth="1"/>
    <col min="17" max="21" width="16.453125" customWidth="1"/>
    <col min="22" max="22" width="16.81640625" customWidth="1"/>
    <col min="23" max="23" width="15.453125" customWidth="1"/>
    <col min="24" max="24" width="15.81640625" customWidth="1"/>
    <col min="25" max="25" width="17.453125" customWidth="1"/>
  </cols>
  <sheetData>
    <row r="1" spans="1:25" ht="21" x14ac:dyDescent="0.5">
      <c r="A1" s="41" t="s">
        <v>126</v>
      </c>
      <c r="B1" s="41"/>
      <c r="C1" s="41"/>
      <c r="D1" s="41"/>
      <c r="E1" s="41"/>
    </row>
    <row r="2" spans="1:25" ht="15.5" x14ac:dyDescent="0.35">
      <c r="A2" t="s">
        <v>127</v>
      </c>
    </row>
    <row r="4" spans="1:25" x14ac:dyDescent="0.3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246</v>
      </c>
      <c r="S4" t="s">
        <v>247</v>
      </c>
      <c r="T4" t="s">
        <v>248</v>
      </c>
      <c r="U4" t="s">
        <v>249</v>
      </c>
      <c r="V4" t="s">
        <v>71</v>
      </c>
      <c r="W4" t="s">
        <v>72</v>
      </c>
      <c r="X4" t="s">
        <v>165</v>
      </c>
      <c r="Y4" t="s">
        <v>167</v>
      </c>
    </row>
    <row r="5" spans="1:25" x14ac:dyDescent="0.3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f>
        <v>150</v>
      </c>
      <c r="M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f>
        <v>1500</v>
      </c>
      <c r="N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f>
        <v>50</v>
      </c>
      <c r="O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f>
        <v>0</v>
      </c>
      <c r="P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f>
        <v>0</v>
      </c>
      <c r="Q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f>
        <v>0</v>
      </c>
      <c r="R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f>
        <v>0</v>
      </c>
      <c r="S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f>
        <v>0</v>
      </c>
      <c r="V5" s="10">
        <f ca="1" xml:space="preserve"> SUMPRODUCT(INDIRECT(ADDRESS(ROW(V5), 2)):INDIRECT(ADDRESS(ROW(V5), MATCH("Shares_AAPL", pos_header,0)-1)), INDIRECT(ADDRESS(ROW(V5), MATCH("Shares_AAPL", pos_header,0))): INDIRECT(ADDRESS(ROW(V5), MATCH("Shares_Holding", pos_header,0)-1)))</f>
        <v>34873.5003</v>
      </c>
      <c r="W5" s="10">
        <f>SUMIFS(tbl_transaction[Net_Cash_Change], tbl_transaction[Transaction_Date],tbl_position[[#This Row],[Date]])+IF(tbl_position[[#This Row],[Date]]=$A$5, 100000, $W4)</f>
        <v>63721.5</v>
      </c>
      <c r="X5" s="11">
        <f>SUMIFS(tbl_transaction[Net_Debt_Change], tbl_transaction[Transaction_Date],tbl_position[[#This Row],[Date]])+IF(tbl_position[[#This Row],[Date]]=$A$5, 0, $X4)</f>
        <v>0</v>
      </c>
      <c r="Y5" s="48">
        <f ca="1">tbl_position[[#This Row],[Shares_Holding]]+tbl_position[[#This Row],[Cash_Holding]]-tbl_position[[#This Row],[Liabilities_Holding]]</f>
        <v>98595.0003</v>
      </c>
    </row>
    <row r="6" spans="1:25" x14ac:dyDescent="0.3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$L5)</f>
        <v>100</v>
      </c>
      <c r="M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$M5)</f>
        <v>1000</v>
      </c>
      <c r="N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$N5)</f>
        <v>50</v>
      </c>
      <c r="O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$O5)</f>
        <v>0</v>
      </c>
      <c r="P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$P5)</f>
        <v>0</v>
      </c>
      <c r="Q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$Q5)</f>
        <v>100</v>
      </c>
      <c r="R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$R5)</f>
        <v>0</v>
      </c>
      <c r="S6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$S5)</f>
        <v>0</v>
      </c>
      <c r="T6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$U5)</f>
        <v>0</v>
      </c>
      <c r="V6" s="10">
        <f ca="1" xml:space="preserve"> SUMPRODUCT(INDIRECT(ADDRESS(ROW(V6), 2)):INDIRECT(ADDRESS(ROW(V6), MATCH("Shares_AAPL", pos_header,0)-1)), INDIRECT(ADDRESS(ROW(V6), MATCH("Shares_AAPL", pos_header,0))): INDIRECT(ADDRESS(ROW(V6), MATCH("Shares_Holding", pos_header,0)-1)))</f>
        <v>33626.499349999998</v>
      </c>
      <c r="W6" s="10">
        <f>SUMIFS(tbl_transaction[Net_Cash_Change], tbl_transaction[Transaction_Date],tbl_position[[#This Row],[Date]])+IF(tbl_position[[#This Row],[Date]]=$A$5, 100000, $W5)</f>
        <v>65134</v>
      </c>
      <c r="X6" s="11">
        <f>SUMIFS(tbl_transaction[Net_Debt_Change], tbl_transaction[Transaction_Date],tbl_position[[#This Row],[Date]])+IF(tbl_position[[#This Row],[Date]]=$A$5, 0, $X5)</f>
        <v>-34</v>
      </c>
      <c r="Y6" s="48">
        <f ca="1">tbl_position[[#This Row],[Shares_Holding]]+tbl_position[[#This Row],[Cash_Holding]]-tbl_position[[#This Row],[Liabilities_Holding]]</f>
        <v>98794.499349999998</v>
      </c>
    </row>
    <row r="7" spans="1:25" x14ac:dyDescent="0.3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$L6)</f>
        <v>100</v>
      </c>
      <c r="M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$M6)</f>
        <v>1000</v>
      </c>
      <c r="N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$N6)</f>
        <v>50</v>
      </c>
      <c r="O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$O6)</f>
        <v>0</v>
      </c>
      <c r="P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$P6)</f>
        <v>0</v>
      </c>
      <c r="Q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$Q6)</f>
        <v>0</v>
      </c>
      <c r="R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$R6)</f>
        <v>0</v>
      </c>
      <c r="S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$T6)</f>
        <v>250</v>
      </c>
      <c r="U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$U6)</f>
        <v>0</v>
      </c>
      <c r="V7" s="10">
        <f ca="1" xml:space="preserve"> SUMPRODUCT(INDIRECT(ADDRESS(ROW(V7), 2)):INDIRECT(ADDRESS(ROW(V7), MATCH("Shares_AAPL", pos_header,0)-1)), INDIRECT(ADDRESS(ROW(V7), MATCH("Shares_AAPL", pos_header,0))): INDIRECT(ADDRESS(ROW(V7), MATCH("Shares_Holding", pos_header,0)-1)))</f>
        <v>37536.000049999995</v>
      </c>
      <c r="W7" s="10">
        <f>SUMIFS(tbl_transaction[Net_Cash_Change], tbl_transaction[Transaction_Date],tbl_position[[#This Row],[Date]])+IF(tbl_position[[#This Row],[Date]]=$A$5, 100000, $W6)</f>
        <v>62700.2</v>
      </c>
      <c r="X7" s="11">
        <f>SUMIFS(tbl_transaction[Net_Debt_Change], tbl_transaction[Transaction_Date],tbl_position[[#This Row],[Date]])+IF(tbl_position[[#This Row],[Date]]=$A$5, 0, $X6)</f>
        <v>-450</v>
      </c>
      <c r="Y7" s="48">
        <f ca="1">tbl_position[[#This Row],[Shares_Holding]]+tbl_position[[#This Row],[Cash_Holding]]-tbl_position[[#This Row],[Liabilities_Holding]]</f>
        <v>100686.20004999998</v>
      </c>
    </row>
    <row r="8" spans="1:25" x14ac:dyDescent="0.3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$L7)</f>
        <v>100</v>
      </c>
      <c r="M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$M7)</f>
        <v>1000</v>
      </c>
      <c r="N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$N7)</f>
        <v>50</v>
      </c>
      <c r="O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$O7)</f>
        <v>0</v>
      </c>
      <c r="P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$P7)</f>
        <v>0</v>
      </c>
      <c r="Q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$Q7)</f>
        <v>0</v>
      </c>
      <c r="R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$R7)</f>
        <v>0</v>
      </c>
      <c r="S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$T7)</f>
        <v>250</v>
      </c>
      <c r="U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$U7)</f>
        <v>0</v>
      </c>
      <c r="V8" s="10">
        <f ca="1" xml:space="preserve"> SUMPRODUCT(INDIRECT(ADDRESS(ROW(V8), 2)):INDIRECT(ADDRESS(ROW(V8), MATCH("Shares_AAPL", pos_header,0)-1)), INDIRECT(ADDRESS(ROW(V8), MATCH("Shares_AAPL", pos_header,0))): INDIRECT(ADDRESS(ROW(V8), MATCH("Shares_Holding", pos_header,0)-1)))</f>
        <v>37040.499950000005</v>
      </c>
      <c r="W8" s="10">
        <f>SUMIFS(tbl_transaction[Net_Cash_Change], tbl_transaction[Transaction_Date],tbl_position[[#This Row],[Date]])+IF(tbl_position[[#This Row],[Date]]=$A$5, 100000, $W7)</f>
        <v>62700.2</v>
      </c>
      <c r="X8" s="11">
        <f>SUMIFS(tbl_transaction[Net_Debt_Change], tbl_transaction[Transaction_Date],tbl_position[[#This Row],[Date]])+IF(tbl_position[[#This Row],[Date]]=$A$5, 0, $X7)</f>
        <v>-450</v>
      </c>
      <c r="Y8" s="48">
        <f ca="1">tbl_position[[#This Row],[Shares_Holding]]+tbl_position[[#This Row],[Cash_Holding]]-tbl_position[[#This Row],[Liabilities_Holding]]</f>
        <v>100190.69995000001</v>
      </c>
    </row>
    <row r="9" spans="1:25" x14ac:dyDescent="0.3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$L8)</f>
        <v>100</v>
      </c>
      <c r="M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$M8)</f>
        <v>0</v>
      </c>
      <c r="N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$N8)</f>
        <v>50</v>
      </c>
      <c r="O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$O8)</f>
        <v>0</v>
      </c>
      <c r="P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$P8)</f>
        <v>100</v>
      </c>
      <c r="Q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$R8)</f>
        <v>0</v>
      </c>
      <c r="S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$T8)</f>
        <v>200</v>
      </c>
      <c r="U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$U8)</f>
        <v>0</v>
      </c>
      <c r="V9" s="10">
        <f ca="1" xml:space="preserve"> SUMPRODUCT(INDIRECT(ADDRESS(ROW(V9), 2)):INDIRECT(ADDRESS(ROW(V9), MATCH("Shares_AAPL", pos_header,0)-1)), INDIRECT(ADDRESS(ROW(V9), MATCH("Shares_AAPL", pos_header,0))): INDIRECT(ADDRESS(ROW(V9), MATCH("Shares_Holding", pos_header,0)-1)))</f>
        <v>44372.499849999993</v>
      </c>
      <c r="W9" s="10">
        <f>SUMIFS(tbl_transaction[Net_Cash_Change], tbl_transaction[Transaction_Date],tbl_position[[#This Row],[Date]])+IF(tbl_position[[#This Row],[Date]]=$A$5, 100000, $W8)</f>
        <v>61575.199999999997</v>
      </c>
      <c r="X9" s="11">
        <f>SUMIFS(tbl_transaction[Net_Debt_Change], tbl_transaction[Transaction_Date],tbl_position[[#This Row],[Date]])+IF(tbl_position[[#This Row],[Date]]=$A$5, 0, $X8)</f>
        <v>6192.4</v>
      </c>
      <c r="Y9" s="48">
        <f ca="1">tbl_position[[#This Row],[Shares_Holding]]+tbl_position[[#This Row],[Cash_Holding]]-tbl_position[[#This Row],[Liabilities_Holding]]</f>
        <v>99755.299849999996</v>
      </c>
    </row>
    <row r="10" spans="1:25" x14ac:dyDescent="0.3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$L9)</f>
        <v>100</v>
      </c>
      <c r="M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$M9)</f>
        <v>0</v>
      </c>
      <c r="N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$N9)</f>
        <v>50</v>
      </c>
      <c r="O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$O9)</f>
        <v>0</v>
      </c>
      <c r="P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$P9)</f>
        <v>100</v>
      </c>
      <c r="Q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$R9)</f>
        <v>100</v>
      </c>
      <c r="S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$T9)</f>
        <v>0</v>
      </c>
      <c r="U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$U9)</f>
        <v>1000</v>
      </c>
      <c r="V10" s="10">
        <f ca="1" xml:space="preserve"> SUMPRODUCT(INDIRECT(ADDRESS(ROW(V10), 2)):INDIRECT(ADDRESS(ROW(V10), MATCH("Shares_AAPL", pos_header,0)-1)), INDIRECT(ADDRESS(ROW(V10), MATCH("Shares_AAPL", pos_header,0))): INDIRECT(ADDRESS(ROW(V10), MATCH("Shares_Holding", pos_header,0)-1)))</f>
        <v>46989.998950000001</v>
      </c>
      <c r="W10" s="10">
        <f>SUMIFS(tbl_transaction[Net_Cash_Change], tbl_transaction[Transaction_Date],tbl_position[[#This Row],[Date]])+IF(tbl_position[[#This Row],[Date]]=$A$5, 100000, $W9)</f>
        <v>57949.2</v>
      </c>
      <c r="X10" s="11">
        <f>SUMIFS(tbl_transaction[Net_Debt_Change], tbl_transaction[Transaction_Date],tbl_position[[#This Row],[Date]])+IF(tbl_position[[#This Row],[Date]]=$A$5, 0, $X9)</f>
        <v>5492.9</v>
      </c>
      <c r="Y10" s="48">
        <f ca="1">tbl_position[[#This Row],[Shares_Holding]]+tbl_position[[#This Row],[Cash_Holding]]-tbl_position[[#This Row],[Liabilities_Holding]]</f>
        <v>99446.298949999997</v>
      </c>
    </row>
    <row r="11" spans="1:25" x14ac:dyDescent="0.3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$L10)</f>
        <v>50</v>
      </c>
      <c r="M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$M10)</f>
        <v>0</v>
      </c>
      <c r="N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$N10)</f>
        <v>50</v>
      </c>
      <c r="O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$O10)</f>
        <v>0</v>
      </c>
      <c r="P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$P10)</f>
        <v>100</v>
      </c>
      <c r="Q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$Q10)</f>
        <v>0</v>
      </c>
      <c r="R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$R10)</f>
        <v>100</v>
      </c>
      <c r="S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$S10)</f>
        <v>0</v>
      </c>
      <c r="T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$T10)</f>
        <v>0</v>
      </c>
      <c r="U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$U10)</f>
        <v>0</v>
      </c>
      <c r="V11" s="10">
        <f ca="1" xml:space="preserve"> SUMPRODUCT(INDIRECT(ADDRESS(ROW(V11), 2)):INDIRECT(ADDRESS(ROW(V11), MATCH("Shares_AAPL", pos_header,0)-1)), INDIRECT(ADDRESS(ROW(V11), MATCH("Shares_AAPL", pos_header,0))): INDIRECT(ADDRESS(ROW(V11), MATCH("Shares_Holding", pos_header,0)-1)))</f>
        <v>35077.5</v>
      </c>
      <c r="W11" s="10">
        <f>SUMIFS(tbl_transaction[Net_Cash_Change], tbl_transaction[Transaction_Date],tbl_position[[#This Row],[Date]])+IF(tbl_position[[#This Row],[Date]]=$A$5, 100000, $W10)</f>
        <v>63351.7</v>
      </c>
      <c r="X11" s="11">
        <f>SUMIFS(tbl_transaction[Net_Debt_Change], tbl_transaction[Transaction_Date],tbl_position[[#This Row],[Date]])+IF(tbl_position[[#This Row],[Date]]=$A$5, 0, $X10)</f>
        <v>-407.10000000000036</v>
      </c>
      <c r="Y11" s="48">
        <f ca="1">tbl_position[[#This Row],[Shares_Holding]]+tbl_position[[#This Row],[Cash_Holding]]-tbl_position[[#This Row],[Liabilities_Holding]]</f>
        <v>98836.3</v>
      </c>
    </row>
    <row r="12" spans="1:25" x14ac:dyDescent="0.3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$L11)</f>
        <v>50</v>
      </c>
      <c r="M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$M11)</f>
        <v>0</v>
      </c>
      <c r="N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$N11)</f>
        <v>50</v>
      </c>
      <c r="O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$O11)</f>
        <v>0</v>
      </c>
      <c r="P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$P11)</f>
        <v>100</v>
      </c>
      <c r="Q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$Q11)</f>
        <v>0</v>
      </c>
      <c r="R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$R11)</f>
        <v>100</v>
      </c>
      <c r="S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$S11)</f>
        <v>0</v>
      </c>
      <c r="T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$T11)</f>
        <v>0</v>
      </c>
      <c r="U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$U11)</f>
        <v>4000</v>
      </c>
      <c r="V12" s="10">
        <f ca="1" xml:space="preserve"> SUMPRODUCT(INDIRECT(ADDRESS(ROW(V12), 2)):INDIRECT(ADDRESS(ROW(V12), MATCH("Shares_AAPL", pos_header,0)-1)), INDIRECT(ADDRESS(ROW(V12), MATCH("Shares_AAPL", pos_header,0))): INDIRECT(ADDRESS(ROW(V12), MATCH("Shares_Holding", pos_header,0)-1)))</f>
        <v>59681.5</v>
      </c>
      <c r="W12" s="10">
        <f>SUMIFS(tbl_transaction[Net_Cash_Change], tbl_transaction[Transaction_Date],tbl_position[[#This Row],[Date]])+IF(tbl_position[[#This Row],[Date]]=$A$5, 100000, $W11)</f>
        <v>37751.699999999997</v>
      </c>
      <c r="X12" s="11">
        <f>SUMIFS(tbl_transaction[Net_Debt_Change], tbl_transaction[Transaction_Date],tbl_position[[#This Row],[Date]])+IF(tbl_position[[#This Row],[Date]]=$A$5, 0, $X11)</f>
        <v>-407.10000000000036</v>
      </c>
      <c r="Y12" s="48">
        <f ca="1">tbl_position[[#This Row],[Shares_Holding]]+tbl_position[[#This Row],[Cash_Holding]]-tbl_position[[#This Row],[Liabilities_Holding]]</f>
        <v>97840.3</v>
      </c>
    </row>
    <row r="13" spans="1:25" x14ac:dyDescent="0.3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$L12)</f>
        <v>50</v>
      </c>
      <c r="M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$M12)</f>
        <v>0</v>
      </c>
      <c r="N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$N12)</f>
        <v>50</v>
      </c>
      <c r="O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$O12)</f>
        <v>0</v>
      </c>
      <c r="P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$P12)</f>
        <v>100</v>
      </c>
      <c r="Q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$Q12)</f>
        <v>0</v>
      </c>
      <c r="R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$R12)</f>
        <v>100</v>
      </c>
      <c r="S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$S12)</f>
        <v>0</v>
      </c>
      <c r="T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$T12)</f>
        <v>0</v>
      </c>
      <c r="U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$U12)</f>
        <v>2000</v>
      </c>
      <c r="V13" s="10">
        <f ca="1" xml:space="preserve"> SUMPRODUCT(INDIRECT(ADDRESS(ROW(V13), 2)):INDIRECT(ADDRESS(ROW(V13), MATCH("Shares_AAPL", pos_header,0)-1)), INDIRECT(ADDRESS(ROW(V13), MATCH("Shares_AAPL", pos_header,0))): INDIRECT(ADDRESS(ROW(V13), MATCH("Shares_Holding", pos_header,0)-1)))</f>
        <v>46691</v>
      </c>
      <c r="W13" s="10">
        <f>SUMIFS(tbl_transaction[Net_Cash_Change], tbl_transaction[Transaction_Date],tbl_position[[#This Row],[Date]])+IF(tbl_position[[#This Row],[Date]]=$A$5, 100000, $W12)</f>
        <v>50051.7</v>
      </c>
      <c r="X13" s="11">
        <f>SUMIFS(tbl_transaction[Net_Debt_Change], tbl_transaction[Transaction_Date],tbl_position[[#This Row],[Date]])+IF(tbl_position[[#This Row],[Date]]=$A$5, 0, $X12)</f>
        <v>-407.10000000000036</v>
      </c>
      <c r="Y13" s="48">
        <f ca="1">tbl_position[[#This Row],[Shares_Holding]]+tbl_position[[#This Row],[Cash_Holding]]-tbl_position[[#This Row],[Liabilities_Holding]]</f>
        <v>97149.8</v>
      </c>
    </row>
    <row r="14" spans="1:25" x14ac:dyDescent="0.3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$L13)</f>
        <v>50</v>
      </c>
      <c r="M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$M13)</f>
        <v>0</v>
      </c>
      <c r="N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$N13)</f>
        <v>50</v>
      </c>
      <c r="O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$O13)</f>
        <v>0</v>
      </c>
      <c r="P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$P13)</f>
        <v>100</v>
      </c>
      <c r="Q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$Q13)</f>
        <v>0</v>
      </c>
      <c r="R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$R13)</f>
        <v>100</v>
      </c>
      <c r="S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$S13)</f>
        <v>50</v>
      </c>
      <c r="T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$T13)</f>
        <v>0</v>
      </c>
      <c r="U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$U13)</f>
        <v>980</v>
      </c>
      <c r="V14" s="10">
        <f ca="1" xml:space="preserve"> SUMPRODUCT(INDIRECT(ADDRESS(ROW(V14), 2)):INDIRECT(ADDRESS(ROW(V14), MATCH("Shares_AAPL", pos_header,0)-1)), INDIRECT(ADDRESS(ROW(V14), MATCH("Shares_AAPL", pos_header,0))): INDIRECT(ADDRESS(ROW(V14), MATCH("Shares_Holding", pos_header,0)-1)))</f>
        <v>52182.9</v>
      </c>
      <c r="W14" s="10">
        <f>SUMIFS(tbl_transaction[Net_Cash_Change], tbl_transaction[Transaction_Date],tbl_position[[#This Row],[Date]])+IF(tbl_position[[#This Row],[Date]]=$A$5, 100000, $W13)</f>
        <v>43897.299999999996</v>
      </c>
      <c r="X14" s="11">
        <f>SUMIFS(tbl_transaction[Net_Debt_Change], tbl_transaction[Transaction_Date],tbl_position[[#This Row],[Date]])+IF(tbl_position[[#This Row],[Date]]=$A$5, 0, $X13)</f>
        <v>-407.10000000000036</v>
      </c>
      <c r="Y14" s="48">
        <f ca="1">tbl_position[[#This Row],[Shares_Holding]]+tbl_position[[#This Row],[Cash_Holding]]-tbl_position[[#This Row],[Liabilities_Holding]]</f>
        <v>96487.3</v>
      </c>
    </row>
    <row r="15" spans="1:25" x14ac:dyDescent="0.35">
      <c r="A15" s="8">
        <v>44098</v>
      </c>
      <c r="B15" s="10">
        <f>VLOOKUP(tbl_position[[#This Row],[Date]], tbl_AAPL[], 5, 0)</f>
        <v>108.22</v>
      </c>
      <c r="C15" s="127">
        <f>VLOOKUP(tbl_position[[#This Row],[Date]], tbl_RIOT[], 5, 0)</f>
        <v>2.69</v>
      </c>
      <c r="D15" s="10">
        <f>VLOOKUP(tbl_position[[#This Row],[Date]], tbl_HD[], 5, 0)</f>
        <v>265.7</v>
      </c>
      <c r="E15" s="127">
        <f>VLOOKUP(tbl_position[[#This Row],[Date]], tbl_WMT[], 5, 0)</f>
        <v>136.69999999999999</v>
      </c>
      <c r="F15" s="127">
        <f>VLOOKUP(tbl_position[[#This Row],[Date]], tbl_IBM[], 5, 0)</f>
        <v>118.09</v>
      </c>
      <c r="G15" s="127">
        <f>VLOOKUP(tbl_position[[#This Row],[Date]], tbl_ORCL[], 5, 0)</f>
        <v>59.3</v>
      </c>
      <c r="H15" s="127">
        <f>VLOOKUP(tbl_position[[#This Row],[Date]], tbl_AKRO[], 5, 0)</f>
        <v>32.15</v>
      </c>
      <c r="I15" s="127">
        <f>VLOOKUP(tbl_position[[#This Row],[Date]], tbl_FDX[], 5, 0)</f>
        <v>241.42</v>
      </c>
      <c r="J15" s="127">
        <f>VLOOKUP(tbl_position[[#This Row],[Date]], tbl_NKLA[], 5, 0)</f>
        <v>19.100000000000001</v>
      </c>
      <c r="K15" s="127">
        <f>VLOOKUP(tbl_position[[#This Row],[Date]], tbl_SPXS[], 5, 0)</f>
        <v>6.41</v>
      </c>
      <c r="L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$L14)</f>
        <v>50</v>
      </c>
      <c r="M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$M14)</f>
        <v>0</v>
      </c>
      <c r="N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$N14)</f>
        <v>50</v>
      </c>
      <c r="O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$O14)</f>
        <v>0</v>
      </c>
      <c r="P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$P14)</f>
        <v>100</v>
      </c>
      <c r="Q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$Q14)</f>
        <v>0</v>
      </c>
      <c r="R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$R14)</f>
        <v>100</v>
      </c>
      <c r="S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$S14)</f>
        <v>50</v>
      </c>
      <c r="T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$T14)</f>
        <v>500</v>
      </c>
      <c r="U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$U14)</f>
        <v>980</v>
      </c>
      <c r="V15" s="10">
        <f ca="1" xml:space="preserve"> SUMPRODUCT(INDIRECT(ADDRESS(ROW(V15), 2)):INDIRECT(ADDRESS(ROW(V15), MATCH("Shares_AAPL", pos_header,0)-1)), INDIRECT(ADDRESS(ROW(V15), MATCH("Shares_AAPL", pos_header,0))): INDIRECT(ADDRESS(ROW(V15), MATCH("Shares_Holding", pos_header,0)-1)))</f>
        <v>61622.8</v>
      </c>
      <c r="W15" s="10">
        <f>SUMIFS(tbl_transaction[Net_Cash_Change], tbl_transaction[Transaction_Date],tbl_position[[#This Row],[Date]])+IF(tbl_position[[#This Row],[Date]]=$A$5, 100000, $W14)</f>
        <v>43897.299999999996</v>
      </c>
      <c r="X15" s="11">
        <f>SUMIFS(tbl_transaction[Net_Debt_Change], tbl_transaction[Transaction_Date],tbl_position[[#This Row],[Date]])+IF(tbl_position[[#This Row],[Date]]=$A$5, 0, $X14)</f>
        <v>9577.9</v>
      </c>
      <c r="Y15" s="48">
        <f ca="1">tbl_position[[#This Row],[Shares_Holding]]+tbl_position[[#This Row],[Cash_Holding]]-tbl_position[[#This Row],[Liabilities_Holding]]</f>
        <v>95942.200000000012</v>
      </c>
    </row>
    <row r="16" spans="1:25" x14ac:dyDescent="0.35">
      <c r="A16" s="9">
        <v>44099</v>
      </c>
      <c r="B16" s="10">
        <f>VLOOKUP(tbl_position[[#This Row],[Date]], tbl_AAPL[], 5, 0)</f>
        <v>112.28</v>
      </c>
      <c r="C16" s="127">
        <f>VLOOKUP(tbl_position[[#This Row],[Date]], tbl_RIOT[], 5, 0)</f>
        <v>2.68</v>
      </c>
      <c r="D16" s="10">
        <f>VLOOKUP(tbl_position[[#This Row],[Date]], tbl_HD[], 5, 0)</f>
        <v>268.55</v>
      </c>
      <c r="E16" s="127">
        <f>VLOOKUP(tbl_position[[#This Row],[Date]], tbl_WMT[], 5, 0)</f>
        <v>137.27000000000001</v>
      </c>
      <c r="F16" s="127">
        <f>VLOOKUP(tbl_position[[#This Row],[Date]], tbl_IBM[], 5, 0)</f>
        <v>118.95</v>
      </c>
      <c r="G16" s="127">
        <f>VLOOKUP(tbl_position[[#This Row],[Date]], tbl_ORCL[], 5, 0)</f>
        <v>59.8</v>
      </c>
      <c r="H16" s="129">
        <f>VLOOKUP(tbl_position[[#This Row],[Date]], tbl_AKRO[], 5, 0)</f>
        <v>32.130000000000003</v>
      </c>
      <c r="I16" s="129">
        <f>VLOOKUP(tbl_position[[#This Row],[Date]], tbl_FDX[], 5, 0)</f>
        <v>250.17</v>
      </c>
      <c r="J16" s="129">
        <f>VLOOKUP(tbl_position[[#This Row],[Date]], tbl_NKLA[], 5, 0)</f>
        <v>19.46</v>
      </c>
      <c r="K16" s="129">
        <f>VLOOKUP(tbl_position[[#This Row],[Date]], tbl_SPXS[], 5, 0)</f>
        <v>6.1</v>
      </c>
      <c r="L1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$L15)</f>
        <v>50</v>
      </c>
      <c r="M1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$M15)</f>
        <v>0</v>
      </c>
      <c r="N1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$N15)</f>
        <v>50</v>
      </c>
      <c r="O1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$O15)</f>
        <v>0</v>
      </c>
      <c r="P1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$P15)</f>
        <v>100</v>
      </c>
      <c r="Q1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$Q15)</f>
        <v>0</v>
      </c>
      <c r="R1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$R15)</f>
        <v>100</v>
      </c>
      <c r="S1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$S15)</f>
        <v>50</v>
      </c>
      <c r="T1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$T15)</f>
        <v>500</v>
      </c>
      <c r="U1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$U15)</f>
        <v>980</v>
      </c>
      <c r="V16" s="10">
        <f ca="1" xml:space="preserve"> SUMPRODUCT(INDIRECT(ADDRESS(ROW(V16), 2)):INDIRECT(ADDRESS(ROW(V16), MATCH("Shares_AAPL", pos_header,0)-1)), INDIRECT(ADDRESS(ROW(V16), MATCH("Shares_AAPL", pos_header,0))): INDIRECT(ADDRESS(ROW(V16), MATCH("Shares_Holding", pos_header,0)-1)))</f>
        <v>62366</v>
      </c>
      <c r="W16" s="129">
        <f>SUMIFS(tbl_transaction[Net_Cash_Change], tbl_transaction[Transaction_Date],tbl_position[[#This Row],[Date]])+IF(tbl_position[[#This Row],[Date]]=$A$5, 100000, $W15)</f>
        <v>43897.299999999996</v>
      </c>
      <c r="X16" s="11">
        <f>SUMIFS(tbl_transaction[Net_Debt_Change], tbl_transaction[Transaction_Date],tbl_position[[#This Row],[Date]])+IF(tbl_position[[#This Row],[Date]]=$A$5, 0, $X15)</f>
        <v>9577.9</v>
      </c>
      <c r="Y16" s="48">
        <f ca="1">tbl_position[[#This Row],[Shares_Holding]]+tbl_position[[#This Row],[Cash_Holding]]-tbl_position[[#This Row],[Liabilities_Holding]]</f>
        <v>96685.4</v>
      </c>
    </row>
    <row r="17" spans="1:25" x14ac:dyDescent="0.35">
      <c r="A17" s="9">
        <v>44102</v>
      </c>
      <c r="B17" s="10">
        <f>VLOOKUP(tbl_position[[#This Row],[Date]], tbl_AAPL[], 5, 0)</f>
        <v>114.96</v>
      </c>
      <c r="C17" s="127">
        <f>VLOOKUP(tbl_position[[#This Row],[Date]], tbl_RIOT[], 5, 0)</f>
        <v>2.74</v>
      </c>
      <c r="D17" s="10">
        <f>VLOOKUP(tbl_position[[#This Row],[Date]], tbl_HD[], 5, 0)</f>
        <v>272.33</v>
      </c>
      <c r="E17" s="127">
        <f>VLOOKUP(tbl_position[[#This Row],[Date]], tbl_WMT[], 5, 0)</f>
        <v>137.25</v>
      </c>
      <c r="F17" s="127">
        <f>VLOOKUP(tbl_position[[#This Row],[Date]], tbl_IBM[], 5, 0)</f>
        <v>121.73</v>
      </c>
      <c r="G17" s="127">
        <f>VLOOKUP(tbl_position[[#This Row],[Date]], tbl_ORCL[], 5, 0)</f>
        <v>59.58</v>
      </c>
      <c r="H17" s="129">
        <f>VLOOKUP(tbl_position[[#This Row],[Date]], tbl_AKRO[], 5, 0)</f>
        <v>31.57</v>
      </c>
      <c r="I17" s="129">
        <f>VLOOKUP(tbl_position[[#This Row],[Date]], tbl_FDX[], 5, 0)</f>
        <v>254.44</v>
      </c>
      <c r="J17" s="129">
        <f>VLOOKUP(tbl_position[[#This Row],[Date]], tbl_NKLA[], 5, 0)</f>
        <v>19.3</v>
      </c>
      <c r="K17" s="129">
        <f>VLOOKUP(tbl_position[[#This Row],[Date]], tbl_SPXS[], 5, 0)</f>
        <v>5.81</v>
      </c>
      <c r="L1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$L16)</f>
        <v>50</v>
      </c>
      <c r="M1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$M16)</f>
        <v>0</v>
      </c>
      <c r="N1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$N16)</f>
        <v>50</v>
      </c>
      <c r="O1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$O16)</f>
        <v>0</v>
      </c>
      <c r="P1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$P16)</f>
        <v>100</v>
      </c>
      <c r="Q1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$Q16)</f>
        <v>0</v>
      </c>
      <c r="R1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$R16)</f>
        <v>100</v>
      </c>
      <c r="S1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$S16)</f>
        <v>50</v>
      </c>
      <c r="T1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$T16)</f>
        <v>800</v>
      </c>
      <c r="U1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$U16)</f>
        <v>0</v>
      </c>
      <c r="V17" s="10">
        <f ca="1" xml:space="preserve"> SUMPRODUCT(INDIRECT(ADDRESS(ROW(V17), 2)):INDIRECT(ADDRESS(ROW(V17), MATCH("Shares_AAPL", pos_header,0)-1)), INDIRECT(ADDRESS(ROW(V17), MATCH("Shares_AAPL", pos_header,0))): INDIRECT(ADDRESS(ROW(V17), MATCH("Shares_Holding", pos_header,0)-1)))</f>
        <v>62856.5</v>
      </c>
      <c r="W17" s="129">
        <f>SUMIFS(tbl_transaction[Net_Cash_Change], tbl_transaction[Transaction_Date],tbl_position[[#This Row],[Date]])+IF(tbl_position[[#This Row],[Date]]=$A$5, 100000, $W16)</f>
        <v>49591.099999999991</v>
      </c>
      <c r="X17" s="11">
        <f>SUMIFS(tbl_transaction[Net_Debt_Change], tbl_transaction[Transaction_Date],tbl_position[[#This Row],[Date]])+IF(tbl_position[[#This Row],[Date]]=$A$5, 0, $X16)</f>
        <v>15208.9</v>
      </c>
      <c r="Y17" s="48">
        <f ca="1">tbl_position[[#This Row],[Shares_Holding]]+tbl_position[[#This Row],[Cash_Holding]]-tbl_position[[#This Row],[Liabilities_Holding]]</f>
        <v>97238.7</v>
      </c>
    </row>
    <row r="18" spans="1:25" x14ac:dyDescent="0.35">
      <c r="A18" s="9">
        <v>44103</v>
      </c>
      <c r="B18" s="10">
        <f>VLOOKUP(tbl_position[[#This Row],[Date]], tbl_AAPL[], 5, 0)</f>
        <v>114.09</v>
      </c>
      <c r="C18" s="127">
        <f>VLOOKUP(tbl_position[[#This Row],[Date]], tbl_RIOT[], 5, 0)</f>
        <v>2.76</v>
      </c>
      <c r="D18" s="10">
        <f>VLOOKUP(tbl_position[[#This Row],[Date]], tbl_HD[], 5, 0)</f>
        <v>272.11</v>
      </c>
      <c r="E18" s="127">
        <f>VLOOKUP(tbl_position[[#This Row],[Date]], tbl_WMT[], 5, 0)</f>
        <v>137.13999999999999</v>
      </c>
      <c r="F18" s="127">
        <f>VLOOKUP(tbl_position[[#This Row],[Date]], tbl_IBM[], 5, 0)</f>
        <v>120.94</v>
      </c>
      <c r="G18" s="127">
        <f>VLOOKUP(tbl_position[[#This Row],[Date]], tbl_ORCL[], 5, 0)</f>
        <v>59.47</v>
      </c>
      <c r="H18" s="129">
        <f>VLOOKUP(tbl_position[[#This Row],[Date]], tbl_AKRO[], 5, 0)</f>
        <v>31.37</v>
      </c>
      <c r="I18" s="129">
        <f>VLOOKUP(tbl_position[[#This Row],[Date]], tbl_FDX[], 5, 0)</f>
        <v>253.5</v>
      </c>
      <c r="J18" s="129">
        <f>VLOOKUP(tbl_position[[#This Row],[Date]], tbl_NKLA[], 5, 0)</f>
        <v>17.88</v>
      </c>
      <c r="K18" s="129">
        <f>VLOOKUP(tbl_position[[#This Row],[Date]], tbl_SPXS[], 5, 0)</f>
        <v>5.91</v>
      </c>
      <c r="L1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$L17)</f>
        <v>50</v>
      </c>
      <c r="M1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$M17)</f>
        <v>0</v>
      </c>
      <c r="N1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$N17)</f>
        <v>50</v>
      </c>
      <c r="O1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$O17)</f>
        <v>0</v>
      </c>
      <c r="P1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$P17)</f>
        <v>100</v>
      </c>
      <c r="Q1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$Q17)</f>
        <v>0</v>
      </c>
      <c r="R1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$R17)</f>
        <v>100</v>
      </c>
      <c r="S1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$S17)</f>
        <v>50</v>
      </c>
      <c r="T1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$T17)</f>
        <v>800</v>
      </c>
      <c r="U1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$U17)</f>
        <v>0</v>
      </c>
      <c r="V18" s="10">
        <f ca="1" xml:space="preserve"> SUMPRODUCT(INDIRECT(ADDRESS(ROW(V18), 2)):INDIRECT(ADDRESS(ROW(V18), MATCH("Shares_AAPL", pos_header,0)-1)), INDIRECT(ADDRESS(ROW(V18), MATCH("Shares_AAPL", pos_header,0))): INDIRECT(ADDRESS(ROW(V18), MATCH("Shares_Holding", pos_header,0)-1)))</f>
        <v>61520</v>
      </c>
      <c r="W18" s="129">
        <f>SUMIFS(tbl_transaction[Net_Cash_Change], tbl_transaction[Transaction_Date],tbl_position[[#This Row],[Date]])+IF(tbl_position[[#This Row],[Date]]=$A$5, 100000, $W17)</f>
        <v>49591.099999999991</v>
      </c>
      <c r="X18" s="11">
        <f>SUMIFS(tbl_transaction[Net_Debt_Change], tbl_transaction[Transaction_Date],tbl_position[[#This Row],[Date]])+IF(tbl_position[[#This Row],[Date]]=$A$5, 0, $X17)</f>
        <v>15208.9</v>
      </c>
      <c r="Y18" s="48">
        <f ca="1">tbl_position[[#This Row],[Shares_Holding]]+tbl_position[[#This Row],[Cash_Holding]]-tbl_position[[#This Row],[Liabilities_Holding]]</f>
        <v>95902.2</v>
      </c>
    </row>
    <row r="19" spans="1:25" x14ac:dyDescent="0.35">
      <c r="A19" s="9">
        <v>44104</v>
      </c>
      <c r="B19" s="10">
        <f>VLOOKUP(tbl_position[[#This Row],[Date]], tbl_AAPL[], 5, 0)</f>
        <v>115.81</v>
      </c>
      <c r="C19" s="127">
        <f>VLOOKUP(tbl_position[[#This Row],[Date]], tbl_RIOT[], 5, 0)</f>
        <v>2.7</v>
      </c>
      <c r="D19" s="10">
        <f>VLOOKUP(tbl_position[[#This Row],[Date]], tbl_HD[], 5, 0)</f>
        <v>277.70999999999998</v>
      </c>
      <c r="E19" s="127">
        <f>VLOOKUP(tbl_position[[#This Row],[Date]], tbl_WMT[], 5, 0)</f>
        <v>139.91</v>
      </c>
      <c r="F19" s="127">
        <f>VLOOKUP(tbl_position[[#This Row],[Date]], tbl_IBM[], 5, 0)</f>
        <v>121.67</v>
      </c>
      <c r="G19" s="127">
        <f>VLOOKUP(tbl_position[[#This Row],[Date]], tbl_ORCL[], 5, 0)</f>
        <v>59.7</v>
      </c>
      <c r="H19" s="129">
        <f>VLOOKUP(tbl_position[[#This Row],[Date]], tbl_AKRO[], 5, 0)</f>
        <v>30.79</v>
      </c>
      <c r="I19" s="129">
        <f>VLOOKUP(tbl_position[[#This Row],[Date]], tbl_FDX[], 5, 0)</f>
        <v>251.52</v>
      </c>
      <c r="J19" s="129">
        <f>VLOOKUP(tbl_position[[#This Row],[Date]], tbl_NKLA[], 5, 0)</f>
        <v>20.48</v>
      </c>
      <c r="K19" s="129">
        <f>VLOOKUP(tbl_position[[#This Row],[Date]], tbl_SPXS[], 5, 0)</f>
        <v>5.76</v>
      </c>
      <c r="L1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$L18)</f>
        <v>50</v>
      </c>
      <c r="M1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$M18)</f>
        <v>0</v>
      </c>
      <c r="N1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$N18)</f>
        <v>50</v>
      </c>
      <c r="O1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$O18)</f>
        <v>0</v>
      </c>
      <c r="P1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$P18)</f>
        <v>100</v>
      </c>
      <c r="Q1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$Q18)</f>
        <v>0</v>
      </c>
      <c r="R1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$R18)</f>
        <v>100</v>
      </c>
      <c r="S1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$S18)</f>
        <v>50</v>
      </c>
      <c r="T1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$T18)</f>
        <v>800</v>
      </c>
      <c r="U1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$U18)</f>
        <v>0</v>
      </c>
      <c r="V19" s="10">
        <f ca="1" xml:space="preserve"> SUMPRODUCT(INDIRECT(ADDRESS(ROW(V19), 2)):INDIRECT(ADDRESS(ROW(V19), MATCH("Shares_AAPL", pos_header,0)-1)), INDIRECT(ADDRESS(ROW(V19), MATCH("Shares_AAPL", pos_header,0))): INDIRECT(ADDRESS(ROW(V19), MATCH("Shares_Holding", pos_header,0)-1)))</f>
        <v>63882</v>
      </c>
      <c r="W19" s="129">
        <f>SUMIFS(tbl_transaction[Net_Cash_Change], tbl_transaction[Transaction_Date],tbl_position[[#This Row],[Date]])+IF(tbl_position[[#This Row],[Date]]=$A$5, 100000, $W18)</f>
        <v>49591.099999999991</v>
      </c>
      <c r="X19" s="11">
        <f>SUMIFS(tbl_transaction[Net_Debt_Change], tbl_transaction[Transaction_Date],tbl_position[[#This Row],[Date]])+IF(tbl_position[[#This Row],[Date]]=$A$5, 0, $X18)</f>
        <v>15208.9</v>
      </c>
      <c r="Y19" s="48">
        <f ca="1">tbl_position[[#This Row],[Shares_Holding]]+tbl_position[[#This Row],[Cash_Holding]]-tbl_position[[#This Row],[Liabilities_Holding]]</f>
        <v>98264.2</v>
      </c>
    </row>
    <row r="20" spans="1:25" x14ac:dyDescent="0.35">
      <c r="A20" s="9">
        <v>44105</v>
      </c>
      <c r="B20" s="10">
        <f>VLOOKUP(tbl_position[[#This Row],[Date]], tbl_AAPL[], 5, 0)</f>
        <v>116.79</v>
      </c>
      <c r="C20" s="127">
        <f>VLOOKUP(tbl_position[[#This Row],[Date]], tbl_RIOT[], 5, 0)</f>
        <v>2.65</v>
      </c>
      <c r="D20" s="10">
        <f>VLOOKUP(tbl_position[[#This Row],[Date]], tbl_HD[], 5, 0)</f>
        <v>277.62</v>
      </c>
      <c r="E20" s="127">
        <f>VLOOKUP(tbl_position[[#This Row],[Date]], tbl_WMT[], 5, 0)</f>
        <v>143.08000000000001</v>
      </c>
      <c r="F20" s="127">
        <f>VLOOKUP(tbl_position[[#This Row],[Date]], tbl_IBM[], 5, 0)</f>
        <v>121.09</v>
      </c>
      <c r="G20" s="127">
        <f>VLOOKUP(tbl_position[[#This Row],[Date]], tbl_ORCL[], 5, 0)</f>
        <v>59.68</v>
      </c>
      <c r="H20" s="129">
        <f>VLOOKUP(tbl_position[[#This Row],[Date]], tbl_AKRO[], 5, 0)</f>
        <v>29.18</v>
      </c>
      <c r="I20" s="129">
        <f>VLOOKUP(tbl_position[[#This Row],[Date]], tbl_FDX[], 5, 0)</f>
        <v>254.08</v>
      </c>
      <c r="J20" s="129">
        <f>VLOOKUP(tbl_position[[#This Row],[Date]], tbl_NKLA[], 5, 0)</f>
        <v>24.11</v>
      </c>
      <c r="K20" s="129">
        <f>VLOOKUP(tbl_position[[#This Row],[Date]], tbl_SPXS[], 5, 0)</f>
        <v>5.66</v>
      </c>
      <c r="L2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$L19)</f>
        <v>50</v>
      </c>
      <c r="M2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$M19)</f>
        <v>0</v>
      </c>
      <c r="N2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$N19)</f>
        <v>50</v>
      </c>
      <c r="O2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$O19)</f>
        <v>0</v>
      </c>
      <c r="P2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$P19)</f>
        <v>100</v>
      </c>
      <c r="Q2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$Q19)</f>
        <v>0</v>
      </c>
      <c r="R2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$R19)</f>
        <v>100</v>
      </c>
      <c r="S2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$S19)</f>
        <v>50</v>
      </c>
      <c r="T2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$T19)</f>
        <v>800</v>
      </c>
      <c r="U2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$U19)</f>
        <v>0</v>
      </c>
      <c r="V20" s="10">
        <f ca="1" xml:space="preserve"> SUMPRODUCT(INDIRECT(ADDRESS(ROW(V20), 2)):INDIRECT(ADDRESS(ROW(V20), MATCH("Shares_AAPL", pos_header,0)-1)), INDIRECT(ADDRESS(ROW(V20), MATCH("Shares_AAPL", pos_header,0))): INDIRECT(ADDRESS(ROW(V20), MATCH("Shares_Holding", pos_header,0)-1)))</f>
        <v>66739.5</v>
      </c>
      <c r="W20" s="129">
        <f>SUMIFS(tbl_transaction[Net_Cash_Change], tbl_transaction[Transaction_Date],tbl_position[[#This Row],[Date]])+IF(tbl_position[[#This Row],[Date]]=$A$5, 100000, $W19)</f>
        <v>49591.099999999991</v>
      </c>
      <c r="X20" s="11">
        <f>SUMIFS(tbl_transaction[Net_Debt_Change], tbl_transaction[Transaction_Date],tbl_position[[#This Row],[Date]])+IF(tbl_position[[#This Row],[Date]]=$A$5, 0, $X19)</f>
        <v>15208.9</v>
      </c>
      <c r="Y20" s="48">
        <f ca="1">tbl_position[[#This Row],[Shares_Holding]]+tbl_position[[#This Row],[Cash_Holding]]-tbl_position[[#This Row],[Liabilities_Holding]]</f>
        <v>101121.7</v>
      </c>
    </row>
    <row r="21" spans="1:25" x14ac:dyDescent="0.35">
      <c r="A21" s="9">
        <v>44106</v>
      </c>
      <c r="B21" s="10">
        <f>VLOOKUP(tbl_position[[#This Row],[Date]], tbl_AAPL[], 5, 0)</f>
        <v>113.02</v>
      </c>
      <c r="C21" s="127">
        <f>VLOOKUP(tbl_position[[#This Row],[Date]], tbl_RIOT[], 5, 0)</f>
        <v>2.6</v>
      </c>
      <c r="D21" s="10">
        <f>VLOOKUP(tbl_position[[#This Row],[Date]], tbl_HD[], 5, 0)</f>
        <v>279.31</v>
      </c>
      <c r="E21" s="127">
        <f>VLOOKUP(tbl_position[[#This Row],[Date]], tbl_WMT[], 5, 0)</f>
        <v>140.5</v>
      </c>
      <c r="F21" s="127">
        <f>VLOOKUP(tbl_position[[#This Row],[Date]], tbl_IBM[], 5, 0)</f>
        <v>120.57</v>
      </c>
      <c r="G21" s="127">
        <f>VLOOKUP(tbl_position[[#This Row],[Date]], tbl_ORCL[], 5, 0)</f>
        <v>58.83</v>
      </c>
      <c r="H21" s="129">
        <f>VLOOKUP(tbl_position[[#This Row],[Date]], tbl_AKRO[], 5, 0)</f>
        <v>28.99</v>
      </c>
      <c r="I21" s="129">
        <f>VLOOKUP(tbl_position[[#This Row],[Date]], tbl_FDX[], 5, 0)</f>
        <v>255.2</v>
      </c>
      <c r="J21" s="129">
        <f>VLOOKUP(tbl_position[[#This Row],[Date]], tbl_NKLA[], 5, 0)</f>
        <v>24.25</v>
      </c>
      <c r="K21" s="129">
        <f>VLOOKUP(tbl_position[[#This Row],[Date]], tbl_SPXS[], 5, 0)</f>
        <v>5.81</v>
      </c>
      <c r="L2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$L20)</f>
        <v>50</v>
      </c>
      <c r="M2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$M20)</f>
        <v>0</v>
      </c>
      <c r="N2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$N20)</f>
        <v>50</v>
      </c>
      <c r="O2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$O20)</f>
        <v>0</v>
      </c>
      <c r="P2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$P20)</f>
        <v>100</v>
      </c>
      <c r="Q2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$Q20)</f>
        <v>0</v>
      </c>
      <c r="R2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$R20)</f>
        <v>100</v>
      </c>
      <c r="S2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$S20)</f>
        <v>50</v>
      </c>
      <c r="T2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$T20)</f>
        <v>800</v>
      </c>
      <c r="U2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$U20)</f>
        <v>0</v>
      </c>
      <c r="V21" s="10">
        <f ca="1" xml:space="preserve"> SUMPRODUCT(INDIRECT(ADDRESS(ROW(V21), 2)):INDIRECT(ADDRESS(ROW(V21), MATCH("Shares_AAPL", pos_header,0)-1)), INDIRECT(ADDRESS(ROW(V21), MATCH("Shares_AAPL", pos_header,0))): INDIRECT(ADDRESS(ROW(V21), MATCH("Shares_Holding", pos_header,0)-1)))</f>
        <v>66732.5</v>
      </c>
      <c r="W21" s="129">
        <f>SUMIFS(tbl_transaction[Net_Cash_Change], tbl_transaction[Transaction_Date],tbl_position[[#This Row],[Date]])+IF(tbl_position[[#This Row],[Date]]=$A$5, 100000, $W20)</f>
        <v>49591.099999999991</v>
      </c>
      <c r="X21" s="11">
        <f>SUMIFS(tbl_transaction[Net_Debt_Change], tbl_transaction[Transaction_Date],tbl_position[[#This Row],[Date]])+IF(tbl_position[[#This Row],[Date]]=$A$5, 0, $X20)</f>
        <v>15208.9</v>
      </c>
      <c r="Y21" s="48">
        <f ca="1">tbl_position[[#This Row],[Shares_Holding]]+tbl_position[[#This Row],[Cash_Holding]]-tbl_position[[#This Row],[Liabilities_Holding]]</f>
        <v>101114.7</v>
      </c>
    </row>
    <row r="22" spans="1:25" x14ac:dyDescent="0.35">
      <c r="A22" s="9">
        <v>44109</v>
      </c>
      <c r="B22" s="10">
        <f>VLOOKUP(tbl_position[[#This Row],[Date]], tbl_AAPL[], 5, 0)</f>
        <v>116.5</v>
      </c>
      <c r="C22" s="127">
        <f>VLOOKUP(tbl_position[[#This Row],[Date]], tbl_RIOT[], 5, 0)</f>
        <v>2.66</v>
      </c>
      <c r="D22" s="10">
        <f>VLOOKUP(tbl_position[[#This Row],[Date]], tbl_HD[], 5, 0)</f>
        <v>282.10000000000002</v>
      </c>
      <c r="E22" s="127">
        <f>VLOOKUP(tbl_position[[#This Row],[Date]], tbl_WMT[], 5, 0)</f>
        <v>141.80000000000001</v>
      </c>
      <c r="F22" s="127">
        <f>VLOOKUP(tbl_position[[#This Row],[Date]], tbl_IBM[], 5, 0)</f>
        <v>122.01</v>
      </c>
      <c r="G22" s="127">
        <f>VLOOKUP(tbl_position[[#This Row],[Date]], tbl_ORCL[], 5, 0)</f>
        <v>59.56</v>
      </c>
      <c r="H22" s="129">
        <f>VLOOKUP(tbl_position[[#This Row],[Date]], tbl_AKRO[], 5, 0)</f>
        <v>29.89</v>
      </c>
      <c r="I22" s="129">
        <f>VLOOKUP(tbl_position[[#This Row],[Date]], tbl_FDX[], 5, 0)</f>
        <v>259.20999999999998</v>
      </c>
      <c r="J22" s="129">
        <f>VLOOKUP(tbl_position[[#This Row],[Date]], tbl_NKLA[], 5, 0)</f>
        <v>23.78</v>
      </c>
      <c r="K22" s="129">
        <f>VLOOKUP(tbl_position[[#This Row],[Date]], tbl_SPXS[], 5, 0)</f>
        <v>5.51</v>
      </c>
      <c r="L2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$L21)</f>
        <v>50</v>
      </c>
      <c r="M2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$M21)</f>
        <v>0</v>
      </c>
      <c r="N2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$N21)</f>
        <v>50</v>
      </c>
      <c r="O2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$O21)</f>
        <v>0</v>
      </c>
      <c r="P2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$P21)</f>
        <v>100</v>
      </c>
      <c r="Q2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$Q21)</f>
        <v>0</v>
      </c>
      <c r="R2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$R21)</f>
        <v>100</v>
      </c>
      <c r="S2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$S21)</f>
        <v>50</v>
      </c>
      <c r="T2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$T21)</f>
        <v>800</v>
      </c>
      <c r="U2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$U21)</f>
        <v>0</v>
      </c>
      <c r="V22" s="10">
        <f ca="1" xml:space="preserve"> SUMPRODUCT(INDIRECT(ADDRESS(ROW(V22), 2)):INDIRECT(ADDRESS(ROW(V22), MATCH("Shares_AAPL", pos_header,0)-1)), INDIRECT(ADDRESS(ROW(V22), MATCH("Shares_AAPL", pos_header,0))): INDIRECT(ADDRESS(ROW(V22), MATCH("Shares_Holding", pos_header,0)-1)))</f>
        <v>67104.5</v>
      </c>
      <c r="W22" s="129">
        <f>SUMIFS(tbl_transaction[Net_Cash_Change], tbl_transaction[Transaction_Date],tbl_position[[#This Row],[Date]])+IF(tbl_position[[#This Row],[Date]]=$A$5, 100000, $W21)</f>
        <v>49591.099999999991</v>
      </c>
      <c r="X22" s="11">
        <f>SUMIFS(tbl_transaction[Net_Debt_Change], tbl_transaction[Transaction_Date],tbl_position[[#This Row],[Date]])+IF(tbl_position[[#This Row],[Date]]=$A$5, 0, $X21)</f>
        <v>15208.9</v>
      </c>
      <c r="Y22" s="48">
        <f ca="1">tbl_position[[#This Row],[Shares_Holding]]+tbl_position[[#This Row],[Cash_Holding]]-tbl_position[[#This Row],[Liabilities_Holding]]</f>
        <v>101486.7</v>
      </c>
    </row>
    <row r="23" spans="1:25" x14ac:dyDescent="0.35">
      <c r="A23" t="s">
        <v>162</v>
      </c>
      <c r="D23" s="46"/>
      <c r="W23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5"/>
  <sheetViews>
    <sheetView topLeftCell="A26" workbookViewId="0">
      <selection activeCell="G45" sqref="G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8" max="8" width="11.1796875" customWidth="1"/>
    <col min="10" max="10" width="11.54296875" customWidth="1"/>
    <col min="11" max="11" width="12" customWidth="1"/>
    <col min="12" max="12" width="11.81640625" customWidth="1"/>
    <col min="13" max="13" width="9.81640625" bestFit="1" customWidth="1"/>
    <col min="15" max="15" width="11.7265625" customWidth="1"/>
    <col min="16" max="16" width="13.26953125" customWidth="1"/>
  </cols>
  <sheetData>
    <row r="1" spans="1:19" ht="21" x14ac:dyDescent="0.5">
      <c r="A1" s="41" t="s">
        <v>74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3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3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3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3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3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3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3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3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3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3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3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3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3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3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3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3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3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3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35">
      <c r="A37" s="8">
        <v>44098</v>
      </c>
      <c r="B37" s="48">
        <v>265.70999999999998</v>
      </c>
      <c r="C37" s="48">
        <v>269.7</v>
      </c>
      <c r="D37" s="48">
        <v>263.88</v>
      </c>
      <c r="E37" s="48">
        <v>265.7</v>
      </c>
      <c r="F37" s="48">
        <v>265.7</v>
      </c>
      <c r="G37">
        <v>3095600</v>
      </c>
      <c r="H37" s="10">
        <f>IF(tbl_HD[[#This Row],[Date]]=$A$5, $F37, EMA_Beta*$H36 + (1-EMA_Beta)*$F37)</f>
        <v>275.6531498348794</v>
      </c>
      <c r="I37" s="46">
        <f ca="1">IF(tbl_HD[[#This Row],[RS]]= "", "", 100-(100/(1+tbl_HD[[#This Row],[RS]])))</f>
        <v>41.441428938990988</v>
      </c>
      <c r="J37" s="10">
        <f ca="1">IF(ROW($N37)-4&lt;BB_Periods, "", AVERAGE(INDIRECT(ADDRESS(ROW($F37)-RSI_Periods +1, MATCH("Adj Close", Price_Header,0))): INDIRECT(ADDRESS(ROW($F37),MATCH("Adj Close", Price_Header,0)))))</f>
        <v>274.70785707142858</v>
      </c>
      <c r="K37" s="127">
        <f ca="1">IF(tbl_HD[[#This Row],[BB_Mean]]="", "", tbl_HD[[#This Row],[BB_Mean]]+(BB_Width*tbl_HD[[#This Row],[BB_Stdev]]))</f>
        <v>286.49719852482912</v>
      </c>
      <c r="L37" s="127">
        <f ca="1">IF(tbl_HD[[#This Row],[BB_Mean]]="", "", tbl_HD[[#This Row],[BB_Mean]]-(BB_Width*tbl_HD[[#This Row],[BB_Stdev]]))</f>
        <v>262.91851561802804</v>
      </c>
      <c r="M37" s="46">
        <f>IF(ROW(tbl_HD[[#This Row],[Adj Close]])=5, 0, $F37-$F36)</f>
        <v>-0.85000000000002274</v>
      </c>
      <c r="N37" s="46">
        <f>MAX(tbl_HD[[#This Row],[Move]],0)</f>
        <v>0</v>
      </c>
      <c r="O37" s="46">
        <f>MAX(-tbl_HD[[#This Row],[Move]],0)</f>
        <v>0.85000000000002274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2.1821413571428536</v>
      </c>
      <c r="R37" s="46">
        <f ca="1">IF(tbl_HD[[#This Row],[Avg_Upmove]]="", "", tbl_HD[[#This Row],[Avg_Upmove]]/tbl_HD[[#This Row],[Avg_Downmove]])</f>
        <v>0.70769194309429784</v>
      </c>
      <c r="S37" s="10">
        <f ca="1">IF(ROW($N37)-4&lt;BB_Periods, "", _xlfn.STDEV.S(INDIRECT(ADDRESS(ROW($F37)-RSI_Periods +1, MATCH("Adj Close", Price_Header,0))): INDIRECT(ADDRESS(ROW($F37),MATCH("Adj Close", Price_Header,0)))))</f>
        <v>5.8946707267002596</v>
      </c>
    </row>
    <row r="38" spans="1:19" x14ac:dyDescent="0.35">
      <c r="A38" s="8">
        <v>44099</v>
      </c>
      <c r="B38" s="48">
        <v>264.19</v>
      </c>
      <c r="C38" s="48">
        <v>270.14999999999998</v>
      </c>
      <c r="D38" s="48">
        <v>263.92</v>
      </c>
      <c r="E38" s="48">
        <v>268.55</v>
      </c>
      <c r="F38" s="48">
        <v>268.55</v>
      </c>
      <c r="G38">
        <v>2457700</v>
      </c>
      <c r="H38" s="10">
        <f>IF(tbl_HD[[#This Row],[Date]]=$A$5, $F38, EMA_Beta*$H37 + (1-EMA_Beta)*$F38)</f>
        <v>274.94283485139147</v>
      </c>
      <c r="I38" s="46">
        <f ca="1">IF(tbl_HD[[#This Row],[RS]]= "", "", 100-(100/(1+tbl_HD[[#This Row],[RS]])))</f>
        <v>48.891103831628051</v>
      </c>
      <c r="J38" s="10">
        <f ca="1">IF(ROW($N38)-4&lt;BB_Periods, "", AVERAGE(INDIRECT(ADDRESS(ROW($F38)-RSI_Periods +1, MATCH("Adj Close", Price_Header,0))): INDIRECT(ADDRESS(ROW($F38),MATCH("Adj Close", Price_Header,0)))))</f>
        <v>274.62857107142861</v>
      </c>
      <c r="K38" s="127">
        <f ca="1">IF(tbl_HD[[#This Row],[BB_Mean]]="", "", tbl_HD[[#This Row],[BB_Mean]]+(BB_Width*tbl_HD[[#This Row],[BB_Stdev]]))</f>
        <v>286.57799312369139</v>
      </c>
      <c r="L38" s="127">
        <f ca="1">IF(tbl_HD[[#This Row],[BB_Mean]]="", "", tbl_HD[[#This Row],[BB_Mean]]-(BB_Width*tbl_HD[[#This Row],[BB_Stdev]]))</f>
        <v>262.67914901916583</v>
      </c>
      <c r="M38" s="46">
        <f>IF(ROW(tbl_HD[[#This Row],[Adj Close]])=5, 0, $F38-$F37)</f>
        <v>2.8500000000000227</v>
      </c>
      <c r="N38" s="46">
        <f>MAX(tbl_HD[[#This Row],[Move]],0)</f>
        <v>2.8500000000000227</v>
      </c>
      <c r="O38" s="46">
        <f>MAX(-tbl_HD[[#This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1.7478552857142842</v>
      </c>
      <c r="Q38" s="46">
        <f ca="1">IF(ROW($O38)-5&lt;RSI_Periods, "", AVERAGE(INDIRECT(ADDRESS(ROW($O38)-RSI_Periods +1, MATCH("Downmove", Price_Header,0))): INDIRECT(ADDRESS(ROW($O38),MATCH("Downmove", Price_Header,0)))))</f>
        <v>1.8271412857142846</v>
      </c>
      <c r="R38" s="46">
        <f ca="1">IF(tbl_HD[[#This Row],[Avg_Upmove]]="", "", tbl_HD[[#This Row],[Avg_Upmove]]/tbl_HD[[#This Row],[Avg_Downmove]])</f>
        <v>0.95660653031054188</v>
      </c>
      <c r="S38" s="10">
        <f ca="1">IF(ROW($N38)-4&lt;BB_Periods, "", _xlfn.STDEV.S(INDIRECT(ADDRESS(ROW($F38)-RSI_Periods +1, MATCH("Adj Close", Price_Header,0))): INDIRECT(ADDRESS(ROW($F38),MATCH("Adj Close", Price_Header,0)))))</f>
        <v>5.9747110261313932</v>
      </c>
    </row>
    <row r="39" spans="1:19" x14ac:dyDescent="0.35">
      <c r="A39" s="8">
        <v>44102</v>
      </c>
      <c r="B39" s="48">
        <v>271.93</v>
      </c>
      <c r="C39" s="48">
        <v>274.22000000000003</v>
      </c>
      <c r="D39" s="48">
        <v>270.3</v>
      </c>
      <c r="E39" s="48">
        <v>272.33</v>
      </c>
      <c r="F39" s="48">
        <v>272.33</v>
      </c>
      <c r="G39">
        <v>3061100</v>
      </c>
      <c r="H39" s="10">
        <f>IF(tbl_HD[[#This Row],[Date]]=$A$5, $F39, EMA_Beta*$H38 + (1-EMA_Beta)*$F39)</f>
        <v>274.68155136625234</v>
      </c>
      <c r="I39" s="46">
        <f ca="1">IF(tbl_HD[[#This Row],[RS]]= "", "", 100-(100/(1+tbl_HD[[#This Row],[RS]])))</f>
        <v>52.872910736706892</v>
      </c>
      <c r="J39" s="10">
        <f ca="1">IF(ROW($N39)-4&lt;BB_Periods, "", AVERAGE(INDIRECT(ADDRESS(ROW($F39)-RSI_Periods +1, MATCH("Adj Close", Price_Header,0))): INDIRECT(ADDRESS(ROW($F39),MATCH("Adj Close", Price_Header,0)))))</f>
        <v>274.84785607142857</v>
      </c>
      <c r="K39" s="127">
        <f ca="1">IF(tbl_HD[[#This Row],[BB_Mean]]="", "", tbl_HD[[#This Row],[BB_Mean]]+(BB_Width*tbl_HD[[#This Row],[BB_Stdev]]))</f>
        <v>286.48138866846745</v>
      </c>
      <c r="L39" s="127">
        <f ca="1">IF(tbl_HD[[#This Row],[BB_Mean]]="", "", tbl_HD[[#This Row],[BB_Mean]]-(BB_Width*tbl_HD[[#This Row],[BB_Stdev]]))</f>
        <v>263.21432347438969</v>
      </c>
      <c r="M39" s="46">
        <f>IF(ROW(tbl_HD[[#This Row],[Adj Close]])=5, 0, $F39-$F38)</f>
        <v>3.7799999999999727</v>
      </c>
      <c r="N39" s="46">
        <f>MAX(tbl_HD[[#This Row],[Move]],0)</f>
        <v>3.7799999999999727</v>
      </c>
      <c r="O39" s="46">
        <f>MAX(-tbl_HD[[#This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2.0178552857142824</v>
      </c>
      <c r="Q39" s="46">
        <f ca="1">IF(ROW($O39)-5&lt;RSI_Periods, "", AVERAGE(INDIRECT(ADDRESS(ROW($O39)-RSI_Periods +1, MATCH("Downmove", Price_Header,0))): INDIRECT(ADDRESS(ROW($O39),MATCH("Downmove", Price_Header,0)))))</f>
        <v>1.7985702857142851</v>
      </c>
      <c r="R39" s="46">
        <f ca="1">IF(tbl_HD[[#This Row],[Avg_Upmove]]="", "", tbl_HD[[#This Row],[Avg_Upmove]]/tbl_HD[[#This Row],[Avg_Downmove]])</f>
        <v>1.1219218407763867</v>
      </c>
      <c r="S39" s="10">
        <f ca="1">IF(ROW($N39)-4&lt;BB_Periods, "", _xlfn.STDEV.S(INDIRECT(ADDRESS(ROW($F39)-RSI_Periods +1, MATCH("Adj Close", Price_Header,0))): INDIRECT(ADDRESS(ROW($F39),MATCH("Adj Close", Price_Header,0)))))</f>
        <v>5.8167662985194317</v>
      </c>
    </row>
    <row r="40" spans="1:19" x14ac:dyDescent="0.35">
      <c r="A40" s="8">
        <v>44103</v>
      </c>
      <c r="B40" s="48">
        <v>273.39999999999998</v>
      </c>
      <c r="C40" s="48">
        <v>273.83999999999997</v>
      </c>
      <c r="D40" s="48">
        <v>271.11</v>
      </c>
      <c r="E40" s="48">
        <v>272.11</v>
      </c>
      <c r="F40" s="48">
        <v>272.11</v>
      </c>
      <c r="G40">
        <v>2048900</v>
      </c>
      <c r="H40" s="10">
        <f>IF(tbl_HD[[#This Row],[Date]]=$A$5, $F40, EMA_Beta*$H39 + (1-EMA_Beta)*$F40)</f>
        <v>274.42439622962712</v>
      </c>
      <c r="I40" s="46">
        <f ca="1">IF(tbl_HD[[#This Row],[RS]]= "", "", 100-(100/(1+tbl_HD[[#This Row],[RS]])))</f>
        <v>44.626102674301507</v>
      </c>
      <c r="J40" s="10">
        <f ca="1">IF(ROW($N40)-4&lt;BB_Periods, "", AVERAGE(INDIRECT(ADDRESS(ROW($F40)-RSI_Periods +1, MATCH("Adj Close", Price_Header,0))): INDIRECT(ADDRESS(ROW($F40),MATCH("Adj Close", Price_Header,0)))))</f>
        <v>274.49571257142856</v>
      </c>
      <c r="K40" s="127">
        <f ca="1">IF(tbl_HD[[#This Row],[BB_Mean]]="", "", tbl_HD[[#This Row],[BB_Mean]]+(BB_Width*tbl_HD[[#This Row],[BB_Stdev]]))</f>
        <v>286.14185769809552</v>
      </c>
      <c r="L40" s="127">
        <f ca="1">IF(tbl_HD[[#This Row],[BB_Mean]]="", "", tbl_HD[[#This Row],[BB_Mean]]-(BB_Width*tbl_HD[[#This Row],[BB_Stdev]]))</f>
        <v>262.84956744476159</v>
      </c>
      <c r="M40" s="46">
        <f>IF(ROW(tbl_HD[[#This Row],[Adj Close]])=5, 0, $F40-$F39)</f>
        <v>-0.21999999999997044</v>
      </c>
      <c r="N40" s="46">
        <f>MAX(tbl_HD[[#This Row],[Move]],0)</f>
        <v>0</v>
      </c>
      <c r="O40" s="46">
        <f>MAX(-tbl_HD[[#This Row],[Move]],0)</f>
        <v>0.21999999999997044</v>
      </c>
      <c r="P40" s="46">
        <f ca="1">IF(ROW($N40)-5&lt;RSI_Periods, "", AVERAGE(INDIRECT(ADDRESS(ROW($N40)-RSI_Periods +1, MATCH("Upmove", Price_Header,0))): INDIRECT(ADDRESS(ROW($N40),MATCH("Upmove", Price_Header,0)))))</f>
        <v>1.4621410714285699</v>
      </c>
      <c r="Q40" s="46">
        <f ca="1">IF(ROW($O40)-5&lt;RSI_Periods, "", AVERAGE(INDIRECT(ADDRESS(ROW($O40)-RSI_Periods +1, MATCH("Downmove", Price_Header,0))): INDIRECT(ADDRESS(ROW($O40),MATCH("Downmove", Price_Header,0)))))</f>
        <v>1.8142845714285687</v>
      </c>
      <c r="R40" s="46">
        <f ca="1">IF(tbl_HD[[#This Row],[Avg_Upmove]]="", "", tbl_HD[[#This Row],[Avg_Upmove]]/tbl_HD[[#This Row],[Avg_Downmove]])</f>
        <v>0.80590503521577062</v>
      </c>
      <c r="S40" s="10">
        <f ca="1">IF(ROW($N40)-4&lt;BB_Periods, "", _xlfn.STDEV.S(INDIRECT(ADDRESS(ROW($F40)-RSI_Periods +1, MATCH("Adj Close", Price_Header,0))): INDIRECT(ADDRESS(ROW($F40),MATCH("Adj Close", Price_Header,0)))))</f>
        <v>5.8230725633334695</v>
      </c>
    </row>
    <row r="41" spans="1:19" x14ac:dyDescent="0.35">
      <c r="A41" s="8">
        <v>44104</v>
      </c>
      <c r="B41" s="48">
        <v>273.48</v>
      </c>
      <c r="C41" s="48">
        <v>279.92</v>
      </c>
      <c r="D41" s="48">
        <v>272.52</v>
      </c>
      <c r="E41" s="48">
        <v>277.70999999999998</v>
      </c>
      <c r="F41" s="48">
        <v>277.70999999999998</v>
      </c>
      <c r="G41">
        <v>4778800</v>
      </c>
      <c r="H41" s="10">
        <f>IF(tbl_HD[[#This Row],[Date]]=$A$5, $F41, EMA_Beta*$H40 + (1-EMA_Beta)*$F41)</f>
        <v>274.75295660666444</v>
      </c>
      <c r="I41" s="46">
        <f ca="1">IF(tbl_HD[[#This Row],[RS]]= "", "", 100-(100/(1+tbl_HD[[#This Row],[RS]])))</f>
        <v>55.315077487225615</v>
      </c>
      <c r="J41" s="10">
        <f ca="1">IF(ROW($N41)-4&lt;BB_Periods, "", AVERAGE(INDIRECT(ADDRESS(ROW($F41)-RSI_Periods +1, MATCH("Adj Close", Price_Header,0))): INDIRECT(ADDRESS(ROW($F41),MATCH("Adj Close", Price_Header,0)))))</f>
        <v>274.85356885714288</v>
      </c>
      <c r="K41" s="127">
        <f ca="1">IF(tbl_HD[[#This Row],[BB_Mean]]="", "", tbl_HD[[#This Row],[BB_Mean]]+(BB_Width*tbl_HD[[#This Row],[BB_Stdev]]))</f>
        <v>286.5697051387005</v>
      </c>
      <c r="L41" s="127">
        <f ca="1">IF(tbl_HD[[#This Row],[BB_Mean]]="", "", tbl_HD[[#This Row],[BB_Mean]]-(BB_Width*tbl_HD[[#This Row],[BB_Stdev]]))</f>
        <v>263.13743257558525</v>
      </c>
      <c r="M41" s="46">
        <f>IF(ROW(tbl_HD[[#This Row],[Adj Close]])=5, 0, $F41-$F40)</f>
        <v>5.5999999999999659</v>
      </c>
      <c r="N41" s="46">
        <f>MAX(tbl_HD[[#This Row],[Move]],0)</f>
        <v>5.5999999999999659</v>
      </c>
      <c r="O41" s="46">
        <f>MAX(-tbl_HD[[#This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1.8621410714285673</v>
      </c>
      <c r="Q41" s="46">
        <f ca="1">IF(ROW($O41)-5&lt;RSI_Periods, "", AVERAGE(INDIRECT(ADDRESS(ROW($O41)-RSI_Periods +1, MATCH("Downmove", Price_Header,0))): INDIRECT(ADDRESS(ROW($O41),MATCH("Downmove", Price_Header,0)))))</f>
        <v>1.5042847857142843</v>
      </c>
      <c r="R41" s="46">
        <f ca="1">IF(tbl_HD[[#This Row],[Avg_Upmove]]="", "", tbl_HD[[#This Row],[Avg_Upmove]]/tbl_HD[[#This Row],[Avg_Downmove]])</f>
        <v>1.2378913149376574</v>
      </c>
      <c r="S41" s="10">
        <f ca="1">IF(ROW($N41)-4&lt;BB_Periods, "", _xlfn.STDEV.S(INDIRECT(ADDRESS(ROW($F41)-RSI_Periods +1, MATCH("Adj Close", Price_Header,0))): INDIRECT(ADDRESS(ROW($F41),MATCH("Adj Close", Price_Header,0)))))</f>
        <v>5.8580681407788191</v>
      </c>
    </row>
    <row r="42" spans="1:19" x14ac:dyDescent="0.35">
      <c r="A42" s="8">
        <v>44105</v>
      </c>
      <c r="B42" s="48">
        <v>279.44</v>
      </c>
      <c r="C42" s="48">
        <v>280</v>
      </c>
      <c r="D42" s="48">
        <v>275.85000000000002</v>
      </c>
      <c r="E42" s="48">
        <v>277.62</v>
      </c>
      <c r="F42" s="48">
        <v>277.62</v>
      </c>
      <c r="G42">
        <v>2696900</v>
      </c>
      <c r="H42" s="10">
        <f>IF(tbl_HD[[#This Row],[Date]]=$A$5, $F42, EMA_Beta*$H41 + (1-EMA_Beta)*$F42)</f>
        <v>275.03966094599798</v>
      </c>
      <c r="I42" s="46">
        <f ca="1">IF(tbl_HD[[#This Row],[RS]]= "", "", 100-(100/(1+tbl_HD[[#This Row],[RS]])))</f>
        <v>51.479712531228785</v>
      </c>
      <c r="J42" s="10">
        <f ca="1">IF(ROW($N42)-4&lt;BB_Periods, "", AVERAGE(INDIRECT(ADDRESS(ROW($F42)-RSI_Periods +1, MATCH("Adj Close", Price_Header,0))): INDIRECT(ADDRESS(ROW($F42),MATCH("Adj Close", Price_Header,0)))))</f>
        <v>274.94571264285713</v>
      </c>
      <c r="K42" s="127">
        <f ca="1">IF(tbl_HD[[#This Row],[BB_Mean]]="", "", tbl_HD[[#This Row],[BB_Mean]]+(BB_Width*tbl_HD[[#This Row],[BB_Stdev]]))</f>
        <v>286.73194939465009</v>
      </c>
      <c r="L42" s="127">
        <f ca="1">IF(tbl_HD[[#This Row],[BB_Mean]]="", "", tbl_HD[[#This Row],[BB_Mean]]-(BB_Width*tbl_HD[[#This Row],[BB_Stdev]]))</f>
        <v>263.15947589106418</v>
      </c>
      <c r="M42" s="46">
        <f>IF(ROW(tbl_HD[[#This Row],[Adj Close]])=5, 0, $F42-$F41)</f>
        <v>-8.9999999999974989E-2</v>
      </c>
      <c r="N42" s="46">
        <f>MAX(tbl_HD[[#This Row],[Move]],0)</f>
        <v>0</v>
      </c>
      <c r="O42" s="46">
        <f>MAX(-tbl_HD[[#This Row],[Move]],0)</f>
        <v>8.9999999999974989E-2</v>
      </c>
      <c r="P42" s="46">
        <f ca="1">IF(ROW($N42)-5&lt;RSI_Periods, "", AVERAGE(INDIRECT(ADDRESS(ROW($N42)-RSI_Periods +1, MATCH("Upmove", Price_Header,0))): INDIRECT(ADDRESS(ROW($N42),MATCH("Upmove", Price_Header,0)))))</f>
        <v>1.6028571428571385</v>
      </c>
      <c r="Q42" s="46">
        <f ca="1">IF(ROW($O42)-5&lt;RSI_Periods, "", AVERAGE(INDIRECT(ADDRESS(ROW($O42)-RSI_Periods +1, MATCH("Downmove", Price_Header,0))): INDIRECT(ADDRESS(ROW($O42),MATCH("Downmove", Price_Header,0)))))</f>
        <v>1.5107133571428537</v>
      </c>
      <c r="R42" s="46">
        <f ca="1">IF(tbl_HD[[#This Row],[Avg_Upmove]]="", "", tbl_HD[[#This Row],[Avg_Upmove]]/tbl_HD[[#This Row],[Avg_Downmove]])</f>
        <v>1.0609935599487599</v>
      </c>
      <c r="S42" s="10">
        <f ca="1">IF(ROW($N42)-4&lt;BB_Periods, "", _xlfn.STDEV.S(INDIRECT(ADDRESS(ROW($F42)-RSI_Periods +1, MATCH("Adj Close", Price_Header,0))): INDIRECT(ADDRESS(ROW($F42),MATCH("Adj Close", Price_Header,0)))))</f>
        <v>5.8931183758964742</v>
      </c>
    </row>
    <row r="43" spans="1:19" x14ac:dyDescent="0.35">
      <c r="A43" s="8">
        <v>44106</v>
      </c>
      <c r="B43" s="48">
        <v>274.94</v>
      </c>
      <c r="C43" s="48">
        <v>281.08</v>
      </c>
      <c r="D43" s="48">
        <v>274.10000000000002</v>
      </c>
      <c r="E43" s="48">
        <v>279.31</v>
      </c>
      <c r="F43" s="48">
        <v>279.31</v>
      </c>
      <c r="G43">
        <v>2943600</v>
      </c>
      <c r="H43" s="10">
        <f>IF(tbl_HD[[#This Row],[Date]]=$A$5, $F43, EMA_Beta*$H42 + (1-EMA_Beta)*$F43)</f>
        <v>275.46669485139819</v>
      </c>
      <c r="I43" s="46">
        <f ca="1">IF(tbl_HD[[#This Row],[RS]]= "", "", 100-(100/(1+tbl_HD[[#This Row],[RS]])))</f>
        <v>48.364264338019701</v>
      </c>
      <c r="J43" s="10">
        <f ca="1">IF(ROW($N43)-4&lt;BB_Periods, "", AVERAGE(INDIRECT(ADDRESS(ROW($F43)-RSI_Periods +1, MATCH("Adj Close", Price_Header,0))): INDIRECT(ADDRESS(ROW($F43),MATCH("Adj Close", Price_Header,0)))))</f>
        <v>274.84999878571432</v>
      </c>
      <c r="K43" s="127">
        <f ca="1">IF(tbl_HD[[#This Row],[BB_Mean]]="", "", tbl_HD[[#This Row],[BB_Mean]]+(BB_Width*tbl_HD[[#This Row],[BB_Stdev]]))</f>
        <v>286.45709074034079</v>
      </c>
      <c r="L43" s="127">
        <f ca="1">IF(tbl_HD[[#This Row],[BB_Mean]]="", "", tbl_HD[[#This Row],[BB_Mean]]-(BB_Width*tbl_HD[[#This Row],[BB_Stdev]]))</f>
        <v>263.24290683108785</v>
      </c>
      <c r="M43" s="46">
        <f>IF(ROW(tbl_HD[[#This Row],[Adj Close]])=5, 0, $F43-$F42)</f>
        <v>1.6899999999999977</v>
      </c>
      <c r="N43" s="46">
        <f>MAX(tbl_HD[[#This Row],[Move]],0)</f>
        <v>1.6899999999999977</v>
      </c>
      <c r="O43" s="46">
        <f>MAX(-tbl_HD[[#This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1.4149994999999973</v>
      </c>
      <c r="Q43" s="46">
        <f ca="1">IF(ROW($O43)-5&lt;RSI_Periods, "", AVERAGE(INDIRECT(ADDRESS(ROW($O43)-RSI_Periods +1, MATCH("Downmove", Price_Header,0))): INDIRECT(ADDRESS(ROW($O43),MATCH("Downmove", Price_Header,0)))))</f>
        <v>1.5107133571428537</v>
      </c>
      <c r="R43" s="46">
        <f ca="1">IF(tbl_HD[[#This Row],[Avg_Upmove]]="", "", tbl_HD[[#This Row],[Avg_Upmove]]/tbl_HD[[#This Row],[Avg_Downmove]])</f>
        <v>0.93664327075000131</v>
      </c>
      <c r="S43" s="10">
        <f ca="1">IF(ROW($N43)-4&lt;BB_Periods, "", _xlfn.STDEV.S(INDIRECT(ADDRESS(ROW($F43)-RSI_Periods +1, MATCH("Adj Close", Price_Header,0))): INDIRECT(ADDRESS(ROW($F43),MATCH("Adj Close", Price_Header,0)))))</f>
        <v>5.8035459773132478</v>
      </c>
    </row>
    <row r="44" spans="1:19" x14ac:dyDescent="0.35">
      <c r="A44" s="8">
        <v>44109</v>
      </c>
      <c r="B44" s="48">
        <v>280.92</v>
      </c>
      <c r="C44" s="48">
        <v>282.42</v>
      </c>
      <c r="D44" s="48">
        <v>279.7</v>
      </c>
      <c r="E44" s="48">
        <v>282.10000000000002</v>
      </c>
      <c r="F44" s="48">
        <v>282.10000000000002</v>
      </c>
      <c r="G44">
        <v>2328700</v>
      </c>
      <c r="H44" s="10">
        <f>IF(tbl_HD[[#This Row],[Date]]=$A$5, $F44, EMA_Beta*$H43 + (1-EMA_Beta)*$F44)</f>
        <v>276.13002536625839</v>
      </c>
      <c r="I44" s="46">
        <f ca="1">IF(tbl_HD[[#This Row],[RS]]= "", "", 100-(100/(1+tbl_HD[[#This Row],[RS]])))</f>
        <v>45.517789586070705</v>
      </c>
      <c r="J44" s="10">
        <f ca="1">IF(ROW($N44)-4&lt;BB_Periods, "", AVERAGE(INDIRECT(ADDRESS(ROW($F44)-RSI_Periods +1, MATCH("Adj Close", Price_Header,0))): INDIRECT(ADDRESS(ROW($F44),MATCH("Adj Close", Price_Header,0)))))</f>
        <v>274.60142828571429</v>
      </c>
      <c r="K44" s="127">
        <f ca="1">IF(tbl_HD[[#This Row],[BB_Mean]]="", "", tbl_HD[[#This Row],[BB_Mean]]+(BB_Width*tbl_HD[[#This Row],[BB_Stdev]]))</f>
        <v>285.33483759798071</v>
      </c>
      <c r="L44" s="127">
        <f ca="1">IF(tbl_HD[[#This Row],[BB_Mean]]="", "", tbl_HD[[#This Row],[BB_Mean]]-(BB_Width*tbl_HD[[#This Row],[BB_Stdev]]))</f>
        <v>263.86801897344787</v>
      </c>
      <c r="M44" s="46">
        <f>IF(ROW(tbl_HD[[#This Row],[Adj Close]])=5, 0, $F44-$F43)</f>
        <v>2.7900000000000205</v>
      </c>
      <c r="N44" s="46">
        <f>MAX(tbl_HD[[#This Row],[Move]],0)</f>
        <v>2.7900000000000205</v>
      </c>
      <c r="O44" s="46">
        <f>MAX(-tbl_HD[[#This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1.2621428571428541</v>
      </c>
      <c r="Q44" s="46">
        <f ca="1">IF(ROW($O44)-5&lt;RSI_Periods, "", AVERAGE(INDIRECT(ADDRESS(ROW($O44)-RSI_Periods +1, MATCH("Downmove", Price_Header,0))): INDIRECT(ADDRESS(ROW($O44),MATCH("Downmove", Price_Header,0)))))</f>
        <v>1.5107133571428537</v>
      </c>
      <c r="R44" s="46">
        <f ca="1">IF(tbl_HD[[#This Row],[Avg_Upmove]]="", "", tbl_HD[[#This Row],[Avg_Upmove]]/tbl_HD[[#This Row],[Avg_Downmove]])</f>
        <v>0.83546150643024031</v>
      </c>
      <c r="S44" s="10">
        <f ca="1">IF(ROW($N44)-4&lt;BB_Periods, "", _xlfn.STDEV.S(INDIRECT(ADDRESS(ROW($F44)-RSI_Periods +1, MATCH("Adj Close", Price_Header,0))): INDIRECT(ADDRESS(ROW($F44),MATCH("Adj Close", Price_Header,0)))))</f>
        <v>5.3667046561332121</v>
      </c>
    </row>
    <row r="45" spans="1:19" x14ac:dyDescent="0.35">
      <c r="A45" t="s">
        <v>162</v>
      </c>
      <c r="H45" s="61"/>
      <c r="J45" s="61"/>
      <c r="K45" s="61"/>
      <c r="L45" s="61"/>
      <c r="S45" s="61">
        <f ca="1">SUBTOTAL(103,tbl_HD[BB_Stdev])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5"/>
  <sheetViews>
    <sheetView topLeftCell="A25" workbookViewId="0">
      <selection activeCell="G45" sqref="G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2" customWidth="1"/>
    <col min="11" max="11" width="11.1796875" customWidth="1"/>
    <col min="12" max="12" width="12.26953125" customWidth="1"/>
    <col min="14" max="14" width="10.7265625" customWidth="1"/>
    <col min="15" max="15" width="9.7265625" customWidth="1"/>
    <col min="16" max="16" width="11.1796875" customWidth="1"/>
    <col min="17" max="17" width="10.54296875" customWidth="1"/>
    <col min="19" max="19" width="10.453125" customWidth="1"/>
  </cols>
  <sheetData>
    <row r="1" spans="1:19" ht="21" x14ac:dyDescent="0.5">
      <c r="A1" s="41" t="s">
        <v>166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3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3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3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3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3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3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3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3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3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3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3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3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3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3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3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7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7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7">
        <f ca="1">IF(tbl_AAPL[[#This Row],[BB_Mean]]="", "", tbl_AAPL[[#This Row],[BB_Mean]]+(BB_Width*tbl_AAPL[[#This Row],[BB_Stdev]]))</f>
        <v>134.61259464741335</v>
      </c>
      <c r="L33" s="127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3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7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7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7">
        <f ca="1">IF(tbl_AAPL[[#This Row],[BB_Mean]]="", "", tbl_AAPL[[#This Row],[BB_Mean]]+(BB_Width*tbl_AAPL[[#This Row],[BB_Stdev]]))</f>
        <v>132.46000725928621</v>
      </c>
      <c r="L34" s="127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3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7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7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7">
        <f ca="1">IF(tbl_AAPL[[#This Row],[BB_Mean]]="", "", tbl_AAPL[[#This Row],[BB_Mean]]+(BB_Width*tbl_AAPL[[#This Row],[BB_Stdev]]))</f>
        <v>127.36994506453769</v>
      </c>
      <c r="L35" s="127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3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7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7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7">
        <f ca="1">IF(tbl_AAPL[[#This Row],[BB_Mean]]="", "", tbl_AAPL[[#This Row],[BB_Mean]]+(BB_Width*tbl_AAPL[[#This Row],[BB_Stdev]]))</f>
        <v>122.03753515786215</v>
      </c>
      <c r="L36" s="127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35">
      <c r="A37" s="8">
        <v>44098</v>
      </c>
      <c r="B37" s="10">
        <v>105.17</v>
      </c>
      <c r="C37" s="10">
        <v>110.25</v>
      </c>
      <c r="D37" s="10">
        <v>105</v>
      </c>
      <c r="E37" s="10">
        <v>108.22</v>
      </c>
      <c r="F37" s="10">
        <v>108.22</v>
      </c>
      <c r="G37">
        <v>167743300</v>
      </c>
      <c r="H37" s="127">
        <f>IF(tbl_AAPL[[#This Row],[Date]]=$A$5, $F37, EMA_Beta*$H36 + (1-EMA_Beta)*$F37)</f>
        <v>113.77375796571515</v>
      </c>
      <c r="I37" s="50">
        <f ca="1">IF(tbl_AAPL[[#This Row],[RS]]= "", "", 100-(100/(1+tbl_AAPL[[#This Row],[RS]])))</f>
        <v>34.576028174266938</v>
      </c>
      <c r="J37" s="127">
        <f ca="1">IF(ROW($N37)-4&lt;BB_Periods, "", AVERAGE(INDIRECT(ADDRESS(ROW($F37)-RSI_Periods +1, MATCH("Adj Close", Price_Header,0))): INDIRECT(ADDRESS(ROW($F37),MATCH("Adj Close", Price_Header,0)))))</f>
        <v>112.43071371428572</v>
      </c>
      <c r="K37" s="127">
        <f ca="1">IF(tbl_AAPL[[#This Row],[BB_Mean]]="", "", tbl_AAPL[[#This Row],[BB_Mean]]+(BB_Width*tbl_AAPL[[#This Row],[BB_Stdev]]))</f>
        <v>120.35193938029704</v>
      </c>
      <c r="L37" s="127">
        <f ca="1">IF(tbl_AAPL[[#This Row],[BB_Mean]]="", "", tbl_AAPL[[#This Row],[BB_Mean]]-(BB_Width*tbl_AAPL[[#This Row],[BB_Stdev]]))</f>
        <v>104.50948804827439</v>
      </c>
      <c r="M37" s="50">
        <f>IF(ROW(tbl_AAPL[[#This Row],[Adj Close]])=5, 0, $F37-$F36)</f>
        <v>1.0999999999999943</v>
      </c>
      <c r="N37" s="50">
        <f>MAX(tbl_AAPL[[#This Row],[Move]],0)</f>
        <v>1.0999999999999943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1.0135716428571422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0.52849173184357512</v>
      </c>
      <c r="S37" s="50">
        <f ca="1">IF(ROW($N37)-4&lt;BB_Periods, "", _xlfn.STDEV.S(INDIRECT(ADDRESS(ROW($F37)-RSI_Periods +1, MATCH("Adj Close", Price_Header,0))): INDIRECT(ADDRESS(ROW($F37),MATCH("Adj Close", Price_Header,0)))))</f>
        <v>3.9606128330056611</v>
      </c>
    </row>
    <row r="38" spans="1:19" x14ac:dyDescent="0.35">
      <c r="A38" s="8">
        <v>44099</v>
      </c>
      <c r="B38" s="10">
        <v>108.43</v>
      </c>
      <c r="C38" s="10">
        <v>112.44</v>
      </c>
      <c r="D38" s="10">
        <v>107.67</v>
      </c>
      <c r="E38" s="10">
        <v>112.28</v>
      </c>
      <c r="F38" s="10">
        <v>112.28</v>
      </c>
      <c r="G38">
        <v>149981400</v>
      </c>
      <c r="H38" s="127">
        <f>IF(tbl_AAPL[[#This Row],[Date]]=$A$5, $F38, EMA_Beta*$H37 + (1-EMA_Beta)*$F38)</f>
        <v>113.62438216914363</v>
      </c>
      <c r="I38" s="50">
        <f ca="1">IF(tbl_AAPL[[#This Row],[RS]]= "", "", 100-(100/(1+tbl_AAPL[[#This Row],[RS]])))</f>
        <v>40.359841395827608</v>
      </c>
      <c r="J38" s="127">
        <f ca="1">IF(ROW($N38)-4&lt;BB_Periods, "", AVERAGE(INDIRECT(ADDRESS(ROW($F38)-RSI_Periods +1, MATCH("Adj Close", Price_Header,0))): INDIRECT(ADDRESS(ROW($F38),MATCH("Adj Close", Price_Header,0)))))</f>
        <v>111.81071378571427</v>
      </c>
      <c r="K38" s="127">
        <f ca="1">IF(tbl_AAPL[[#This Row],[BB_Mean]]="", "", tbl_AAPL[[#This Row],[BB_Mean]]+(BB_Width*tbl_AAPL[[#This Row],[BB_Stdev]]))</f>
        <v>118.03266773424127</v>
      </c>
      <c r="L38" s="127">
        <f ca="1">IF(tbl_AAPL[[#This Row],[BB_Mean]]="", "", tbl_AAPL[[#This Row],[BB_Mean]]-(BB_Width*tbl_AAPL[[#This Row],[BB_Stdev]]))</f>
        <v>105.58875983718727</v>
      </c>
      <c r="M38" s="50">
        <f>IF(ROW(tbl_AAPL[[#This Row],[Adj Close]])=5, 0, $F38-$F37)</f>
        <v>4.0600000000000023</v>
      </c>
      <c r="N38" s="50">
        <f>MAX(tbl_AAPL[[#This Row],[Move]],0)</f>
        <v>4.0600000000000023</v>
      </c>
      <c r="O38" s="50">
        <f>MAX(-tbl_AAPL[[#This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1.2978572142857143</v>
      </c>
      <c r="Q38" s="50">
        <f ca="1">IF(ROW($O38)-5&lt;RSI_Periods, "", AVERAGE(INDIRECT(ADDRESS(ROW($O38)-RSI_Periods +1, MATCH("Downmove", Price_Header,0))): INDIRECT(ADDRESS(ROW($O38),MATCH("Downmove", Price_Header,0)))))</f>
        <v>1.9178571428571425</v>
      </c>
      <c r="R38" s="50">
        <f ca="1">IF(tbl_AAPL[[#This Row],[Avg_Upmove]]="", "", tbl_AAPL[[#This Row],[Avg_Upmove]]/tbl_AAPL[[#This Row],[Avg_Downmove]])</f>
        <v>0.67672256983240242</v>
      </c>
      <c r="S38" s="50">
        <f ca="1">IF(ROW($N38)-4&lt;BB_Periods, "", _xlfn.STDEV.S(INDIRECT(ADDRESS(ROW($F38)-RSI_Periods +1, MATCH("Adj Close", Price_Header,0))): INDIRECT(ADDRESS(ROW($F38),MATCH("Adj Close", Price_Header,0)))))</f>
        <v>3.1109769742635045</v>
      </c>
    </row>
    <row r="39" spans="1:19" x14ac:dyDescent="0.35">
      <c r="A39" s="8">
        <v>44102</v>
      </c>
      <c r="B39" s="10">
        <v>115.01</v>
      </c>
      <c r="C39" s="10">
        <v>115.32</v>
      </c>
      <c r="D39" s="10">
        <v>112.78</v>
      </c>
      <c r="E39" s="10">
        <v>114.96</v>
      </c>
      <c r="F39" s="10">
        <v>114.96</v>
      </c>
      <c r="G39">
        <v>137672400</v>
      </c>
      <c r="H39" s="127">
        <f>IF(tbl_AAPL[[#This Row],[Date]]=$A$5, $F39, EMA_Beta*$H38 + (1-EMA_Beta)*$F39)</f>
        <v>113.75794395222927</v>
      </c>
      <c r="I39" s="50">
        <f ca="1">IF(tbl_AAPL[[#This Row],[RS]]= "", "", 100-(100/(1+tbl_AAPL[[#This Row],[RS]])))</f>
        <v>52.704752138283517</v>
      </c>
      <c r="J39" s="127">
        <f ca="1">IF(ROW($N39)-4&lt;BB_Periods, "", AVERAGE(INDIRECT(ADDRESS(ROW($F39)-RSI_Periods +1, MATCH("Adj Close", Price_Header,0))): INDIRECT(ADDRESS(ROW($F39),MATCH("Adj Close", Price_Header,0)))))</f>
        <v>111.96357092857144</v>
      </c>
      <c r="K39" s="127">
        <f ca="1">IF(tbl_AAPL[[#This Row],[BB_Mean]]="", "", tbl_AAPL[[#This Row],[BB_Mean]]+(BB_Width*tbl_AAPL[[#This Row],[BB_Stdev]]))</f>
        <v>118.39399240676875</v>
      </c>
      <c r="L39" s="127">
        <f ca="1">IF(tbl_AAPL[[#This Row],[BB_Mean]]="", "", tbl_AAPL[[#This Row],[BB_Mean]]-(BB_Width*tbl_AAPL[[#This Row],[BB_Stdev]]))</f>
        <v>105.53314945037414</v>
      </c>
      <c r="M39" s="50">
        <f>IF(ROW(tbl_AAPL[[#This Row],[Adj Close]])=5, 0, $F39-$F38)</f>
        <v>2.6799999999999926</v>
      </c>
      <c r="N39" s="50">
        <f>MAX(tbl_AAPL[[#This Row],[Move]],0)</f>
        <v>2.6799999999999926</v>
      </c>
      <c r="O39" s="50">
        <f>MAX(-tbl_AAPL[[#This Row],[Move]],0)</f>
        <v>0</v>
      </c>
      <c r="P39" s="50">
        <f ca="1">IF(ROW($N39)-5&lt;RSI_Periods, "", AVERAGE(INDIRECT(ADDRESS(ROW($N39)-RSI_Periods +1, MATCH("Upmove", Price_Header,0))): INDIRECT(ADDRESS(ROW($N39),MATCH("Upmove", Price_Header,0)))))</f>
        <v>1.4892857857142852</v>
      </c>
      <c r="Q39" s="50">
        <f ca="1">IF(ROW($O39)-5&lt;RSI_Periods, "", AVERAGE(INDIRECT(ADDRESS(ROW($O39)-RSI_Periods +1, MATCH("Downmove", Price_Header,0))): INDIRECT(ADDRESS(ROW($O39),MATCH("Downmove", Price_Header,0)))))</f>
        <v>1.3364286428571421</v>
      </c>
      <c r="R39" s="50">
        <f ca="1">IF(tbl_AAPL[[#This Row],[Avg_Upmove]]="", "", tbl_AAPL[[#This Row],[Avg_Upmove]]/tbl_AAPL[[#This Row],[Avg_Downmove]])</f>
        <v>1.1143773322085875</v>
      </c>
      <c r="S39" s="50">
        <f ca="1">IF(ROW($N39)-4&lt;BB_Periods, "", _xlfn.STDEV.S(INDIRECT(ADDRESS(ROW($F39)-RSI_Periods +1, MATCH("Adj Close", Price_Header,0))): INDIRECT(ADDRESS(ROW($F39),MATCH("Adj Close", Price_Header,0)))))</f>
        <v>3.2152107390986506</v>
      </c>
    </row>
    <row r="40" spans="1:19" x14ac:dyDescent="0.35">
      <c r="A40" s="8">
        <v>44103</v>
      </c>
      <c r="B40" s="10">
        <v>114.55</v>
      </c>
      <c r="C40" s="10">
        <v>115.31</v>
      </c>
      <c r="D40" s="10">
        <v>113.57</v>
      </c>
      <c r="E40" s="10">
        <v>114.09</v>
      </c>
      <c r="F40" s="10">
        <v>114.09</v>
      </c>
      <c r="G40">
        <v>99382200</v>
      </c>
      <c r="H40" s="127">
        <f>IF(tbl_AAPL[[#This Row],[Date]]=$A$5, $F40, EMA_Beta*$H39 + (1-EMA_Beta)*$F40)</f>
        <v>113.79114955700634</v>
      </c>
      <c r="I40" s="50">
        <f ca="1">IF(tbl_AAPL[[#This Row],[RS]]= "", "", 100-(100/(1+tbl_AAPL[[#This Row],[RS]])))</f>
        <v>45.50514915084058</v>
      </c>
      <c r="J40" s="127">
        <f ca="1">IF(ROW($N40)-4&lt;BB_Periods, "", AVERAGE(INDIRECT(ADDRESS(ROW($F40)-RSI_Periods +1, MATCH("Adj Close", Price_Header,0))): INDIRECT(ADDRESS(ROW($F40),MATCH("Adj Close", Price_Header,0)))))</f>
        <v>111.73285664285717</v>
      </c>
      <c r="K40" s="127">
        <f ca="1">IF(tbl_AAPL[[#This Row],[BB_Mean]]="", "", tbl_AAPL[[#This Row],[BB_Mean]]+(BB_Width*tbl_AAPL[[#This Row],[BB_Stdev]]))</f>
        <v>117.53666712362855</v>
      </c>
      <c r="L40" s="127">
        <f ca="1">IF(tbl_AAPL[[#This Row],[BB_Mean]]="", "", tbl_AAPL[[#This Row],[BB_Mean]]-(BB_Width*tbl_AAPL[[#This Row],[BB_Stdev]]))</f>
        <v>105.9290461620858</v>
      </c>
      <c r="M40" s="50">
        <f>IF(ROW(tbl_AAPL[[#This Row],[Adj Close]])=5, 0, $F40-$F39)</f>
        <v>-0.86999999999999034</v>
      </c>
      <c r="N40" s="50">
        <f>MAX(tbl_AAPL[[#This Row],[Move]],0)</f>
        <v>0</v>
      </c>
      <c r="O40" s="50">
        <f>MAX(-tbl_AAPL[[#This Row],[Move]],0)</f>
        <v>0.86999999999999034</v>
      </c>
      <c r="P40" s="50">
        <f ca="1">IF(ROW($N40)-5&lt;RSI_Periods, "", AVERAGE(INDIRECT(ADDRESS(ROW($N40)-RSI_Periods +1, MATCH("Upmove", Price_Header,0))): INDIRECT(ADDRESS(ROW($N40),MATCH("Upmove", Price_Header,0)))))</f>
        <v>1.1678572142857138</v>
      </c>
      <c r="Q40" s="50">
        <f ca="1">IF(ROW($O40)-5&lt;RSI_Periods, "", AVERAGE(INDIRECT(ADDRESS(ROW($O40)-RSI_Periods +1, MATCH("Downmove", Price_Header,0))): INDIRECT(ADDRESS(ROW($O40),MATCH("Downmove", Price_Header,0)))))</f>
        <v>1.3985714999999987</v>
      </c>
      <c r="R40" s="50">
        <f ca="1">IF(tbl_AAPL[[#This Row],[Avg_Upmove]]="", "", tbl_AAPL[[#This Row],[Avg_Upmove]]/tbl_AAPL[[#This Row],[Avg_Downmove]])</f>
        <v>0.83503575919122819</v>
      </c>
      <c r="S40" s="50">
        <f ca="1">IF(ROW($N40)-4&lt;BB_Periods, "", _xlfn.STDEV.S(INDIRECT(ADDRESS(ROW($F40)-RSI_Periods +1, MATCH("Adj Close", Price_Header,0))): INDIRECT(ADDRESS(ROW($F40),MATCH("Adj Close", Price_Header,0)))))</f>
        <v>2.9019052403856906</v>
      </c>
    </row>
    <row r="41" spans="1:19" x14ac:dyDescent="0.35">
      <c r="A41" s="8">
        <v>44104</v>
      </c>
      <c r="B41" s="10">
        <v>113.79</v>
      </c>
      <c r="C41" s="10">
        <v>117.26</v>
      </c>
      <c r="D41" s="10">
        <v>113.62</v>
      </c>
      <c r="E41" s="10">
        <v>115.81</v>
      </c>
      <c r="F41" s="10">
        <v>115.81</v>
      </c>
      <c r="G41">
        <v>142675200</v>
      </c>
      <c r="H41" s="127">
        <f>IF(tbl_AAPL[[#This Row],[Date]]=$A$5, $F41, EMA_Beta*$H40 + (1-EMA_Beta)*$F41)</f>
        <v>113.99303460130571</v>
      </c>
      <c r="I41" s="50">
        <f ca="1">IF(tbl_AAPL[[#This Row],[RS]]= "", "", 100-(100/(1+tbl_AAPL[[#This Row],[RS]])))</f>
        <v>53.42992607924306</v>
      </c>
      <c r="J41" s="127">
        <f ca="1">IF(ROW($N41)-4&lt;BB_Periods, "", AVERAGE(INDIRECT(ADDRESS(ROW($F41)-RSI_Periods +1, MATCH("Adj Close", Price_Header,0))): INDIRECT(ADDRESS(ROW($F41),MATCH("Adj Close", Price_Header,0)))))</f>
        <v>111.89857107142856</v>
      </c>
      <c r="K41" s="127">
        <f ca="1">IF(tbl_AAPL[[#This Row],[BB_Mean]]="", "", tbl_AAPL[[#This Row],[BB_Mean]]+(BB_Width*tbl_AAPL[[#This Row],[BB_Stdev]]))</f>
        <v>118.04110366648464</v>
      </c>
      <c r="L41" s="127">
        <f ca="1">IF(tbl_AAPL[[#This Row],[BB_Mean]]="", "", tbl_AAPL[[#This Row],[BB_Mean]]-(BB_Width*tbl_AAPL[[#This Row],[BB_Stdev]]))</f>
        <v>105.75603847637248</v>
      </c>
      <c r="M41" s="50">
        <f>IF(ROW(tbl_AAPL[[#This Row],[Adj Close]])=5, 0, $F41-$F40)</f>
        <v>1.7199999999999989</v>
      </c>
      <c r="N41" s="50">
        <f>MAX(tbl_AAPL[[#This Row],[Move]],0)</f>
        <v>1.7199999999999989</v>
      </c>
      <c r="O41" s="50">
        <f>MAX(-tbl_AAPL[[#This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1.2907143571428565</v>
      </c>
      <c r="Q41" s="50">
        <f ca="1">IF(ROW($O41)-5&lt;RSI_Periods, "", AVERAGE(INDIRECT(ADDRESS(ROW($O41)-RSI_Periods +1, MATCH("Downmove", Price_Header,0))): INDIRECT(ADDRESS(ROW($O41),MATCH("Downmove", Price_Header,0)))))</f>
        <v>1.1249999285714278</v>
      </c>
      <c r="R41" s="50">
        <f ca="1">IF(tbl_AAPL[[#This Row],[Avg_Upmove]]="", "", tbl_AAPL[[#This Row],[Avg_Upmove]]/tbl_AAPL[[#This Row],[Avg_Downmove]])</f>
        <v>1.1473017236382048</v>
      </c>
      <c r="S41" s="50">
        <f ca="1">IF(ROW($N41)-4&lt;BB_Periods, "", _xlfn.STDEV.S(INDIRECT(ADDRESS(ROW($F41)-RSI_Periods +1, MATCH("Adj Close", Price_Header,0))): INDIRECT(ADDRESS(ROW($F41),MATCH("Adj Close", Price_Header,0)))))</f>
        <v>3.0712662975280414</v>
      </c>
    </row>
    <row r="42" spans="1:19" x14ac:dyDescent="0.35">
      <c r="A42" s="8">
        <v>44105</v>
      </c>
      <c r="B42" s="10">
        <v>117.64</v>
      </c>
      <c r="C42" s="10">
        <v>117.72</v>
      </c>
      <c r="D42" s="10">
        <v>115.83</v>
      </c>
      <c r="E42" s="10">
        <v>116.79</v>
      </c>
      <c r="F42" s="10">
        <v>116.79</v>
      </c>
      <c r="G42">
        <v>116120400</v>
      </c>
      <c r="H42" s="127">
        <f>IF(tbl_AAPL[[#This Row],[Date]]=$A$5, $F42, EMA_Beta*$H41 + (1-EMA_Beta)*$F42)</f>
        <v>114.27273114117514</v>
      </c>
      <c r="I42" s="50">
        <f ca="1">IF(tbl_AAPL[[#This Row],[RS]]= "", "", 100-(100/(1+tbl_AAPL[[#This Row],[RS]])))</f>
        <v>57.190032591412049</v>
      </c>
      <c r="J42" s="127">
        <f ca="1">IF(ROW($N42)-4&lt;BB_Periods, "", AVERAGE(INDIRECT(ADDRESS(ROW($F42)-RSI_Periods +1, MATCH("Adj Close", Price_Header,0))): INDIRECT(ADDRESS(ROW($F42),MATCH("Adj Close", Price_Header,0)))))</f>
        <v>112.24071392857142</v>
      </c>
      <c r="K42" s="127">
        <f ca="1">IF(tbl_AAPL[[#This Row],[BB_Mean]]="", "", tbl_AAPL[[#This Row],[BB_Mean]]+(BB_Width*tbl_AAPL[[#This Row],[BB_Stdev]]))</f>
        <v>118.91792480563012</v>
      </c>
      <c r="L42" s="127">
        <f ca="1">IF(tbl_AAPL[[#This Row],[BB_Mean]]="", "", tbl_AAPL[[#This Row],[BB_Mean]]-(BB_Width*tbl_AAPL[[#This Row],[BB_Stdev]]))</f>
        <v>105.56350305151273</v>
      </c>
      <c r="M42" s="50">
        <f>IF(ROW(tbl_AAPL[[#This Row],[Adj Close]])=5, 0, $F42-$F41)</f>
        <v>0.98000000000000398</v>
      </c>
      <c r="N42" s="50">
        <f>MAX(tbl_AAPL[[#This Row],[Move]],0)</f>
        <v>0.98000000000000398</v>
      </c>
      <c r="O42" s="50">
        <f>MAX(-tbl_AAPL[[#This Row],[Move]],0)</f>
        <v>0</v>
      </c>
      <c r="P42" s="50">
        <f ca="1">IF(ROW($N42)-5&lt;RSI_Periods, "", AVERAGE(INDIRECT(ADDRESS(ROW($N42)-RSI_Periods +1, MATCH("Upmove", Price_Header,0))): INDIRECT(ADDRESS(ROW($N42),MATCH("Upmove", Price_Header,0)))))</f>
        <v>1.3607143571428568</v>
      </c>
      <c r="Q42" s="50">
        <f ca="1">IF(ROW($O42)-5&lt;RSI_Periods, "", AVERAGE(INDIRECT(ADDRESS(ROW($O42)-RSI_Periods +1, MATCH("Downmove", Price_Header,0))): INDIRECT(ADDRESS(ROW($O42),MATCH("Downmove", Price_Header,0)))))</f>
        <v>1.0185714999999991</v>
      </c>
      <c r="R42" s="50">
        <f ca="1">IF(tbl_AAPL[[#This Row],[Avg_Upmove]]="", "", tbl_AAPL[[#This Row],[Avg_Upmove]]/tbl_AAPL[[#This Row],[Avg_Downmove]])</f>
        <v>1.3359046047752741</v>
      </c>
      <c r="S42" s="50">
        <f ca="1">IF(ROW($N42)-4&lt;BB_Periods, "", _xlfn.STDEV.S(INDIRECT(ADDRESS(ROW($F42)-RSI_Periods +1, MATCH("Adj Close", Price_Header,0))): INDIRECT(ADDRESS(ROW($F42),MATCH("Adj Close", Price_Header,0)))))</f>
        <v>3.3386054385293513</v>
      </c>
    </row>
    <row r="43" spans="1:19" x14ac:dyDescent="0.35">
      <c r="A43" s="8">
        <v>44106</v>
      </c>
      <c r="B43" s="10">
        <v>112.89</v>
      </c>
      <c r="C43" s="10">
        <v>115.37</v>
      </c>
      <c r="D43" s="10">
        <v>112.22</v>
      </c>
      <c r="E43" s="10">
        <v>113.02</v>
      </c>
      <c r="F43" s="10">
        <v>113.02</v>
      </c>
      <c r="G43">
        <v>144712000</v>
      </c>
      <c r="H43" s="127">
        <f>IF(tbl_AAPL[[#This Row],[Date]]=$A$5, $F43, EMA_Beta*$H42 + (1-EMA_Beta)*$F43)</f>
        <v>114.14745802705762</v>
      </c>
      <c r="I43" s="50">
        <f ca="1">IF(tbl_AAPL[[#This Row],[RS]]= "", "", 100-(100/(1+tbl_AAPL[[#This Row],[RS]])))</f>
        <v>46.530247730419696</v>
      </c>
      <c r="J43" s="127">
        <f ca="1">IF(ROW($N43)-4&lt;BB_Periods, "", AVERAGE(INDIRECT(ADDRESS(ROW($F43)-RSI_Periods +1, MATCH("Adj Close", Price_Header,0))): INDIRECT(ADDRESS(ROW($F43),MATCH("Adj Close", Price_Header,0)))))</f>
        <v>112.07357099999999</v>
      </c>
      <c r="K43" s="127">
        <f ca="1">IF(tbl_AAPL[[#This Row],[BB_Mean]]="", "", tbl_AAPL[[#This Row],[BB_Mean]]+(BB_Width*tbl_AAPL[[#This Row],[BB_Stdev]]))</f>
        <v>118.52785858844017</v>
      </c>
      <c r="L43" s="127">
        <f ca="1">IF(tbl_AAPL[[#This Row],[BB_Mean]]="", "", tbl_AAPL[[#This Row],[BB_Mean]]-(BB_Width*tbl_AAPL[[#This Row],[BB_Stdev]]))</f>
        <v>105.61928341155981</v>
      </c>
      <c r="M43" s="50">
        <f>IF(ROW(tbl_AAPL[[#This Row],[Adj Close]])=5, 0, $F43-$F42)</f>
        <v>-3.7700000000000102</v>
      </c>
      <c r="N43" s="50">
        <f>MAX(tbl_AAPL[[#This Row],[Move]],0)</f>
        <v>0</v>
      </c>
      <c r="O43" s="50">
        <f>MAX(-tbl_AAPL[[#This Row],[Move]],0)</f>
        <v>3.7700000000000102</v>
      </c>
      <c r="P43" s="50">
        <f ca="1">IF(ROW($N43)-5&lt;RSI_Periods, "", AVERAGE(INDIRECT(ADDRESS(ROW($N43)-RSI_Periods +1, MATCH("Upmove", Price_Header,0))): INDIRECT(ADDRESS(ROW($N43),MATCH("Upmove", Price_Header,0)))))</f>
        <v>1.1207142857142856</v>
      </c>
      <c r="Q43" s="50">
        <f ca="1">IF(ROW($O43)-5&lt;RSI_Periods, "", AVERAGE(INDIRECT(ADDRESS(ROW($O43)-RSI_Periods +1, MATCH("Downmove", Price_Header,0))): INDIRECT(ADDRESS(ROW($O43),MATCH("Downmove", Price_Header,0)))))</f>
        <v>1.2878572142857141</v>
      </c>
      <c r="R43" s="50">
        <f ca="1">IF(tbl_AAPL[[#This Row],[Avg_Upmove]]="", "", tbl_AAPL[[#This Row],[Avg_Upmove]]/tbl_AAPL[[#This Row],[Avg_Downmove]])</f>
        <v>0.87021625789149981</v>
      </c>
      <c r="S43" s="50">
        <f ca="1">IF(ROW($N43)-4&lt;BB_Periods, "", _xlfn.STDEV.S(INDIRECT(ADDRESS(ROW($F43)-RSI_Periods +1, MATCH("Adj Close", Price_Header,0))): INDIRECT(ADDRESS(ROW($F43),MATCH("Adj Close", Price_Header,0)))))</f>
        <v>3.2271437942200887</v>
      </c>
    </row>
    <row r="44" spans="1:19" x14ac:dyDescent="0.35">
      <c r="A44" s="8">
        <v>44109</v>
      </c>
      <c r="B44" s="10">
        <v>113.91</v>
      </c>
      <c r="C44" s="10">
        <v>116.65</v>
      </c>
      <c r="D44" s="10">
        <v>113.55</v>
      </c>
      <c r="E44" s="10">
        <v>116.5</v>
      </c>
      <c r="F44" s="10">
        <v>116.5</v>
      </c>
      <c r="G44">
        <v>105720800</v>
      </c>
      <c r="H44" s="127">
        <f>IF(tbl_AAPL[[#This Row],[Date]]=$A$5, $F44, EMA_Beta*$H43 + (1-EMA_Beta)*$F44)</f>
        <v>114.38271222435185</v>
      </c>
      <c r="I44" s="50">
        <f ca="1">IF(tbl_AAPL[[#This Row],[RS]]= "", "", 100-(100/(1+tbl_AAPL[[#This Row],[RS]])))</f>
        <v>51.296595048714345</v>
      </c>
      <c r="J44" s="127">
        <f ca="1">IF(ROW($N44)-4&lt;BB_Periods, "", AVERAGE(INDIRECT(ADDRESS(ROW($F44)-RSI_Periods +1, MATCH("Adj Close", Price_Header,0))): INDIRECT(ADDRESS(ROW($F44),MATCH("Adj Close", Price_Header,0)))))</f>
        <v>112.14214235714284</v>
      </c>
      <c r="K44" s="127">
        <f ca="1">IF(tbl_AAPL[[#This Row],[BB_Mean]]="", "", tbl_AAPL[[#This Row],[BB_Mean]]+(BB_Width*tbl_AAPL[[#This Row],[BB_Stdev]]))</f>
        <v>118.77305481794821</v>
      </c>
      <c r="L44" s="127">
        <f ca="1">IF(tbl_AAPL[[#This Row],[BB_Mean]]="", "", tbl_AAPL[[#This Row],[BB_Mean]]-(BB_Width*tbl_AAPL[[#This Row],[BB_Stdev]]))</f>
        <v>105.51122989633748</v>
      </c>
      <c r="M44" s="50">
        <f>IF(ROW(tbl_AAPL[[#This Row],[Adj Close]])=5, 0, $F44-$F43)</f>
        <v>3.480000000000004</v>
      </c>
      <c r="N44" s="50">
        <f>MAX(tbl_AAPL[[#This Row],[Move]],0)</f>
        <v>3.480000000000004</v>
      </c>
      <c r="O44" s="50">
        <f>MAX(-tbl_AAPL[[#This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1.3564285714285711</v>
      </c>
      <c r="Q44" s="50">
        <f ca="1">IF(ROW($O44)-5&lt;RSI_Periods, "", AVERAGE(INDIRECT(ADDRESS(ROW($O44)-RSI_Periods +1, MATCH("Downmove", Price_Header,0))): INDIRECT(ADDRESS(ROW($O44),MATCH("Downmove", Price_Header,0)))))</f>
        <v>1.2878572142857141</v>
      </c>
      <c r="R44" s="50">
        <f ca="1">IF(tbl_AAPL[[#This Row],[Avg_Upmove]]="", "", tbl_AAPL[[#This Row],[Avg_Upmove]]/tbl_AAPL[[#This Row],[Avg_Downmove]])</f>
        <v>1.0532445339298648</v>
      </c>
      <c r="S44" s="50">
        <f ca="1">IF(ROW($N44)-4&lt;BB_Periods, "", _xlfn.STDEV.S(INDIRECT(ADDRESS(ROW($F44)-RSI_Periods +1, MATCH("Adj Close", Price_Header,0))): INDIRECT(ADDRESS(ROW($F44),MATCH("Adj Close", Price_Header,0)))))</f>
        <v>3.3154562304026785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>
        <f ca="1">SUBTOTAL(103,tbl_AAPL[BB_Stdev])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5"/>
  <sheetViews>
    <sheetView topLeftCell="A26" zoomScale="111" workbookViewId="0">
      <selection activeCell="H44" sqref="H44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168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3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3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3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3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3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3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3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3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3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3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3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3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3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3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3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3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3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3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35">
      <c r="A37" s="8">
        <v>44098</v>
      </c>
      <c r="B37" s="48">
        <v>135.72999999999999</v>
      </c>
      <c r="C37" s="48">
        <v>137.79</v>
      </c>
      <c r="D37" s="48">
        <v>135.07</v>
      </c>
      <c r="E37" s="48">
        <v>136.69999999999999</v>
      </c>
      <c r="F37" s="48">
        <v>136.69999999999999</v>
      </c>
      <c r="G37">
        <v>9817700</v>
      </c>
      <c r="H37" s="48">
        <f>IF(tbl_WMT[[#This Row],[Date]]=$A$5, $F37, EMA_Beta*$H36 + (1-EMA_Beta)*$F37)</f>
        <v>195.84648661276097</v>
      </c>
      <c r="I37" s="50">
        <f ca="1">IF(tbl_WMT[[#This Row],[RS]]= "", "", 100-(100/(1+tbl_WMT[[#This Row],[RS]])))</f>
        <v>9.7007920330269997</v>
      </c>
      <c r="J37" s="11">
        <f ca="1">IF(ROW($N37)-4&lt;BB_Periods, "", AVERAGE(INDIRECT(ADDRESS(ROW($F37)-RSI_Periods +1, MATCH("Adj Close", Price_Header,0))): INDIRECT(ADDRESS(ROW($F37),MATCH("Adj Close", Price_Header,0)))))</f>
        <v>179.94357078571426</v>
      </c>
      <c r="K37" s="11">
        <f ca="1">IF(tbl_WMT[[#This Row],[BB_Mean]]="", "", tbl_WMT[[#This Row],[BB_Mean]]+(BB_Width*tbl_WMT[[#This Row],[BB_Stdev]]))</f>
        <v>300.30579347878512</v>
      </c>
      <c r="L37" s="11">
        <f ca="1">IF(tbl_WMT[[#This Row],[BB_Mean]]="", "", tbl_WMT[[#This Row],[BB_Mean]]-(BB_Width*tbl_WMT[[#This Row],[BB_Stdev]]))</f>
        <v>59.581348092643395</v>
      </c>
      <c r="M37" s="46">
        <f>IF(ROW(tbl_WMT[[#This Row],[Adj Close]])=5, 0, $F37-$F36)</f>
        <v>0.70999999999997954</v>
      </c>
      <c r="N37" s="46">
        <f>MAX(tbl_WMT[[#This Row],[Move]],0)</f>
        <v>0.70999999999997954</v>
      </c>
      <c r="O37" s="46">
        <f>MAX(-tbl_WMT[[#This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1.1949988571428551</v>
      </c>
      <c r="Q37" s="46">
        <f ca="1">IF(ROW($O37)-5&lt;RSI_Periods, "", AVERAGE(INDIRECT(ADDRESS(ROW($O37)-RSI_Periods +1, MATCH("Downmove", Price_Header,0))): INDIRECT(ADDRESS(ROW($O37),MATCH("Downmove", Price_Header,0)))))</f>
        <v>11.123571142857143</v>
      </c>
      <c r="R37" s="46">
        <f ca="1">IF(tbl_WMT[[#This Row],[Avg_Upmove]]="", "", tbl_WMT[[#This Row],[Avg_Upmove]]/tbl_WMT[[#This Row],[Avg_Downmove]])</f>
        <v>0.10742942547818451</v>
      </c>
      <c r="S37" s="11">
        <f ca="1">IF(ROW($N37)-4&lt;BB_Periods, "", _xlfn.STDEV.S(INDIRECT(ADDRESS(ROW($F37)-RSI_Periods +1, MATCH("Adj Close", Price_Header,0))): INDIRECT(ADDRESS(ROW($F37),MATCH("Adj Close", Price_Header,0)))))</f>
        <v>60.181111346535431</v>
      </c>
    </row>
    <row r="38" spans="1:19" x14ac:dyDescent="0.35">
      <c r="A38" s="8">
        <v>44099</v>
      </c>
      <c r="B38" s="48">
        <v>136.52000000000001</v>
      </c>
      <c r="C38" s="48">
        <v>137.54</v>
      </c>
      <c r="D38" s="48">
        <v>135.96</v>
      </c>
      <c r="E38" s="48">
        <v>137.27000000000001</v>
      </c>
      <c r="F38" s="48">
        <v>137.27000000000001</v>
      </c>
      <c r="G38">
        <v>7539600</v>
      </c>
      <c r="H38" s="48">
        <f>IF(tbl_WMT[[#This Row],[Date]]=$A$5, $F38, EMA_Beta*$H37 + (1-EMA_Beta)*$F38)</f>
        <v>189.98883795148487</v>
      </c>
      <c r="I38" s="50">
        <f ca="1">IF(tbl_WMT[[#This Row],[RS]]= "", "", 100-(100/(1+tbl_WMT[[#This Row],[RS]])))</f>
        <v>10.930680027297655</v>
      </c>
      <c r="J38" s="11">
        <f ca="1">IF(ROW($N38)-4&lt;BB_Periods, "", AVERAGE(INDIRECT(ADDRESS(ROW($F38)-RSI_Periods +1, MATCH("Adj Close", Price_Header,0))): INDIRECT(ADDRESS(ROW($F38),MATCH("Adj Close", Price_Header,0)))))</f>
        <v>171.10999921428566</v>
      </c>
      <c r="K38" s="11">
        <f ca="1">IF(tbl_WMT[[#This Row],[BB_Mean]]="", "", tbl_WMT[[#This Row],[BB_Mean]]+(BB_Width*tbl_WMT[[#This Row],[BB_Stdev]]))</f>
        <v>283.7716766492577</v>
      </c>
      <c r="L38" s="11">
        <f ca="1">IF(tbl_WMT[[#This Row],[BB_Mean]]="", "", tbl_WMT[[#This Row],[BB_Mean]]-(BB_Width*tbl_WMT[[#This Row],[BB_Stdev]]))</f>
        <v>58.44832177931363</v>
      </c>
      <c r="M38" s="46">
        <f>IF(ROW(tbl_WMT[[#This Row],[Adj Close]])=5, 0, $F38-$F37)</f>
        <v>0.5700000000000216</v>
      </c>
      <c r="N38" s="46">
        <f>MAX(tbl_WMT[[#This Row],[Move]],0)</f>
        <v>0.5700000000000216</v>
      </c>
      <c r="O38" s="46">
        <f>MAX(-tbl_WMT[[#This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1.2357131428571424</v>
      </c>
      <c r="Q38" s="46">
        <f ca="1">IF(ROW($O38)-5&lt;RSI_Periods, "", AVERAGE(INDIRECT(ADDRESS(ROW($O38)-RSI_Periods +1, MATCH("Downmove", Price_Header,0))): INDIRECT(ADDRESS(ROW($O38),MATCH("Downmove", Price_Header,0)))))</f>
        <v>10.069284714285713</v>
      </c>
      <c r="R38" s="46">
        <f ca="1">IF(tbl_WMT[[#This Row],[Avg_Upmove]]="", "", tbl_WMT[[#This Row],[Avg_Upmove]]/tbl_WMT[[#This Row],[Avg_Downmove]])</f>
        <v>0.12272104503152888</v>
      </c>
      <c r="S38" s="11">
        <f ca="1">IF(ROW($N38)-4&lt;BB_Periods, "", _xlfn.STDEV.S(INDIRECT(ADDRESS(ROW($F38)-RSI_Periods +1, MATCH("Adj Close", Price_Header,0))): INDIRECT(ADDRESS(ROW($F38),MATCH("Adj Close", Price_Header,0)))))</f>
        <v>56.330838717486017</v>
      </c>
    </row>
    <row r="39" spans="1:19" x14ac:dyDescent="0.35">
      <c r="A39" s="8">
        <v>44102</v>
      </c>
      <c r="B39" s="48">
        <v>137.16</v>
      </c>
      <c r="C39" s="48">
        <v>138.05000000000001</v>
      </c>
      <c r="D39" s="48">
        <v>136.72</v>
      </c>
      <c r="E39" s="48">
        <v>137.25</v>
      </c>
      <c r="F39" s="48">
        <v>137.25</v>
      </c>
      <c r="G39">
        <v>7065700</v>
      </c>
      <c r="H39" s="48">
        <f>IF(tbl_WMT[[#This Row],[Date]]=$A$5, $F39, EMA_Beta*$H38 + (1-EMA_Beta)*$F39)</f>
        <v>184.71495415633638</v>
      </c>
      <c r="I39" s="50">
        <f ca="1">IF(tbl_WMT[[#This Row],[RS]]= "", "", 100-(100/(1+tbl_WMT[[#This Row],[RS]])))</f>
        <v>11.577318793545885</v>
      </c>
      <c r="J39" s="11">
        <f ca="1">IF(ROW($N39)-4&lt;BB_Periods, "", AVERAGE(INDIRECT(ADDRESS(ROW($F39)-RSI_Periods +1, MATCH("Adj Close", Price_Header,0))): INDIRECT(ADDRESS(ROW($F39),MATCH("Adj Close", Price_Header,0)))))</f>
        <v>162.90785621428569</v>
      </c>
      <c r="K39" s="11">
        <f ca="1">IF(tbl_WMT[[#This Row],[BB_Mean]]="", "", tbl_WMT[[#This Row],[BB_Mean]]+(BB_Width*tbl_WMT[[#This Row],[BB_Stdev]]))</f>
        <v>266.53385559011662</v>
      </c>
      <c r="L39" s="11">
        <f ca="1">IF(tbl_WMT[[#This Row],[BB_Mean]]="", "", tbl_WMT[[#This Row],[BB_Mean]]-(BB_Width*tbl_WMT[[#This Row],[BB_Stdev]]))</f>
        <v>59.281856838454772</v>
      </c>
      <c r="M39" s="46">
        <f>IF(ROW(tbl_WMT[[#This Row],[Adj Close]])=5, 0, $F39-$F38)</f>
        <v>-2.0000000000010232E-2</v>
      </c>
      <c r="N39" s="46">
        <f>MAX(tbl_WMT[[#This Row],[Move]],0)</f>
        <v>0</v>
      </c>
      <c r="O39" s="46">
        <f>MAX(-tbl_WMT[[#This Row],[Move]],0)</f>
        <v>2.0000000000010232E-2</v>
      </c>
      <c r="P39" s="46">
        <f ca="1">IF(ROW($N39)-5&lt;RSI_Periods, "", AVERAGE(INDIRECT(ADDRESS(ROW($N39)-RSI_Periods +1, MATCH("Upmove", Price_Header,0))): INDIRECT(ADDRESS(ROW($N39),MATCH("Upmove", Price_Header,0)))))</f>
        <v>1.2357131428571424</v>
      </c>
      <c r="Q39" s="46">
        <f ca="1">IF(ROW($O39)-5&lt;RSI_Periods, "", AVERAGE(INDIRECT(ADDRESS(ROW($O39)-RSI_Periods +1, MATCH("Downmove", Price_Header,0))): INDIRECT(ADDRESS(ROW($O39),MATCH("Downmove", Price_Header,0)))))</f>
        <v>9.437856142857143</v>
      </c>
      <c r="R39" s="46">
        <f ca="1">IF(tbl_WMT[[#This Row],[Avg_Upmove]]="", "", tbl_WMT[[#This Row],[Avg_Upmove]]/tbl_WMT[[#This Row],[Avg_Downmove]])</f>
        <v>0.13093155099554762</v>
      </c>
      <c r="S39" s="11">
        <f ca="1">IF(ROW($N39)-4&lt;BB_Periods, "", _xlfn.STDEV.S(INDIRECT(ADDRESS(ROW($F39)-RSI_Periods +1, MATCH("Adj Close", Price_Header,0))): INDIRECT(ADDRESS(ROW($F39),MATCH("Adj Close", Price_Header,0)))))</f>
        <v>51.812999687915458</v>
      </c>
    </row>
    <row r="40" spans="1:19" x14ac:dyDescent="0.35">
      <c r="A40" s="8">
        <v>44103</v>
      </c>
      <c r="B40" s="48">
        <v>137.25</v>
      </c>
      <c r="C40" s="48">
        <v>138.13999999999999</v>
      </c>
      <c r="D40" s="48">
        <v>136.38999999999999</v>
      </c>
      <c r="E40" s="48">
        <v>137.13999999999999</v>
      </c>
      <c r="F40" s="48">
        <v>137.13999999999999</v>
      </c>
      <c r="G40">
        <v>9234300</v>
      </c>
      <c r="H40" s="48">
        <f>IF(tbl_WMT[[#This Row],[Date]]=$A$5, $F40, EMA_Beta*$H39 + (1-EMA_Beta)*$F40)</f>
        <v>179.95745874070275</v>
      </c>
      <c r="I40" s="50">
        <f ca="1">IF(tbl_WMT[[#This Row],[RS]]= "", "", 100-(100/(1+tbl_WMT[[#This Row],[RS]])))</f>
        <v>7.7245063208231386</v>
      </c>
      <c r="J40" s="11">
        <f ca="1">IF(ROW($N40)-4&lt;BB_Periods, "", AVERAGE(INDIRECT(ADDRESS(ROW($F40)-RSI_Periods +1, MATCH("Adj Close", Price_Header,0))): INDIRECT(ADDRESS(ROW($F40),MATCH("Adj Close", Price_Header,0)))))</f>
        <v>154.25285635714286</v>
      </c>
      <c r="K40" s="11">
        <f ca="1">IF(tbl_WMT[[#This Row],[BB_Mean]]="", "", tbl_WMT[[#This Row],[BB_Mean]]+(BB_Width*tbl_WMT[[#This Row],[BB_Stdev]]))</f>
        <v>242.68069328608476</v>
      </c>
      <c r="L40" s="11">
        <f ca="1">IF(tbl_WMT[[#This Row],[BB_Mean]]="", "", tbl_WMT[[#This Row],[BB_Mean]]-(BB_Width*tbl_WMT[[#This Row],[BB_Stdev]]))</f>
        <v>65.825019428200974</v>
      </c>
      <c r="M40" s="46">
        <f>IF(ROW(tbl_WMT[[#This Row],[Adj Close]])=5, 0, $F40-$F39)</f>
        <v>-0.11000000000001364</v>
      </c>
      <c r="N40" s="46">
        <f>MAX(tbl_WMT[[#This Row],[Move]],0)</f>
        <v>0</v>
      </c>
      <c r="O40" s="46">
        <f>MAX(-tbl_WMT[[#This Row],[Move]],0)</f>
        <v>0.11000000000001364</v>
      </c>
      <c r="P40" s="46">
        <f ca="1">IF(ROW($N40)-5&lt;RSI_Periods, "", AVERAGE(INDIRECT(ADDRESS(ROW($N40)-RSI_Periods +1, MATCH("Upmove", Price_Header,0))): INDIRECT(ADDRESS(ROW($N40),MATCH("Upmove", Price_Header,0)))))</f>
        <v>0.79071342857142823</v>
      </c>
      <c r="Q40" s="46">
        <f ca="1">IF(ROW($O40)-5&lt;RSI_Periods, "", AVERAGE(INDIRECT(ADDRESS(ROW($O40)-RSI_Periods +1, MATCH("Downmove", Price_Header,0))): INDIRECT(ADDRESS(ROW($O40),MATCH("Downmove", Price_Header,0)))))</f>
        <v>9.4457132857142874</v>
      </c>
      <c r="R40" s="46">
        <f ca="1">IF(tbl_WMT[[#This Row],[Avg_Upmove]]="", "", tbl_WMT[[#This Row],[Avg_Upmove]]/tbl_WMT[[#This Row],[Avg_Downmove]])</f>
        <v>8.3711351875067452E-2</v>
      </c>
      <c r="S40" s="11">
        <f ca="1">IF(ROW($N40)-4&lt;BB_Periods, "", _xlfn.STDEV.S(INDIRECT(ADDRESS(ROW($F40)-RSI_Periods +1, MATCH("Adj Close", Price_Header,0))): INDIRECT(ADDRESS(ROW($F40),MATCH("Adj Close", Price_Header,0)))))</f>
        <v>44.213918464470943</v>
      </c>
    </row>
    <row r="41" spans="1:19" x14ac:dyDescent="0.35">
      <c r="A41" s="8">
        <v>44104</v>
      </c>
      <c r="B41" s="48">
        <v>137.38999999999999</v>
      </c>
      <c r="C41" s="48">
        <v>141.74</v>
      </c>
      <c r="D41" s="48">
        <v>137.19999999999999</v>
      </c>
      <c r="E41" s="48">
        <v>139.91</v>
      </c>
      <c r="F41" s="48">
        <v>139.91</v>
      </c>
      <c r="G41">
        <v>11605300</v>
      </c>
      <c r="H41" s="48">
        <f>IF(tbl_WMT[[#This Row],[Date]]=$A$5, $F41, EMA_Beta*$H40 + (1-EMA_Beta)*$F41)</f>
        <v>175.95271286663245</v>
      </c>
      <c r="I41" s="50">
        <f ca="1">IF(tbl_WMT[[#This Row],[RS]]= "", "", 100-(100/(1+tbl_WMT[[#This Row],[RS]])))</f>
        <v>5.3941920884568475</v>
      </c>
      <c r="J41" s="11">
        <f ca="1">IF(ROW($N41)-4&lt;BB_Periods, "", AVERAGE(INDIRECT(ADDRESS(ROW($F41)-RSI_Periods +1, MATCH("Adj Close", Price_Header,0))): INDIRECT(ADDRESS(ROW($F41),MATCH("Adj Close", Price_Header,0)))))</f>
        <v>145.34571457142857</v>
      </c>
      <c r="K41" s="11">
        <f ca="1">IF(tbl_WMT[[#This Row],[BB_Mean]]="", "", tbl_WMT[[#This Row],[BB_Mean]]+(BB_Width*tbl_WMT[[#This Row],[BB_Stdev]]))</f>
        <v>206.93896809032904</v>
      </c>
      <c r="L41" s="11">
        <f ca="1">IF(tbl_WMT[[#This Row],[BB_Mean]]="", "", tbl_WMT[[#This Row],[BB_Mean]]-(BB_Width*tbl_WMT[[#This Row],[BB_Stdev]]))</f>
        <v>83.752461052528105</v>
      </c>
      <c r="M41" s="46">
        <f>IF(ROW(tbl_WMT[[#This Row],[Adj Close]])=5, 0, $F41-$F40)</f>
        <v>2.7700000000000102</v>
      </c>
      <c r="N41" s="46">
        <f>MAX(tbl_WMT[[#This Row],[Move]],0)</f>
        <v>2.7700000000000102</v>
      </c>
      <c r="O41" s="46">
        <f>MAX(-tbl_WMT[[#This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0.53857150000000131</v>
      </c>
      <c r="Q41" s="46">
        <f ca="1">IF(ROW($O41)-5&lt;RSI_Periods, "", AVERAGE(INDIRECT(ADDRESS(ROW($O41)-RSI_Periods +1, MATCH("Downmove", Price_Header,0))): INDIRECT(ADDRESS(ROW($O41),MATCH("Downmove", Price_Header,0)))))</f>
        <v>9.4457132857142874</v>
      </c>
      <c r="R41" s="46">
        <f ca="1">IF(tbl_WMT[[#This Row],[Avg_Upmove]]="", "", tbl_WMT[[#This Row],[Avg_Upmove]]/tbl_WMT[[#This Row],[Avg_Downmove]])</f>
        <v>5.7017557457999253E-2</v>
      </c>
      <c r="S41" s="11">
        <f ca="1">IF(ROW($N41)-4&lt;BB_Periods, "", _xlfn.STDEV.S(INDIRECT(ADDRESS(ROW($F41)-RSI_Periods +1, MATCH("Adj Close", Price_Header,0))): INDIRECT(ADDRESS(ROW($F41),MATCH("Adj Close", Price_Header,0)))))</f>
        <v>30.796626759450238</v>
      </c>
    </row>
    <row r="42" spans="1:19" x14ac:dyDescent="0.35">
      <c r="A42" s="8">
        <v>44105</v>
      </c>
      <c r="B42" s="48">
        <v>140.80000000000001</v>
      </c>
      <c r="C42" s="48">
        <v>144.38</v>
      </c>
      <c r="D42" s="48">
        <v>140.26</v>
      </c>
      <c r="E42" s="48">
        <v>143.08000000000001</v>
      </c>
      <c r="F42" s="48">
        <v>143.08000000000001</v>
      </c>
      <c r="G42">
        <v>14430300</v>
      </c>
      <c r="H42" s="48">
        <f>IF(tbl_WMT[[#This Row],[Date]]=$A$5, $F42, EMA_Beta*$H41 + (1-EMA_Beta)*$F42)</f>
        <v>172.66544157996921</v>
      </c>
      <c r="I42" s="50">
        <f ca="1">IF(tbl_WMT[[#This Row],[RS]]= "", "", 100-(100/(1+tbl_WMT[[#This Row],[RS]])))</f>
        <v>8.1993576159902375</v>
      </c>
      <c r="J42" s="11">
        <f ca="1">IF(ROW($N42)-4&lt;BB_Periods, "", AVERAGE(INDIRECT(ADDRESS(ROW($F42)-RSI_Periods +1, MATCH("Adj Close", Price_Header,0))): INDIRECT(ADDRESS(ROW($F42),MATCH("Adj Close", Price_Header,0)))))</f>
        <v>137.54571464285715</v>
      </c>
      <c r="K42" s="11">
        <f ca="1">IF(tbl_WMT[[#This Row],[BB_Mean]]="", "", tbl_WMT[[#This Row],[BB_Mean]]+(BB_Width*tbl_WMT[[#This Row],[BB_Stdev]]))</f>
        <v>141.39083737812251</v>
      </c>
      <c r="L42" s="11">
        <f ca="1">IF(tbl_WMT[[#This Row],[BB_Mean]]="", "", tbl_WMT[[#This Row],[BB_Mean]]-(BB_Width*tbl_WMT[[#This Row],[BB_Stdev]]))</f>
        <v>133.70059190759179</v>
      </c>
      <c r="M42" s="46">
        <f>IF(ROW(tbl_WMT[[#This Row],[Adj Close]])=5, 0, $F42-$F41)</f>
        <v>3.1700000000000159</v>
      </c>
      <c r="N42" s="46">
        <f>MAX(tbl_WMT[[#This Row],[Move]],0)</f>
        <v>3.1700000000000159</v>
      </c>
      <c r="O42" s="46">
        <f>MAX(-tbl_WMT[[#This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0.76500007142857385</v>
      </c>
      <c r="Q42" s="46">
        <f ca="1">IF(ROW($O42)-5&lt;RSI_Periods, "", AVERAGE(INDIRECT(ADDRESS(ROW($O42)-RSI_Periods +1, MATCH("Downmove", Price_Header,0))): INDIRECT(ADDRESS(ROW($O42),MATCH("Downmove", Price_Header,0)))))</f>
        <v>8.5650000000000013</v>
      </c>
      <c r="R42" s="46">
        <f ca="1">IF(tbl_WMT[[#This Row],[Avg_Upmove]]="", "", tbl_WMT[[#This Row],[Avg_Upmove]]/tbl_WMT[[#This Row],[Avg_Downmove]])</f>
        <v>8.9316996080393896E-2</v>
      </c>
      <c r="S42" s="11">
        <f ca="1">IF(ROW($N42)-4&lt;BB_Periods, "", _xlfn.STDEV.S(INDIRECT(ADDRESS(ROW($F42)-RSI_Periods +1, MATCH("Adj Close", Price_Header,0))): INDIRECT(ADDRESS(ROW($F42),MATCH("Adj Close", Price_Header,0)))))</f>
        <v>1.9225613676326809</v>
      </c>
    </row>
    <row r="43" spans="1:19" x14ac:dyDescent="0.35">
      <c r="A43" s="8">
        <v>44106</v>
      </c>
      <c r="B43" s="48">
        <v>142.34</v>
      </c>
      <c r="C43" s="48">
        <v>143.1</v>
      </c>
      <c r="D43" s="48">
        <v>140.13</v>
      </c>
      <c r="E43" s="48">
        <v>140.5</v>
      </c>
      <c r="F43" s="48">
        <v>140.5</v>
      </c>
      <c r="G43">
        <v>8195000</v>
      </c>
      <c r="H43" s="48">
        <f>IF(tbl_WMT[[#This Row],[Date]]=$A$5, $F43, EMA_Beta*$H42 + (1-EMA_Beta)*$F43)</f>
        <v>169.44889742197228</v>
      </c>
      <c r="I43" s="50">
        <f ca="1">IF(tbl_WMT[[#This Row],[RS]]= "", "", 100-(100/(1+tbl_WMT[[#This Row],[RS]])))</f>
        <v>58.717081773369692</v>
      </c>
      <c r="J43" s="11">
        <f ca="1">IF(ROW($N43)-4&lt;BB_Periods, "", AVERAGE(INDIRECT(ADDRESS(ROW($F43)-RSI_Periods +1, MATCH("Adj Close", Price_Header,0))): INDIRECT(ADDRESS(ROW($F43),MATCH("Adj Close", Price_Header,0)))))</f>
        <v>137.77285700000002</v>
      </c>
      <c r="K43" s="11">
        <f ca="1">IF(tbl_WMT[[#This Row],[BB_Mean]]="", "", tbl_WMT[[#This Row],[BB_Mean]]+(BB_Width*tbl_WMT[[#This Row],[BB_Stdev]]))</f>
        <v>141.92406426409318</v>
      </c>
      <c r="L43" s="11">
        <f ca="1">IF(tbl_WMT[[#This Row],[BB_Mean]]="", "", tbl_WMT[[#This Row],[BB_Mean]]-(BB_Width*tbl_WMT[[#This Row],[BB_Stdev]]))</f>
        <v>133.62164973590686</v>
      </c>
      <c r="M43" s="46">
        <f>IF(ROW(tbl_WMT[[#This Row],[Adj Close]])=5, 0, $F43-$F42)</f>
        <v>-2.5800000000000125</v>
      </c>
      <c r="N43" s="46">
        <f>MAX(tbl_WMT[[#This Row],[Move]],0)</f>
        <v>0</v>
      </c>
      <c r="O43" s="46">
        <f>MAX(-tbl_WMT[[#This Row],[Move]],0)</f>
        <v>2.5800000000000125</v>
      </c>
      <c r="P43" s="46">
        <f ca="1">IF(ROW($N43)-5&lt;RSI_Periods, "", AVERAGE(INDIRECT(ADDRESS(ROW($N43)-RSI_Periods +1, MATCH("Upmove", Price_Header,0))): INDIRECT(ADDRESS(ROW($N43),MATCH("Upmove", Price_Header,0)))))</f>
        <v>0.76500007142857385</v>
      </c>
      <c r="Q43" s="46">
        <f ca="1">IF(ROW($O43)-5&lt;RSI_Periods, "", AVERAGE(INDIRECT(ADDRESS(ROW($O43)-RSI_Periods +1, MATCH("Downmove", Price_Header,0))): INDIRECT(ADDRESS(ROW($O43),MATCH("Downmove", Price_Header,0)))))</f>
        <v>0.53785771428571694</v>
      </c>
      <c r="R43" s="46">
        <f ca="1">IF(tbl_WMT[[#This Row],[Avg_Upmove]]="", "", tbl_WMT[[#This Row],[Avg_Upmove]]/tbl_WMT[[#This Row],[Avg_Downmove]])</f>
        <v>1.4223093786885725</v>
      </c>
      <c r="S43" s="11">
        <f ca="1">IF(ROW($N43)-4&lt;BB_Periods, "", _xlfn.STDEV.S(INDIRECT(ADDRESS(ROW($F43)-RSI_Periods +1, MATCH("Adj Close", Price_Header,0))): INDIRECT(ADDRESS(ROW($F43),MATCH("Adj Close", Price_Header,0)))))</f>
        <v>2.0756036320465756</v>
      </c>
    </row>
    <row r="44" spans="1:19" x14ac:dyDescent="0.35">
      <c r="A44" s="8">
        <v>44109</v>
      </c>
      <c r="B44" s="48">
        <v>141.29</v>
      </c>
      <c r="C44" s="48">
        <v>142.19</v>
      </c>
      <c r="D44" s="48">
        <v>141.07</v>
      </c>
      <c r="E44" s="48">
        <v>141.80000000000001</v>
      </c>
      <c r="F44" s="48">
        <v>141.80000000000001</v>
      </c>
      <c r="G44">
        <v>4748800</v>
      </c>
      <c r="H44" s="48">
        <f>IF(tbl_WMT[[#This Row],[Date]]=$A$5, $F44, EMA_Beta*$H43 + (1-EMA_Beta)*$F44)</f>
        <v>166.68400767977505</v>
      </c>
      <c r="I44" s="50">
        <f ca="1">IF(tbl_WMT[[#This Row],[RS]]= "", "", 100-(100/(1+tbl_WMT[[#This Row],[RS]])))</f>
        <v>61.384604063125039</v>
      </c>
      <c r="J44" s="11">
        <f ca="1">IF(ROW($N44)-4&lt;BB_Periods, "", AVERAGE(INDIRECT(ADDRESS(ROW($F44)-RSI_Periods +1, MATCH("Adj Close", Price_Header,0))): INDIRECT(ADDRESS(ROW($F44),MATCH("Adj Close", Price_Header,0)))))</f>
        <v>138.0899997857143</v>
      </c>
      <c r="K44" s="11">
        <f ca="1">IF(tbl_WMT[[#This Row],[BB_Mean]]="", "", tbl_WMT[[#This Row],[BB_Mean]]+(BB_Width*tbl_WMT[[#This Row],[BB_Stdev]]))</f>
        <v>142.75228752722319</v>
      </c>
      <c r="L44" s="11">
        <f ca="1">IF(tbl_WMT[[#This Row],[BB_Mean]]="", "", tbl_WMT[[#This Row],[BB_Mean]]-(BB_Width*tbl_WMT[[#This Row],[BB_Stdev]]))</f>
        <v>133.42771204420541</v>
      </c>
      <c r="M44" s="46">
        <f>IF(ROW(tbl_WMT[[#This Row],[Adj Close]])=5, 0, $F44-$F43)</f>
        <v>1.3000000000000114</v>
      </c>
      <c r="N44" s="46">
        <f>MAX(tbl_WMT[[#This Row],[Move]],0)</f>
        <v>1.3000000000000114</v>
      </c>
      <c r="O44" s="46">
        <f>MAX(-tbl_WMT[[#This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0.85500050000000272</v>
      </c>
      <c r="Q44" s="46">
        <f ca="1">IF(ROW($O44)-5&lt;RSI_Periods, "", AVERAGE(INDIRECT(ADDRESS(ROW($O44)-RSI_Periods +1, MATCH("Downmove", Price_Header,0))): INDIRECT(ADDRESS(ROW($O44),MATCH("Downmove", Price_Header,0)))))</f>
        <v>0.53785771428571694</v>
      </c>
      <c r="R44" s="46">
        <f ca="1">IF(tbl_WMT[[#This Row],[Avg_Upmove]]="", "", tbl_WMT[[#This Row],[Avg_Upmove]]/tbl_WMT[[#This Row],[Avg_Downmove]])</f>
        <v>1.5896406750165444</v>
      </c>
      <c r="S44" s="11">
        <f ca="1">IF(ROW($N44)-4&lt;BB_Periods, "", _xlfn.STDEV.S(INDIRECT(ADDRESS(ROW($F44)-RSI_Periods +1, MATCH("Adj Close", Price_Header,0))): INDIRECT(ADDRESS(ROW($F44),MATCH("Adj Close", Price_Header,0)))))</f>
        <v>2.3311438707544521</v>
      </c>
    </row>
    <row r="45" spans="1:19" x14ac:dyDescent="0.35">
      <c r="A45" t="s">
        <v>162</v>
      </c>
      <c r="I45" s="61"/>
      <c r="S45">
        <f ca="1">SUBTOTAL(103,tbl_WMT[BB_Stdev])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5"/>
  <sheetViews>
    <sheetView topLeftCell="A30" zoomScale="126" workbookViewId="0">
      <selection activeCell="A44" sqref="A44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169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3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3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3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3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3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3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3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3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3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3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3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3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3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3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3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3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3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3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35">
      <c r="A37" s="8">
        <v>44098</v>
      </c>
      <c r="B37" s="48">
        <v>2.5499999999999998</v>
      </c>
      <c r="C37" s="48">
        <v>2.77</v>
      </c>
      <c r="D37" s="48">
        <v>2.35</v>
      </c>
      <c r="E37" s="48">
        <v>2.69</v>
      </c>
      <c r="F37" s="48">
        <v>2.69</v>
      </c>
      <c r="G37">
        <v>4218800</v>
      </c>
      <c r="H37" s="48">
        <f>IF(tbl_RIOT[[#This Row],[Date]]=$A$5, $F37, EMA_Beta*$H36 + (1-EMA_Beta)*$F37)</f>
        <v>3.062938179609513</v>
      </c>
      <c r="I37" s="46">
        <f ca="1">IF(tbl_RIOT[[#This Row],[RS]]= "", "", 100-(100/(1+tbl_RIOT[[#This Row],[RS]])))</f>
        <v>34.640522875816984</v>
      </c>
      <c r="J37" s="48">
        <f ca="1">IF(ROW($N37)-4&lt;BB_Periods, "", AVERAGE(INDIRECT(ADDRESS(ROW($F37)-RSI_Periods +1, MATCH("Adj Close", Price_Header,0))): INDIRECT(ADDRESS(ROW($F37),MATCH("Adj Close", Price_Header,0)))))</f>
        <v>2.9192857142857145</v>
      </c>
      <c r="K37" s="48">
        <f ca="1">IF(tbl_RIOT[[#This Row],[BB_Mean]]="", "", tbl_RIOT[[#This Row],[BB_Mean]]+(BB_Width*tbl_RIOT[[#This Row],[BB_Stdev]]))</f>
        <v>3.2082056431150101</v>
      </c>
      <c r="L37" s="48">
        <f ca="1">IF(tbl_RIOT[[#This Row],[BB_Mean]]="", "", tbl_RIOT[[#This Row],[BB_Mean]]-(BB_Width*tbl_RIOT[[#This Row],[BB_Stdev]]))</f>
        <v>2.6303657854564189</v>
      </c>
      <c r="M37" s="46">
        <f>IF(ROW(tbl_RIOT[[#This Row],[Adj Close]])=5, 0, $F37-$F36)</f>
        <v>8.9999999999999858E-2</v>
      </c>
      <c r="N37" s="46">
        <f>MAX(tbl_RIOT[[#This Row],[Move]],0)</f>
        <v>8.9999999999999858E-2</v>
      </c>
      <c r="O37" s="46">
        <f>MAX(-tbl_RIOT[[#This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3.7857142857142846E-2</v>
      </c>
      <c r="Q37" s="46">
        <f ca="1">IF(ROW($O37)-5&lt;RSI_Periods, "", AVERAGE(INDIRECT(ADDRESS(ROW($O37)-RSI_Periods +1, MATCH("Downmove", Price_Header,0))): INDIRECT(ADDRESS(ROW($O37),MATCH("Downmove", Price_Header,0)))))</f>
        <v>7.1428571428571425E-2</v>
      </c>
      <c r="R37" s="46">
        <f ca="1">IF(tbl_RIOT[[#This Row],[Avg_Upmove]]="", "", tbl_RIOT[[#This Row],[Avg_Upmove]]/tbl_RIOT[[#This Row],[Avg_Downmove]])</f>
        <v>0.52999999999999992</v>
      </c>
      <c r="S37" s="48">
        <f ca="1">IF(ROW($N37)-4&lt;BB_Periods, "", _xlfn.STDEV.S(INDIRECT(ADDRESS(ROW($F37)-RSI_Periods +1, MATCH("Adj Close", Price_Header,0))): INDIRECT(ADDRESS(ROW($F37),MATCH("Adj Close", Price_Header,0)))))</f>
        <v>0.14445996441464778</v>
      </c>
    </row>
    <row r="38" spans="1:19" x14ac:dyDescent="0.35">
      <c r="A38" s="8">
        <v>44099</v>
      </c>
      <c r="B38" s="48">
        <v>2.66</v>
      </c>
      <c r="C38" s="48">
        <v>2.78</v>
      </c>
      <c r="D38" s="48">
        <v>2.6</v>
      </c>
      <c r="E38" s="48">
        <v>2.68</v>
      </c>
      <c r="F38" s="48">
        <v>2.68</v>
      </c>
      <c r="G38">
        <v>3685800</v>
      </c>
      <c r="H38" s="48">
        <f>IF(tbl_RIOT[[#This Row],[Date]]=$A$5, $F38, EMA_Beta*$H37 + (1-EMA_Beta)*$F38)</f>
        <v>3.0246443616485617</v>
      </c>
      <c r="I38" s="46">
        <f ca="1">IF(tbl_RIOT[[#This Row],[RS]]= "", "", 100-(100/(1+tbl_RIOT[[#This Row],[RS]])))</f>
        <v>35.570469798657726</v>
      </c>
      <c r="J38" s="48">
        <f ca="1">IF(ROW($N38)-4&lt;BB_Periods, "", AVERAGE(INDIRECT(ADDRESS(ROW($F38)-RSI_Periods +1, MATCH("Adj Close", Price_Header,0))): INDIRECT(ADDRESS(ROW($F38),MATCH("Adj Close", Price_Header,0)))))</f>
        <v>2.8885714285714283</v>
      </c>
      <c r="K38" s="48">
        <f ca="1">IF(tbl_RIOT[[#This Row],[BB_Mean]]="", "", tbl_RIOT[[#This Row],[BB_Mean]]+(BB_Width*tbl_RIOT[[#This Row],[BB_Stdev]]))</f>
        <v>3.1815515689177709</v>
      </c>
      <c r="L38" s="48">
        <f ca="1">IF(tbl_RIOT[[#This Row],[BB_Mean]]="", "", tbl_RIOT[[#This Row],[BB_Mean]]-(BB_Width*tbl_RIOT[[#This Row],[BB_Stdev]]))</f>
        <v>2.5955912882250858</v>
      </c>
      <c r="M38" s="46">
        <f>IF(ROW(tbl_RIOT[[#This Row],[Adj Close]])=5, 0, $F38-$F37)</f>
        <v>-9.9999999999997868E-3</v>
      </c>
      <c r="N38" s="46">
        <f>MAX(tbl_RIOT[[#This Row],[Move]],0)</f>
        <v>0</v>
      </c>
      <c r="O38" s="46">
        <f>MAX(-tbl_RIOT[[#This Row],[Move]],0)</f>
        <v>9.9999999999997868E-3</v>
      </c>
      <c r="P38" s="46">
        <f ca="1">IF(ROW($N38)-5&lt;RSI_Periods, "", AVERAGE(INDIRECT(ADDRESS(ROW($N38)-RSI_Periods +1, MATCH("Upmove", Price_Header,0))): INDIRECT(ADDRESS(ROW($N38),MATCH("Upmove", Price_Header,0)))))</f>
        <v>3.7857142857142846E-2</v>
      </c>
      <c r="Q38" s="46">
        <f ca="1">IF(ROW($O38)-5&lt;RSI_Periods, "", AVERAGE(INDIRECT(ADDRESS(ROW($O38)-RSI_Periods +1, MATCH("Downmove", Price_Header,0))): INDIRECT(ADDRESS(ROW($O38),MATCH("Downmove", Price_Header,0)))))</f>
        <v>6.8571428571428533E-2</v>
      </c>
      <c r="R38" s="46">
        <f ca="1">IF(tbl_RIOT[[#This Row],[Avg_Upmove]]="", "", tbl_RIOT[[#This Row],[Avg_Upmove]]/tbl_RIOT[[#This Row],[Avg_Downmove]])</f>
        <v>0.55208333333333348</v>
      </c>
      <c r="S38" s="48">
        <f ca="1">IF(ROW($N38)-4&lt;BB_Periods, "", _xlfn.STDEV.S(INDIRECT(ADDRESS(ROW($F38)-RSI_Periods +1, MATCH("Adj Close", Price_Header,0))): INDIRECT(ADDRESS(ROW($F38),MATCH("Adj Close", Price_Header,0)))))</f>
        <v>0.14649007017317128</v>
      </c>
    </row>
    <row r="39" spans="1:19" x14ac:dyDescent="0.35">
      <c r="A39" s="8">
        <v>44102</v>
      </c>
      <c r="B39" s="48">
        <v>2.79</v>
      </c>
      <c r="C39" s="48">
        <v>2.81</v>
      </c>
      <c r="D39" s="48">
        <v>2.66</v>
      </c>
      <c r="E39" s="48">
        <v>2.74</v>
      </c>
      <c r="F39" s="48">
        <v>2.74</v>
      </c>
      <c r="G39">
        <v>3243400</v>
      </c>
      <c r="H39" s="48">
        <f>IF(tbl_RIOT[[#This Row],[Date]]=$A$5, $F39, EMA_Beta*$H38 + (1-EMA_Beta)*$F39)</f>
        <v>2.9961799254837054</v>
      </c>
      <c r="I39" s="46">
        <f ca="1">IF(tbl_RIOT[[#This Row],[RS]]= "", "", 100-(100/(1+tbl_RIOT[[#This Row],[RS]])))</f>
        <v>46.825396825396844</v>
      </c>
      <c r="J39" s="48">
        <f ca="1">IF(ROW($N39)-4&lt;BB_Periods, "", AVERAGE(INDIRECT(ADDRESS(ROW($F39)-RSI_Periods +1, MATCH("Adj Close", Price_Header,0))): INDIRECT(ADDRESS(ROW($F39),MATCH("Adj Close", Price_Header,0)))))</f>
        <v>2.882857142857143</v>
      </c>
      <c r="K39" s="48">
        <f ca="1">IF(tbl_RIOT[[#This Row],[BB_Mean]]="", "", tbl_RIOT[[#This Row],[BB_Mean]]+(BB_Width*tbl_RIOT[[#This Row],[BB_Stdev]]))</f>
        <v>3.184588411110465</v>
      </c>
      <c r="L39" s="48">
        <f ca="1">IF(tbl_RIOT[[#This Row],[BB_Mean]]="", "", tbl_RIOT[[#This Row],[BB_Mean]]-(BB_Width*tbl_RIOT[[#This Row],[BB_Stdev]]))</f>
        <v>2.581125874603821</v>
      </c>
      <c r="M39" s="46">
        <f>IF(ROW(tbl_RIOT[[#This Row],[Adj Close]])=5, 0, $F39-$F38)</f>
        <v>6.0000000000000053E-2</v>
      </c>
      <c r="N39" s="46">
        <f>MAX(tbl_RIOT[[#This Row],[Move]],0)</f>
        <v>6.0000000000000053E-2</v>
      </c>
      <c r="O39" s="46">
        <f>MAX(-tbl_RIOT[[#This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4.2142857142857135E-2</v>
      </c>
      <c r="Q39" s="46">
        <f ca="1">IF(ROW($O39)-5&lt;RSI_Periods, "", AVERAGE(INDIRECT(ADDRESS(ROW($O39)-RSI_Periods +1, MATCH("Downmove", Price_Header,0))): INDIRECT(ADDRESS(ROW($O39),MATCH("Downmove", Price_Header,0)))))</f>
        <v>4.785714285714282E-2</v>
      </c>
      <c r="R39" s="46">
        <f ca="1">IF(tbl_RIOT[[#This Row],[Avg_Upmove]]="", "", tbl_RIOT[[#This Row],[Avg_Upmove]]/tbl_RIOT[[#This Row],[Avg_Downmove]])</f>
        <v>0.88059701492537368</v>
      </c>
      <c r="S39" s="48">
        <f ca="1">IF(ROW($N39)-4&lt;BB_Periods, "", _xlfn.STDEV.S(INDIRECT(ADDRESS(ROW($F39)-RSI_Periods +1, MATCH("Adj Close", Price_Header,0))): INDIRECT(ADDRESS(ROW($F39),MATCH("Adj Close", Price_Header,0)))))</f>
        <v>0.15086563412666101</v>
      </c>
    </row>
    <row r="40" spans="1:19" x14ac:dyDescent="0.35">
      <c r="A40" s="8">
        <v>44103</v>
      </c>
      <c r="B40" s="48">
        <v>2.7</v>
      </c>
      <c r="C40" s="48">
        <v>2.78</v>
      </c>
      <c r="D40" s="48">
        <v>2.66</v>
      </c>
      <c r="E40" s="48">
        <v>2.76</v>
      </c>
      <c r="F40" s="48">
        <v>2.76</v>
      </c>
      <c r="G40">
        <v>1996600</v>
      </c>
      <c r="H40" s="48">
        <f>IF(tbl_RIOT[[#This Row],[Date]]=$A$5, $F40, EMA_Beta*$H39 + (1-EMA_Beta)*$F40)</f>
        <v>2.9725619329353345</v>
      </c>
      <c r="I40" s="46">
        <f ca="1">IF(tbl_RIOT[[#This Row],[RS]]= "", "", 100-(100/(1+tbl_RIOT[[#This Row],[RS]])))</f>
        <v>41.739130434782581</v>
      </c>
      <c r="J40" s="48">
        <f ca="1">IF(ROW($N40)-4&lt;BB_Periods, "", AVERAGE(INDIRECT(ADDRESS(ROW($F40)-RSI_Periods +1, MATCH("Adj Close", Price_Header,0))): INDIRECT(ADDRESS(ROW($F40),MATCH("Adj Close", Price_Header,0)))))</f>
        <v>2.8692857142857142</v>
      </c>
      <c r="K40" s="48">
        <f ca="1">IF(tbl_RIOT[[#This Row],[BB_Mean]]="", "", tbl_RIOT[[#This Row],[BB_Mean]]+(BB_Width*tbl_RIOT[[#This Row],[BB_Stdev]]))</f>
        <v>3.1750723956593383</v>
      </c>
      <c r="L40" s="48">
        <f ca="1">IF(tbl_RIOT[[#This Row],[BB_Mean]]="", "", tbl_RIOT[[#This Row],[BB_Mean]]-(BB_Width*tbl_RIOT[[#This Row],[BB_Stdev]]))</f>
        <v>2.5634990329120901</v>
      </c>
      <c r="M40" s="46">
        <f>IF(ROW(tbl_RIOT[[#This Row],[Adj Close]])=5, 0, $F40-$F39)</f>
        <v>1.9999999999999574E-2</v>
      </c>
      <c r="N40" s="46">
        <f>MAX(tbl_RIOT[[#This Row],[Move]],0)</f>
        <v>1.9999999999999574E-2</v>
      </c>
      <c r="O40" s="46">
        <f>MAX(-tbl_RIOT[[#This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3.4285714285714218E-2</v>
      </c>
      <c r="Q40" s="46">
        <f ca="1">IF(ROW($O40)-5&lt;RSI_Periods, "", AVERAGE(INDIRECT(ADDRESS(ROW($O40)-RSI_Periods +1, MATCH("Downmove", Price_Header,0))): INDIRECT(ADDRESS(ROW($O40),MATCH("Downmove", Price_Header,0)))))</f>
        <v>4.785714285714282E-2</v>
      </c>
      <c r="R40" s="46">
        <f ca="1">IF(tbl_RIOT[[#This Row],[Avg_Upmove]]="", "", tbl_RIOT[[#This Row],[Avg_Upmove]]/tbl_RIOT[[#This Row],[Avg_Downmove]])</f>
        <v>0.71641791044776038</v>
      </c>
      <c r="S40" s="48">
        <f ca="1">IF(ROW($N40)-4&lt;BB_Periods, "", _xlfn.STDEV.S(INDIRECT(ADDRESS(ROW($F40)-RSI_Periods +1, MATCH("Adj Close", Price_Header,0))): INDIRECT(ADDRESS(ROW($F40),MATCH("Adj Close", Price_Header,0)))))</f>
        <v>0.15289334068681215</v>
      </c>
    </row>
    <row r="41" spans="1:19" x14ac:dyDescent="0.35">
      <c r="A41" s="8">
        <v>44104</v>
      </c>
      <c r="B41" s="48">
        <v>2.73</v>
      </c>
      <c r="C41" s="48">
        <v>2.7570000000000001</v>
      </c>
      <c r="D41" s="48">
        <v>2.63</v>
      </c>
      <c r="E41" s="48">
        <v>2.7</v>
      </c>
      <c r="F41" s="48">
        <v>2.7</v>
      </c>
      <c r="G41">
        <v>1880700</v>
      </c>
      <c r="H41" s="48">
        <f>IF(tbl_RIOT[[#This Row],[Date]]=$A$5, $F41, EMA_Beta*$H40 + (1-EMA_Beta)*$F41)</f>
        <v>2.945305739641801</v>
      </c>
      <c r="I41" s="46">
        <f ca="1">IF(tbl_RIOT[[#This Row],[RS]]= "", "", 100-(100/(1+tbl_RIOT[[#This Row],[RS]])))</f>
        <v>44.85981308411214</v>
      </c>
      <c r="J41" s="48">
        <f ca="1">IF(ROW($N41)-4&lt;BB_Periods, "", AVERAGE(INDIRECT(ADDRESS(ROW($F41)-RSI_Periods +1, MATCH("Adj Close", Price_Header,0))): INDIRECT(ADDRESS(ROW($F41),MATCH("Adj Close", Price_Header,0)))))</f>
        <v>2.8614285714285717</v>
      </c>
      <c r="K41" s="48">
        <f ca="1">IF(tbl_RIOT[[#This Row],[BB_Mean]]="", "", tbl_RIOT[[#This Row],[BB_Mean]]+(BB_Width*tbl_RIOT[[#This Row],[BB_Stdev]]))</f>
        <v>3.1791955051643273</v>
      </c>
      <c r="L41" s="48">
        <f ca="1">IF(tbl_RIOT[[#This Row],[BB_Mean]]="", "", tbl_RIOT[[#This Row],[BB_Mean]]-(BB_Width*tbl_RIOT[[#This Row],[BB_Stdev]]))</f>
        <v>2.5436616376928161</v>
      </c>
      <c r="M41" s="46">
        <f>IF(ROW(tbl_RIOT[[#This Row],[Adj Close]])=5, 0, $F41-$F40)</f>
        <v>-5.9999999999999609E-2</v>
      </c>
      <c r="N41" s="46">
        <f>MAX(tbl_RIOT[[#This Row],[Move]],0)</f>
        <v>0</v>
      </c>
      <c r="O41" s="46">
        <f>MAX(-tbl_RIOT[[#This Row],[Move]],0)</f>
        <v>5.9999999999999609E-2</v>
      </c>
      <c r="P41" s="46">
        <f ca="1">IF(ROW($N41)-5&lt;RSI_Periods, "", AVERAGE(INDIRECT(ADDRESS(ROW($N41)-RSI_Periods +1, MATCH("Upmove", Price_Header,0))): INDIRECT(ADDRESS(ROW($N41),MATCH("Upmove", Price_Header,0)))))</f>
        <v>3.4285714285714218E-2</v>
      </c>
      <c r="Q41" s="46">
        <f ca="1">IF(ROW($O41)-5&lt;RSI_Periods, "", AVERAGE(INDIRECT(ADDRESS(ROW($O41)-RSI_Periods +1, MATCH("Downmove", Price_Header,0))): INDIRECT(ADDRESS(ROW($O41),MATCH("Downmove", Price_Header,0)))))</f>
        <v>4.2142857142857072E-2</v>
      </c>
      <c r="R41" s="46">
        <f ca="1">IF(tbl_RIOT[[#This Row],[Avg_Upmove]]="", "", tbl_RIOT[[#This Row],[Avg_Upmove]]/tbl_RIOT[[#This Row],[Avg_Downmove]])</f>
        <v>0.81355932203389802</v>
      </c>
      <c r="S41" s="48">
        <f ca="1">IF(ROW($N41)-4&lt;BB_Periods, "", _xlfn.STDEV.S(INDIRECT(ADDRESS(ROW($F41)-RSI_Periods +1, MATCH("Adj Close", Price_Header,0))): INDIRECT(ADDRESS(ROW($F41),MATCH("Adj Close", Price_Header,0)))))</f>
        <v>0.1588834668678778</v>
      </c>
    </row>
    <row r="42" spans="1:19" x14ac:dyDescent="0.35">
      <c r="A42" s="8">
        <v>44105</v>
      </c>
      <c r="B42" s="48">
        <v>2.71</v>
      </c>
      <c r="C42" s="48">
        <v>2.74</v>
      </c>
      <c r="D42" s="48">
        <v>2.62</v>
      </c>
      <c r="E42" s="48">
        <v>2.65</v>
      </c>
      <c r="F42" s="48">
        <v>2.65</v>
      </c>
      <c r="G42">
        <v>1740100</v>
      </c>
      <c r="H42" s="48">
        <f>IF(tbl_RIOT[[#This Row],[Date]]=$A$5, $F42, EMA_Beta*$H41 + (1-EMA_Beta)*$F42)</f>
        <v>2.915775165677621</v>
      </c>
      <c r="I42" s="46">
        <f ca="1">IF(tbl_RIOT[[#This Row],[RS]]= "", "", 100-(100/(1+tbl_RIOT[[#This Row],[RS]])))</f>
        <v>37.254901960784281</v>
      </c>
      <c r="J42" s="48">
        <f ca="1">IF(ROW($N42)-4&lt;BB_Periods, "", AVERAGE(INDIRECT(ADDRESS(ROW($F42)-RSI_Periods +1, MATCH("Adj Close", Price_Header,0))): INDIRECT(ADDRESS(ROW($F42),MATCH("Adj Close", Price_Header,0)))))</f>
        <v>2.842857142857143</v>
      </c>
      <c r="K42" s="48">
        <f ca="1">IF(tbl_RIOT[[#This Row],[BB_Mean]]="", "", tbl_RIOT[[#This Row],[BB_Mean]]+(BB_Width*tbl_RIOT[[#This Row],[BB_Stdev]]))</f>
        <v>3.1782951867917588</v>
      </c>
      <c r="L42" s="48">
        <f ca="1">IF(tbl_RIOT[[#This Row],[BB_Mean]]="", "", tbl_RIOT[[#This Row],[BB_Mean]]-(BB_Width*tbl_RIOT[[#This Row],[BB_Stdev]]))</f>
        <v>2.5074190989225271</v>
      </c>
      <c r="M42" s="46">
        <f>IF(ROW(tbl_RIOT[[#This Row],[Adj Close]])=5, 0, $F42-$F41)</f>
        <v>-5.0000000000000266E-2</v>
      </c>
      <c r="N42" s="46">
        <f>MAX(tbl_RIOT[[#This Row],[Move]],0)</f>
        <v>0</v>
      </c>
      <c r="O42" s="46">
        <f>MAX(-tbl_RIOT[[#This Row],[Move]],0)</f>
        <v>5.0000000000000266E-2</v>
      </c>
      <c r="P42" s="46">
        <f ca="1">IF(ROW($N42)-5&lt;RSI_Periods, "", AVERAGE(INDIRECT(ADDRESS(ROW($N42)-RSI_Periods +1, MATCH("Upmove", Price_Header,0))): INDIRECT(ADDRESS(ROW($N42),MATCH("Upmove", Price_Header,0)))))</f>
        <v>2.7142857142857073E-2</v>
      </c>
      <c r="Q42" s="46">
        <f ca="1">IF(ROW($O42)-5&lt;RSI_Periods, "", AVERAGE(INDIRECT(ADDRESS(ROW($O42)-RSI_Periods +1, MATCH("Downmove", Price_Header,0))): INDIRECT(ADDRESS(ROW($O42),MATCH("Downmove", Price_Header,0)))))</f>
        <v>4.5714285714285659E-2</v>
      </c>
      <c r="R42" s="46">
        <f ca="1">IF(tbl_RIOT[[#This Row],[Avg_Upmove]]="", "", tbl_RIOT[[#This Row],[Avg_Upmove]]/tbl_RIOT[[#This Row],[Avg_Downmove]])</f>
        <v>0.59374999999999922</v>
      </c>
      <c r="S42" s="48">
        <f ca="1">IF(ROW($N42)-4&lt;BB_Periods, "", _xlfn.STDEV.S(INDIRECT(ADDRESS(ROW($F42)-RSI_Periods +1, MATCH("Adj Close", Price_Header,0))): INDIRECT(ADDRESS(ROW($F42),MATCH("Adj Close", Price_Header,0)))))</f>
        <v>0.16771902196730792</v>
      </c>
    </row>
    <row r="43" spans="1:19" x14ac:dyDescent="0.35">
      <c r="A43" s="8">
        <v>44106</v>
      </c>
      <c r="B43" s="48">
        <v>2.5299999999999998</v>
      </c>
      <c r="C43" s="48">
        <v>2.61</v>
      </c>
      <c r="D43" s="48">
        <v>2.5</v>
      </c>
      <c r="E43" s="48">
        <v>2.6</v>
      </c>
      <c r="F43" s="48">
        <v>2.6</v>
      </c>
      <c r="G43">
        <v>2138300</v>
      </c>
      <c r="H43" s="48">
        <f>IF(tbl_RIOT[[#This Row],[Date]]=$A$5, $F43, EMA_Beta*$H42 + (1-EMA_Beta)*$F43)</f>
        <v>2.8841976491098587</v>
      </c>
      <c r="I43" s="46">
        <f ca="1">IF(tbl_RIOT[[#This Row],[RS]]= "", "", 100-(100/(1+tbl_RIOT[[#This Row],[RS]])))</f>
        <v>28.124999999999957</v>
      </c>
      <c r="J43" s="48">
        <f ca="1">IF(ROW($N43)-4&lt;BB_Periods, "", AVERAGE(INDIRECT(ADDRESS(ROW($F43)-RSI_Periods +1, MATCH("Adj Close", Price_Header,0))): INDIRECT(ADDRESS(ROW($F43),MATCH("Adj Close", Price_Header,0)))))</f>
        <v>2.8128571428571432</v>
      </c>
      <c r="K43" s="48">
        <f ca="1">IF(tbl_RIOT[[#This Row],[BB_Mean]]="", "", tbl_RIOT[[#This Row],[BB_Mean]]+(BB_Width*tbl_RIOT[[#This Row],[BB_Stdev]]))</f>
        <v>3.1551056869505634</v>
      </c>
      <c r="L43" s="48">
        <f ca="1">IF(tbl_RIOT[[#This Row],[BB_Mean]]="", "", tbl_RIOT[[#This Row],[BB_Mean]]-(BB_Width*tbl_RIOT[[#This Row],[BB_Stdev]]))</f>
        <v>2.470608598763723</v>
      </c>
      <c r="M43" s="46">
        <f>IF(ROW(tbl_RIOT[[#This Row],[Adj Close]])=5, 0, $F43-$F42)</f>
        <v>-4.9999999999999822E-2</v>
      </c>
      <c r="N43" s="46">
        <f>MAX(tbl_RIOT[[#This Row],[Move]],0)</f>
        <v>0</v>
      </c>
      <c r="O43" s="46">
        <f>MAX(-tbl_RIOT[[#This Row],[Move]],0)</f>
        <v>4.9999999999999822E-2</v>
      </c>
      <c r="P43" s="46">
        <f ca="1">IF(ROW($N43)-5&lt;RSI_Periods, "", AVERAGE(INDIRECT(ADDRESS(ROW($N43)-RSI_Periods +1, MATCH("Upmove", Price_Header,0))): INDIRECT(ADDRESS(ROW($N43),MATCH("Upmove", Price_Header,0)))))</f>
        <v>1.9285714285714222E-2</v>
      </c>
      <c r="Q43" s="46">
        <f ca="1">IF(ROW($O43)-5&lt;RSI_Periods, "", AVERAGE(INDIRECT(ADDRESS(ROW($O43)-RSI_Periods +1, MATCH("Downmove", Price_Header,0))): INDIRECT(ADDRESS(ROW($O43),MATCH("Downmove", Price_Header,0)))))</f>
        <v>4.9285714285714217E-2</v>
      </c>
      <c r="R43" s="46">
        <f ca="1">IF(tbl_RIOT[[#This Row],[Avg_Upmove]]="", "", tbl_RIOT[[#This Row],[Avg_Upmove]]/tbl_RIOT[[#This Row],[Avg_Downmove]])</f>
        <v>0.3913043478260862</v>
      </c>
      <c r="S43" s="48">
        <f ca="1">IF(ROW($N43)-4&lt;BB_Periods, "", _xlfn.STDEV.S(INDIRECT(ADDRESS(ROW($F43)-RSI_Periods +1, MATCH("Adj Close", Price_Header,0))): INDIRECT(ADDRESS(ROW($F43),MATCH("Adj Close", Price_Header,0)))))</f>
        <v>0.17112427204671013</v>
      </c>
    </row>
    <row r="44" spans="1:19" x14ac:dyDescent="0.35">
      <c r="A44" s="8">
        <v>44109</v>
      </c>
      <c r="B44" s="48">
        <v>2.63</v>
      </c>
      <c r="C44" s="48">
        <v>2.68</v>
      </c>
      <c r="D44" s="48">
        <v>2.57</v>
      </c>
      <c r="E44" s="48">
        <v>2.66</v>
      </c>
      <c r="F44" s="48">
        <v>2.66</v>
      </c>
      <c r="G44">
        <v>2044100</v>
      </c>
      <c r="H44" s="48">
        <f>IF(tbl_RIOT[[#This Row],[Date]]=$A$5, $F44, EMA_Beta*$H43 + (1-EMA_Beta)*$F44)</f>
        <v>2.8617778841988728</v>
      </c>
      <c r="I44" s="46">
        <f ca="1">IF(tbl_RIOT[[#This Row],[RS]]= "", "", 100-(100/(1+tbl_RIOT[[#This Row],[RS]])))</f>
        <v>32.999999999999972</v>
      </c>
      <c r="J44" s="48">
        <f ca="1">IF(ROW($N44)-4&lt;BB_Periods, "", AVERAGE(INDIRECT(ADDRESS(ROW($F44)-RSI_Periods +1, MATCH("Adj Close", Price_Header,0))): INDIRECT(ADDRESS(ROW($F44),MATCH("Adj Close", Price_Header,0)))))</f>
        <v>2.7885714285714291</v>
      </c>
      <c r="K44" s="48">
        <f ca="1">IF(tbl_RIOT[[#This Row],[BB_Mean]]="", "", tbl_RIOT[[#This Row],[BB_Mean]]+(BB_Width*tbl_RIOT[[#This Row],[BB_Stdev]]))</f>
        <v>3.1217479484623021</v>
      </c>
      <c r="L44" s="48">
        <f ca="1">IF(tbl_RIOT[[#This Row],[BB_Mean]]="", "", tbl_RIOT[[#This Row],[BB_Mean]]-(BB_Width*tbl_RIOT[[#This Row],[BB_Stdev]]))</f>
        <v>2.4553949086805562</v>
      </c>
      <c r="M44" s="46">
        <f>IF(ROW(tbl_RIOT[[#This Row],[Adj Close]])=5, 0, $F44-$F43)</f>
        <v>6.0000000000000053E-2</v>
      </c>
      <c r="N44" s="46">
        <f>MAX(tbl_RIOT[[#This Row],[Move]],0)</f>
        <v>6.0000000000000053E-2</v>
      </c>
      <c r="O44" s="46">
        <f>MAX(-tbl_RIOT[[#This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2.3571428571428514E-2</v>
      </c>
      <c r="Q44" s="46">
        <f ca="1">IF(ROW($O44)-5&lt;RSI_Periods, "", AVERAGE(INDIRECT(ADDRESS(ROW($O44)-RSI_Periods +1, MATCH("Downmove", Price_Header,0))): INDIRECT(ADDRESS(ROW($O44),MATCH("Downmove", Price_Header,0)))))</f>
        <v>4.7857142857142786E-2</v>
      </c>
      <c r="R44" s="46">
        <f ca="1">IF(tbl_RIOT[[#This Row],[Avg_Upmove]]="", "", tbl_RIOT[[#This Row],[Avg_Upmove]]/tbl_RIOT[[#This Row],[Avg_Downmove]])</f>
        <v>0.49253731343283536</v>
      </c>
      <c r="S44" s="48">
        <f ca="1">IF(ROW($N44)-4&lt;BB_Periods, "", _xlfn.STDEV.S(INDIRECT(ADDRESS(ROW($F44)-RSI_Periods +1, MATCH("Adj Close", Price_Header,0))): INDIRECT(ADDRESS(ROW($F44),MATCH("Adj Close", Price_Header,0)))))</f>
        <v>0.16658825994543652</v>
      </c>
    </row>
    <row r="45" spans="1:19" x14ac:dyDescent="0.35">
      <c r="A45" t="s">
        <v>162</v>
      </c>
      <c r="S45">
        <f ca="1">SUBTOTAL(103,tbl_RIOT[BB_Stdev])</f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Dashboard</vt:lpstr>
      <vt:lpstr>Dashboard_backend</vt:lpstr>
      <vt:lpstr>Adj_Close_HD</vt:lpstr>
      <vt:lpstr>BB_Periods</vt:lpstr>
      <vt:lpstr>BB_Width</vt:lpstr>
      <vt:lpstr>Date_List</vt:lpstr>
      <vt:lpstr>EMA_Beta</vt:lpstr>
      <vt:lpstr>Metrics</vt:lpstr>
      <vt:lpstr>pos_header</vt:lpstr>
      <vt:lpstr>Price_AAPL</vt:lpstr>
      <vt:lpstr>Price_HD</vt:lpstr>
      <vt:lpstr>Price_Header</vt:lpstr>
      <vt:lpstr>RSI_Periods</vt:lpstr>
      <vt:lpstr>Symbol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2020-09-13T13:25:13Z</cp:lastPrinted>
  <dcterms:created xsi:type="dcterms:W3CDTF">2020-09-12T01:33:26Z</dcterms:created>
  <dcterms:modified xsi:type="dcterms:W3CDTF">2020-10-06T13:30:23Z</dcterms:modified>
</cp:coreProperties>
</file>