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735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Dashboard" sheetId="15" r:id="rId16"/>
    <sheet name="Dashboard_backend" sheetId="16" r:id="rId17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16" l="1"/>
  <c r="AH11" i="16" s="1"/>
  <c r="AG10" i="16"/>
  <c r="AJ10" i="16" s="1"/>
  <c r="AG9" i="16"/>
  <c r="AH9" i="16" s="1"/>
  <c r="AG8" i="16"/>
  <c r="AJ8" i="16" s="1"/>
  <c r="AG7" i="16"/>
  <c r="AJ7" i="16" s="1"/>
  <c r="AG6" i="16"/>
  <c r="AJ6" i="16" s="1"/>
  <c r="AG5" i="16"/>
  <c r="AJ5" i="16" s="1"/>
  <c r="G3" i="15"/>
  <c r="X6" i="4"/>
  <c r="X7" i="4" s="1"/>
  <c r="X8" i="4" s="1"/>
  <c r="X9" i="4" s="1"/>
  <c r="X10" i="4" s="1"/>
  <c r="X11" i="4" s="1"/>
  <c r="X12" i="4" s="1"/>
  <c r="X13" i="4" s="1"/>
  <c r="X14" i="4" s="1"/>
  <c r="X15" i="4" s="1"/>
  <c r="W6" i="4"/>
  <c r="W7" i="4" s="1"/>
  <c r="W8" i="4" s="1"/>
  <c r="W9" i="4" s="1"/>
  <c r="W10" i="4" s="1"/>
  <c r="W11" i="4" s="1"/>
  <c r="W12" i="4" s="1"/>
  <c r="W13" i="4" s="1"/>
  <c r="W14" i="4" s="1"/>
  <c r="W15" i="4" s="1"/>
  <c r="U6" i="4"/>
  <c r="U7" i="4" s="1"/>
  <c r="U8" i="4" s="1"/>
  <c r="U9" i="4" s="1"/>
  <c r="U10" i="4" s="1"/>
  <c r="U11" i="4" s="1"/>
  <c r="U12" i="4" s="1"/>
  <c r="U13" i="4" s="1"/>
  <c r="U14" i="4" s="1"/>
  <c r="U15" i="4" s="1"/>
  <c r="T6" i="4"/>
  <c r="T7" i="4" s="1"/>
  <c r="T8" i="4" s="1"/>
  <c r="T9" i="4" s="1"/>
  <c r="T10" i="4" s="1"/>
  <c r="T11" i="4" s="1"/>
  <c r="T12" i="4" s="1"/>
  <c r="T13" i="4" s="1"/>
  <c r="T14" i="4" s="1"/>
  <c r="T15" i="4" s="1"/>
  <c r="S6" i="4"/>
  <c r="S7" i="4" s="1"/>
  <c r="S8" i="4" s="1"/>
  <c r="S9" i="4" s="1"/>
  <c r="S10" i="4" s="1"/>
  <c r="S11" i="4" s="1"/>
  <c r="S12" i="4" s="1"/>
  <c r="S13" i="4" s="1"/>
  <c r="S14" i="4" s="1"/>
  <c r="S15" i="4" s="1"/>
  <c r="R6" i="4"/>
  <c r="R7" i="4"/>
  <c r="R8" i="4" s="1"/>
  <c r="R9" i="4" s="1"/>
  <c r="R10" i="4" s="1"/>
  <c r="R11" i="4" s="1"/>
  <c r="R12" i="4" s="1"/>
  <c r="R13" i="4" s="1"/>
  <c r="R14" i="4" s="1"/>
  <c r="R15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P6" i="4"/>
  <c r="P7" i="4"/>
  <c r="P8" i="4" s="1"/>
  <c r="P9" i="4" s="1"/>
  <c r="P10" i="4" s="1"/>
  <c r="P11" i="4" s="1"/>
  <c r="P12" i="4" s="1"/>
  <c r="P13" i="4" s="1"/>
  <c r="P14" i="4" s="1"/>
  <c r="P15" i="4" s="1"/>
  <c r="O6" i="4"/>
  <c r="O7" i="4" s="1"/>
  <c r="O8" i="4" s="1"/>
  <c r="O9" i="4" s="1"/>
  <c r="O10" i="4" s="1"/>
  <c r="O11" i="4" s="1"/>
  <c r="O12" i="4" s="1"/>
  <c r="O13" i="4" s="1"/>
  <c r="O14" i="4" s="1"/>
  <c r="O15" i="4" s="1"/>
  <c r="N6" i="4"/>
  <c r="N7" i="4"/>
  <c r="N8" i="4" s="1"/>
  <c r="N9" i="4" s="1"/>
  <c r="N10" i="4" s="1"/>
  <c r="N11" i="4" s="1"/>
  <c r="N12" i="4" s="1"/>
  <c r="N13" i="4" s="1"/>
  <c r="N14" i="4" s="1"/>
  <c r="N15" i="4" s="1"/>
  <c r="M6" i="4"/>
  <c r="M7" i="4" s="1"/>
  <c r="M8" i="4" s="1"/>
  <c r="M9" i="4" s="1"/>
  <c r="M10" i="4" s="1"/>
  <c r="M11" i="4" s="1"/>
  <c r="M12" i="4" s="1"/>
  <c r="M13" i="4" s="1"/>
  <c r="M14" i="4" s="1"/>
  <c r="M15" i="4" s="1"/>
  <c r="L6" i="4"/>
  <c r="L7" i="4"/>
  <c r="L8" i="4" s="1"/>
  <c r="L9" i="4" s="1"/>
  <c r="L10" i="4" s="1"/>
  <c r="L11" i="4" s="1"/>
  <c r="L12" i="4" s="1"/>
  <c r="L13" i="4" s="1"/>
  <c r="L14" i="4" s="1"/>
  <c r="L15" i="4" s="1"/>
  <c r="B15" i="4"/>
  <c r="C15" i="4"/>
  <c r="D15" i="4"/>
  <c r="E15" i="4"/>
  <c r="F15" i="4"/>
  <c r="G15" i="4"/>
  <c r="H15" i="4"/>
  <c r="I15" i="4"/>
  <c r="J15" i="4"/>
  <c r="K15" i="4"/>
  <c r="B13" i="4"/>
  <c r="C13" i="4"/>
  <c r="D13" i="4"/>
  <c r="E13" i="4"/>
  <c r="F13" i="4"/>
  <c r="G13" i="4"/>
  <c r="H13" i="4"/>
  <c r="I13" i="4"/>
  <c r="J13" i="4"/>
  <c r="K13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4" i="4"/>
  <c r="C14" i="4"/>
  <c r="D14" i="4"/>
  <c r="E14" i="4"/>
  <c r="F14" i="4"/>
  <c r="G14" i="4"/>
  <c r="H14" i="4"/>
  <c r="I14" i="4"/>
  <c r="J14" i="4"/>
  <c r="K14" i="4"/>
  <c r="B55" i="2"/>
  <c r="S37" i="10"/>
  <c r="S33" i="10"/>
  <c r="AH8" i="16" l="1"/>
  <c r="AJ9" i="16"/>
  <c r="AH5" i="16"/>
  <c r="AH6" i="16"/>
  <c r="AH10" i="16"/>
  <c r="AH7" i="16"/>
  <c r="AJ11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/>
  <c r="O36" i="7"/>
  <c r="H54" i="2"/>
  <c r="N54" i="2" s="1"/>
  <c r="I54" i="2"/>
  <c r="J54" i="2"/>
  <c r="K54" i="2"/>
  <c r="O54" i="2" s="1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S37" i="5"/>
  <c r="J37" i="11"/>
  <c r="S37" i="13"/>
  <c r="J37" i="18"/>
  <c r="J37" i="20"/>
  <c r="J35" i="20"/>
  <c r="J33" i="20"/>
  <c r="J35" i="19"/>
  <c r="J33" i="19"/>
  <c r="J35" i="18"/>
  <c r="J33" i="18"/>
  <c r="J36" i="11"/>
  <c r="S36" i="5"/>
  <c r="J36" i="17"/>
  <c r="J34" i="17"/>
  <c r="J36" i="13"/>
  <c r="J37" i="10"/>
  <c r="S37" i="19"/>
  <c r="S36" i="19"/>
  <c r="S34" i="18"/>
  <c r="J36" i="7"/>
  <c r="J37" i="5"/>
  <c r="S37" i="11"/>
  <c r="J37" i="13"/>
  <c r="S37" i="18"/>
  <c r="S37" i="20"/>
  <c r="S35" i="20"/>
  <c r="S33" i="20"/>
  <c r="S35" i="19"/>
  <c r="S33" i="19"/>
  <c r="S35" i="18"/>
  <c r="S33" i="18"/>
  <c r="S36" i="11"/>
  <c r="J36" i="5"/>
  <c r="S36" i="17"/>
  <c r="S34" i="17"/>
  <c r="S36" i="13"/>
  <c r="J37" i="7"/>
  <c r="S37" i="17"/>
  <c r="J34" i="20"/>
  <c r="S36" i="18"/>
  <c r="S36" i="10"/>
  <c r="S33" i="17"/>
  <c r="S37" i="7"/>
  <c r="S37" i="12"/>
  <c r="J37" i="17"/>
  <c r="J37" i="19"/>
  <c r="J36" i="20"/>
  <c r="S34" i="20"/>
  <c r="J36" i="19"/>
  <c r="J34" i="19"/>
  <c r="J36" i="18"/>
  <c r="J34" i="18"/>
  <c r="J36" i="12"/>
  <c r="J36" i="10"/>
  <c r="S36" i="7"/>
  <c r="J35" i="17"/>
  <c r="J33" i="17"/>
  <c r="J37" i="12"/>
  <c r="S36" i="20"/>
  <c r="S34" i="19"/>
  <c r="S36" i="12"/>
  <c r="S35" i="17"/>
  <c r="O37" i="11" l="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S33" i="12"/>
  <c r="S33" i="13"/>
  <c r="J33" i="13"/>
  <c r="J35" i="12"/>
  <c r="J35" i="13"/>
  <c r="J34" i="11"/>
  <c r="S34" i="12"/>
  <c r="J34" i="12"/>
  <c r="J33" i="12"/>
  <c r="S35" i="12"/>
  <c r="J34" i="13"/>
  <c r="S34" i="13"/>
  <c r="J35" i="11"/>
  <c r="J33" i="11"/>
  <c r="S35" i="11"/>
  <c r="S34" i="11"/>
  <c r="S35" i="13"/>
  <c r="S33" i="11"/>
  <c r="N35" i="13" l="1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J34" i="10"/>
  <c r="J35" i="5"/>
  <c r="S35" i="10"/>
  <c r="J34" i="5"/>
  <c r="J33" i="10"/>
  <c r="S35" i="7"/>
  <c r="J33" i="5"/>
  <c r="J35" i="7"/>
  <c r="S33" i="5"/>
  <c r="J35" i="10"/>
  <c r="S35" i="5"/>
  <c r="S34" i="7"/>
  <c r="J33" i="7"/>
  <c r="S34" i="5"/>
  <c r="S34" i="10"/>
  <c r="J34" i="7"/>
  <c r="S33" i="7"/>
  <c r="O35" i="5" l="1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N52" i="2" l="1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B30" i="15"/>
  <c r="H29" i="15"/>
  <c r="B27" i="15"/>
  <c r="C23" i="15"/>
  <c r="C27" i="15"/>
  <c r="B28" i="15"/>
  <c r="C26" i="15"/>
  <c r="C21" i="15"/>
  <c r="F29" i="15"/>
  <c r="F21" i="15"/>
  <c r="E27" i="15"/>
  <c r="C28" i="15"/>
  <c r="C24" i="15"/>
  <c r="F22" i="15"/>
  <c r="H28" i="15"/>
  <c r="F27" i="15"/>
  <c r="G24" i="15"/>
  <c r="B21" i="15"/>
  <c r="E26" i="15"/>
  <c r="G23" i="15"/>
  <c r="H25" i="15"/>
  <c r="H24" i="15"/>
  <c r="C22" i="15"/>
  <c r="C25" i="15"/>
  <c r="F28" i="15"/>
  <c r="G29" i="15"/>
  <c r="E29" i="15"/>
  <c r="G30" i="15"/>
  <c r="B24" i="15"/>
  <c r="D26" i="15"/>
  <c r="D29" i="15"/>
  <c r="D23" i="15"/>
  <c r="E24" i="15"/>
  <c r="E23" i="15"/>
  <c r="D21" i="15"/>
  <c r="E30" i="15"/>
  <c r="H21" i="15"/>
  <c r="G25" i="15"/>
  <c r="G27" i="15"/>
  <c r="H22" i="15"/>
  <c r="F30" i="15"/>
  <c r="F24" i="15"/>
  <c r="H26" i="15"/>
  <c r="H23" i="15"/>
  <c r="E25" i="15"/>
  <c r="B22" i="15"/>
  <c r="E28" i="15"/>
  <c r="F26" i="15"/>
  <c r="D25" i="15"/>
  <c r="E21" i="15"/>
  <c r="B29" i="15"/>
  <c r="D22" i="15"/>
  <c r="D24" i="15"/>
  <c r="D27" i="15"/>
  <c r="D28" i="15"/>
  <c r="G22" i="15"/>
  <c r="G26" i="15"/>
  <c r="E22" i="15"/>
  <c r="G21" i="15"/>
  <c r="F25" i="15"/>
  <c r="B25" i="15"/>
  <c r="B23" i="15"/>
  <c r="B26" i="15"/>
  <c r="H27" i="15"/>
  <c r="H30" i="15"/>
  <c r="F23" i="15"/>
  <c r="C30" i="15"/>
  <c r="D30" i="15"/>
  <c r="C29" i="15"/>
  <c r="G28" i="15"/>
  <c r="C11" i="16" l="1"/>
  <c r="C12" i="16"/>
  <c r="C13" i="16"/>
  <c r="C14" i="16"/>
  <c r="K5" i="4"/>
  <c r="K7" i="4"/>
  <c r="K8" i="4"/>
  <c r="K9" i="4"/>
  <c r="K10" i="4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36" i="17"/>
  <c r="J24" i="18"/>
  <c r="S27" i="18"/>
  <c r="J26" i="18"/>
  <c r="S24" i="17"/>
  <c r="J29" i="7"/>
  <c r="S32" i="12"/>
  <c r="J23" i="19"/>
  <c r="J31" i="12"/>
  <c r="S32" i="19"/>
  <c r="S26" i="17"/>
  <c r="S32" i="17"/>
  <c r="S31" i="7"/>
  <c r="J26" i="17"/>
  <c r="J26" i="19"/>
  <c r="J30" i="12"/>
  <c r="J18" i="20"/>
  <c r="S31" i="13"/>
  <c r="Q24" i="17"/>
  <c r="Q22" i="17"/>
  <c r="J29" i="17"/>
  <c r="S31" i="5"/>
  <c r="J24" i="17"/>
  <c r="J30" i="17"/>
  <c r="S26" i="20"/>
  <c r="J32" i="20"/>
  <c r="J24" i="20"/>
  <c r="J19" i="18"/>
  <c r="J27" i="18"/>
  <c r="J19" i="17"/>
  <c r="J30" i="7"/>
  <c r="J18" i="19"/>
  <c r="S19" i="17"/>
  <c r="J28" i="17"/>
  <c r="J31" i="17"/>
  <c r="J21" i="20"/>
  <c r="S28" i="19"/>
  <c r="S19" i="20"/>
  <c r="S28" i="17"/>
  <c r="S29" i="17"/>
  <c r="S28" i="20"/>
  <c r="S31" i="10"/>
  <c r="J27" i="20"/>
  <c r="S32" i="20"/>
  <c r="J23" i="20"/>
  <c r="J19" i="19"/>
  <c r="S29" i="20"/>
  <c r="S21" i="19"/>
  <c r="J31" i="10"/>
  <c r="S20" i="18"/>
  <c r="S19" i="19"/>
  <c r="S27" i="17"/>
  <c r="D11" i="16"/>
  <c r="J18" i="18"/>
  <c r="D12" i="16"/>
  <c r="Q30" i="17"/>
  <c r="J18" i="17"/>
  <c r="S32" i="5"/>
  <c r="Q21" i="17"/>
  <c r="S30" i="19"/>
  <c r="S32" i="13"/>
  <c r="J31" i="5"/>
  <c r="S30" i="17"/>
  <c r="D14" i="16"/>
  <c r="J30" i="19"/>
  <c r="S30" i="13"/>
  <c r="S31" i="18"/>
  <c r="J32" i="12"/>
  <c r="S29" i="12"/>
  <c r="Q35" i="17"/>
  <c r="J31" i="20"/>
  <c r="J31" i="18"/>
  <c r="S29" i="19"/>
  <c r="Q26" i="17"/>
  <c r="Q32" i="17"/>
  <c r="S23" i="17"/>
  <c r="J32" i="19"/>
  <c r="S31" i="19"/>
  <c r="S31" i="17"/>
  <c r="S30" i="12"/>
  <c r="J22" i="19"/>
  <c r="S25" i="17"/>
  <c r="Q31" i="17"/>
  <c r="S29" i="18"/>
  <c r="S22" i="17"/>
  <c r="J30" i="5"/>
  <c r="J29" i="10"/>
  <c r="J25" i="18"/>
  <c r="S23" i="20"/>
  <c r="Q29" i="17"/>
  <c r="S32" i="18"/>
  <c r="J23" i="18"/>
  <c r="J32" i="7"/>
  <c r="S29" i="7"/>
  <c r="J29" i="13"/>
  <c r="J22" i="18"/>
  <c r="S18" i="18"/>
  <c r="S23" i="19"/>
  <c r="S24" i="20"/>
  <c r="S19" i="18"/>
  <c r="S22" i="19"/>
  <c r="J28" i="19"/>
  <c r="J29" i="19"/>
  <c r="J27" i="19"/>
  <c r="J21" i="18"/>
  <c r="J21" i="19"/>
  <c r="S23" i="18"/>
  <c r="S18" i="17"/>
  <c r="S29" i="5"/>
  <c r="J27" i="17"/>
  <c r="J32" i="10"/>
  <c r="S29" i="11"/>
  <c r="J25" i="20"/>
  <c r="J32" i="5"/>
  <c r="S27" i="19"/>
  <c r="S29" i="10"/>
  <c r="S31" i="20"/>
  <c r="J23" i="17"/>
  <c r="Q37" i="17"/>
  <c r="J20" i="18"/>
  <c r="S30" i="5"/>
  <c r="J31" i="11"/>
  <c r="J30" i="10"/>
  <c r="J32" i="13"/>
  <c r="S25" i="19"/>
  <c r="J28" i="18"/>
  <c r="D13" i="16"/>
  <c r="S30" i="18"/>
  <c r="J20" i="19"/>
  <c r="J28" i="20"/>
  <c r="J30" i="18"/>
  <c r="J25" i="17"/>
  <c r="J29" i="18"/>
  <c r="S26" i="18"/>
  <c r="Q34" i="17"/>
  <c r="Q27" i="17"/>
  <c r="S20" i="20"/>
  <c r="S20" i="17"/>
  <c r="J30" i="13"/>
  <c r="Q25" i="17"/>
  <c r="S22" i="18"/>
  <c r="S21" i="17"/>
  <c r="S26" i="19"/>
  <c r="J30" i="20"/>
  <c r="J31" i="13"/>
  <c r="S21" i="20"/>
  <c r="J22" i="17"/>
  <c r="S21" i="18"/>
  <c r="S32" i="11"/>
  <c r="S32" i="10"/>
  <c r="S30" i="11"/>
  <c r="J22" i="20"/>
  <c r="J20" i="17"/>
  <c r="S25" i="18"/>
  <c r="J25" i="19"/>
  <c r="S28" i="18"/>
  <c r="J19" i="20"/>
  <c r="J26" i="20"/>
  <c r="S24" i="18"/>
  <c r="S18" i="19"/>
  <c r="S24" i="19"/>
  <c r="J29" i="5"/>
  <c r="S30" i="20"/>
  <c r="J31" i="19"/>
  <c r="J32" i="11"/>
  <c r="S29" i="13"/>
  <c r="J21" i="17"/>
  <c r="S22" i="20"/>
  <c r="J29" i="11"/>
  <c r="S25" i="20"/>
  <c r="J29" i="12"/>
  <c r="S31" i="12"/>
  <c r="S20" i="19"/>
  <c r="J32" i="17"/>
  <c r="J20" i="20"/>
  <c r="Q33" i="17"/>
  <c r="Q20" i="17"/>
  <c r="J30" i="11"/>
  <c r="J32" i="18"/>
  <c r="Q28" i="17"/>
  <c r="S30" i="10"/>
  <c r="S27" i="20"/>
  <c r="Q19" i="17"/>
  <c r="Q23" i="17"/>
  <c r="J31" i="7"/>
  <c r="S30" i="7"/>
  <c r="S31" i="11"/>
  <c r="S32" i="7"/>
  <c r="J29" i="20"/>
  <c r="S18" i="20"/>
  <c r="J24" i="19"/>
  <c r="S38" i="20" l="1"/>
  <c r="S38" i="19"/>
  <c r="S38" i="18"/>
  <c r="S38" i="17"/>
  <c r="H32" i="17"/>
  <c r="H33" i="17" s="1"/>
  <c r="H34" i="17" s="1"/>
  <c r="H35" i="17" s="1"/>
  <c r="H36" i="17" s="1"/>
  <c r="H37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R5" i="4" s="1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U5" i="4" s="1"/>
  <c r="AK5" i="16"/>
  <c r="AK6" i="16"/>
  <c r="Q37" i="19"/>
  <c r="Q36" i="20"/>
  <c r="P34" i="20"/>
  <c r="Q36" i="19"/>
  <c r="Q34" i="19"/>
  <c r="Q36" i="18"/>
  <c r="P34" i="18"/>
  <c r="P36" i="17"/>
  <c r="Q28" i="18"/>
  <c r="P19" i="19"/>
  <c r="P19" i="20"/>
  <c r="P27" i="19"/>
  <c r="Q28" i="19"/>
  <c r="P25" i="20"/>
  <c r="P24" i="18"/>
  <c r="P19" i="17"/>
  <c r="P20" i="19"/>
  <c r="Q21" i="18"/>
  <c r="P29" i="17"/>
  <c r="P20" i="17"/>
  <c r="Q20" i="20"/>
  <c r="P25" i="18"/>
  <c r="P30" i="19"/>
  <c r="Q19" i="19"/>
  <c r="Q24" i="20"/>
  <c r="P30" i="20"/>
  <c r="Q27" i="19"/>
  <c r="Q24" i="18"/>
  <c r="Q27" i="20"/>
  <c r="P37" i="17"/>
  <c r="P37" i="19"/>
  <c r="P36" i="20"/>
  <c r="Q34" i="20"/>
  <c r="P36" i="19"/>
  <c r="P34" i="19"/>
  <c r="P36" i="18"/>
  <c r="Q34" i="18"/>
  <c r="P35" i="17"/>
  <c r="Q26" i="19"/>
  <c r="Q32" i="20"/>
  <c r="P28" i="17"/>
  <c r="P31" i="17"/>
  <c r="P31" i="18"/>
  <c r="P26" i="18"/>
  <c r="Q23" i="20"/>
  <c r="P22" i="18"/>
  <c r="P31" i="20"/>
  <c r="P32" i="20"/>
  <c r="P28" i="20"/>
  <c r="P24" i="19"/>
  <c r="Q20" i="19"/>
  <c r="Q29" i="18"/>
  <c r="P20" i="20"/>
  <c r="P27" i="18"/>
  <c r="P23" i="19"/>
  <c r="P26" i="17"/>
  <c r="P32" i="18"/>
  <c r="Q37" i="18"/>
  <c r="P37" i="20"/>
  <c r="P35" i="20"/>
  <c r="P33" i="20"/>
  <c r="Q35" i="19"/>
  <c r="Q33" i="19"/>
  <c r="Q35" i="18"/>
  <c r="P33" i="18"/>
  <c r="P34" i="17"/>
  <c r="P21" i="19"/>
  <c r="Q25" i="20"/>
  <c r="Q32" i="19"/>
  <c r="P32" i="17"/>
  <c r="Q22" i="19"/>
  <c r="P30" i="17"/>
  <c r="Q22" i="20"/>
  <c r="P24" i="17"/>
  <c r="P21" i="18"/>
  <c r="P29" i="19"/>
  <c r="P25" i="17"/>
  <c r="Q21" i="19"/>
  <c r="Q30" i="18"/>
  <c r="Q21" i="20"/>
  <c r="Q29" i="20"/>
  <c r="P29" i="18"/>
  <c r="Q32" i="18"/>
  <c r="P27" i="17"/>
  <c r="P21" i="17"/>
  <c r="P28" i="19"/>
  <c r="P19" i="18"/>
  <c r="P26" i="19"/>
  <c r="Q24" i="19"/>
  <c r="Q31" i="20"/>
  <c r="Q30" i="19"/>
  <c r="P30" i="18"/>
  <c r="P37" i="18"/>
  <c r="Q37" i="20"/>
  <c r="Q35" i="20"/>
  <c r="Q33" i="20"/>
  <c r="P35" i="19"/>
  <c r="P33" i="19"/>
  <c r="P35" i="18"/>
  <c r="Q33" i="18"/>
  <c r="P33" i="17"/>
  <c r="Q25" i="18"/>
  <c r="Q19" i="18"/>
  <c r="P23" i="18"/>
  <c r="Q26" i="20"/>
  <c r="Q27" i="18"/>
  <c r="P32" i="19"/>
  <c r="P28" i="18"/>
  <c r="P21" i="20"/>
  <c r="Q26" i="18"/>
  <c r="P22" i="20"/>
  <c r="Q29" i="19"/>
  <c r="P20" i="18"/>
  <c r="P23" i="20"/>
  <c r="P29" i="20"/>
  <c r="P27" i="20"/>
  <c r="Q28" i="20"/>
  <c r="Q31" i="18"/>
  <c r="Q22" i="18"/>
  <c r="P22" i="17"/>
  <c r="Q19" i="20"/>
  <c r="P31" i="19"/>
  <c r="P25" i="19"/>
  <c r="Q30" i="20"/>
  <c r="P23" i="17"/>
  <c r="Q23" i="18"/>
  <c r="Q25" i="19"/>
  <c r="Q31" i="19"/>
  <c r="P26" i="20"/>
  <c r="P22" i="19"/>
  <c r="Q20" i="18"/>
  <c r="P24" i="20"/>
  <c r="Q23" i="19"/>
  <c r="R37" i="17" l="1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T5" i="4"/>
  <c r="S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Y17" i="16"/>
  <c r="T5" i="16"/>
  <c r="U9" i="16"/>
  <c r="T10" i="16"/>
  <c r="Z17" i="16"/>
  <c r="T6" i="16"/>
  <c r="V13" i="16"/>
  <c r="T14" i="16"/>
  <c r="U6" i="16"/>
  <c r="U14" i="16"/>
  <c r="Z16" i="16"/>
  <c r="T18" i="16"/>
  <c r="Z15" i="16"/>
  <c r="U8" i="16"/>
  <c r="U11" i="16"/>
  <c r="U7" i="16"/>
  <c r="U13" i="16"/>
  <c r="U12" i="16"/>
  <c r="T12" i="16"/>
  <c r="V9" i="16"/>
  <c r="T16" i="16"/>
  <c r="U17" i="16"/>
  <c r="V7" i="16"/>
  <c r="U5" i="16"/>
  <c r="Y15" i="16"/>
  <c r="V8" i="16"/>
  <c r="V12" i="16"/>
  <c r="U16" i="16"/>
  <c r="U18" i="16"/>
  <c r="U15" i="16"/>
  <c r="T13" i="16"/>
  <c r="V16" i="16"/>
  <c r="AA18" i="16"/>
  <c r="V17" i="16"/>
  <c r="V6" i="16"/>
  <c r="U10" i="16"/>
  <c r="V18" i="16"/>
  <c r="Y16" i="16"/>
  <c r="Y18" i="16"/>
  <c r="AA15" i="16"/>
  <c r="T15" i="16"/>
  <c r="AA17" i="16"/>
  <c r="AB14" i="16" l="1"/>
  <c r="AB12" i="16"/>
  <c r="AB13" i="16"/>
  <c r="AB15" i="16"/>
  <c r="AB16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V15" i="16"/>
  <c r="D7" i="16"/>
  <c r="AA16" i="16"/>
  <c r="D6" i="16"/>
  <c r="Z18" i="16"/>
  <c r="D5" i="16"/>
  <c r="V11" i="16"/>
  <c r="D10" i="16"/>
  <c r="T7" i="16"/>
  <c r="T17" i="16"/>
  <c r="V5" i="16"/>
  <c r="D8" i="16"/>
  <c r="T11" i="16"/>
  <c r="D9" i="16"/>
  <c r="V14" i="16"/>
  <c r="V10" i="16"/>
  <c r="T9" i="16"/>
  <c r="T8" i="16"/>
  <c r="AB17" i="16" l="1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J23" i="12"/>
  <c r="S18" i="12"/>
  <c r="J26" i="13"/>
  <c r="J28" i="12"/>
  <c r="J23" i="13"/>
  <c r="J25" i="12"/>
  <c r="S23" i="11"/>
  <c r="S27" i="11"/>
  <c r="J20" i="11"/>
  <c r="J19" i="13"/>
  <c r="S27" i="13"/>
  <c r="S22" i="13"/>
  <c r="J18" i="13"/>
  <c r="S25" i="12"/>
  <c r="S19" i="11"/>
  <c r="S25" i="13"/>
  <c r="S24" i="13"/>
  <c r="S28" i="12"/>
  <c r="J18" i="12"/>
  <c r="J20" i="13"/>
  <c r="J22" i="12"/>
  <c r="J27" i="13"/>
  <c r="J22" i="13"/>
  <c r="S20" i="11"/>
  <c r="J27" i="12"/>
  <c r="J21" i="12"/>
  <c r="S22" i="12"/>
  <c r="S20" i="12"/>
  <c r="S21" i="13"/>
  <c r="J26" i="11"/>
  <c r="S24" i="11"/>
  <c r="S22" i="11"/>
  <c r="J26" i="12"/>
  <c r="J24" i="13"/>
  <c r="J24" i="11"/>
  <c r="J21" i="11"/>
  <c r="S23" i="12"/>
  <c r="S28" i="11"/>
  <c r="S26" i="11"/>
  <c r="J25" i="13"/>
  <c r="S18" i="11"/>
  <c r="J19" i="12"/>
  <c r="S25" i="11"/>
  <c r="J28" i="13"/>
  <c r="S21" i="12"/>
  <c r="S28" i="13"/>
  <c r="J23" i="11"/>
  <c r="S19" i="13"/>
  <c r="S27" i="12"/>
  <c r="J28" i="11"/>
  <c r="S18" i="13"/>
  <c r="S20" i="13"/>
  <c r="S26" i="12"/>
  <c r="J21" i="13"/>
  <c r="J24" i="12"/>
  <c r="S19" i="12"/>
  <c r="J25" i="11"/>
  <c r="J22" i="11"/>
  <c r="J20" i="12"/>
  <c r="S24" i="12"/>
  <c r="S21" i="11"/>
  <c r="J19" i="11"/>
  <c r="J27" i="11"/>
  <c r="J18" i="11"/>
  <c r="S23" i="13"/>
  <c r="S26" i="13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38" i="13"/>
  <c r="S38" i="12"/>
  <c r="S38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P37" i="12"/>
  <c r="P36" i="12"/>
  <c r="Q36" i="13"/>
  <c r="Q33" i="12"/>
  <c r="Q31" i="11"/>
  <c r="AA12" i="16"/>
  <c r="P20" i="11"/>
  <c r="P32" i="12"/>
  <c r="Q26" i="13"/>
  <c r="S23" i="7"/>
  <c r="P21" i="13"/>
  <c r="P21" i="12"/>
  <c r="S20" i="5"/>
  <c r="P19" i="13"/>
  <c r="P30" i="12"/>
  <c r="Q24" i="13"/>
  <c r="J23" i="5"/>
  <c r="P23" i="11"/>
  <c r="J26" i="7"/>
  <c r="Q33" i="13"/>
  <c r="S21" i="10"/>
  <c r="Q23" i="13"/>
  <c r="Y13" i="16"/>
  <c r="J22" i="5"/>
  <c r="S28" i="5"/>
  <c r="P23" i="7"/>
  <c r="AA14" i="16"/>
  <c r="Q24" i="12"/>
  <c r="J25" i="5"/>
  <c r="J19" i="10"/>
  <c r="J20" i="5"/>
  <c r="Y8" i="16"/>
  <c r="P25" i="12"/>
  <c r="J26" i="5"/>
  <c r="Q21" i="13"/>
  <c r="P33" i="13"/>
  <c r="J24" i="5"/>
  <c r="S27" i="7"/>
  <c r="Z12" i="16"/>
  <c r="S24" i="10"/>
  <c r="Q37" i="12"/>
  <c r="Q36" i="12"/>
  <c r="P36" i="13"/>
  <c r="P34" i="11"/>
  <c r="J23" i="10"/>
  <c r="Q24" i="11"/>
  <c r="P22" i="12"/>
  <c r="Q25" i="13"/>
  <c r="Q29" i="12"/>
  <c r="Q20" i="12"/>
  <c r="Q30" i="12"/>
  <c r="S24" i="7"/>
  <c r="Q27" i="12"/>
  <c r="Q31" i="13"/>
  <c r="S25" i="5"/>
  <c r="J23" i="7"/>
  <c r="Q34" i="11"/>
  <c r="S28" i="7"/>
  <c r="J18" i="5"/>
  <c r="Q34" i="12"/>
  <c r="Z13" i="16"/>
  <c r="Q23" i="12"/>
  <c r="S19" i="7"/>
  <c r="Q22" i="11"/>
  <c r="S20" i="7"/>
  <c r="P20" i="13"/>
  <c r="J26" i="10"/>
  <c r="P25" i="11"/>
  <c r="J27" i="10"/>
  <c r="S26" i="5"/>
  <c r="J20" i="7"/>
  <c r="Y11" i="16"/>
  <c r="P19" i="11"/>
  <c r="P27" i="13"/>
  <c r="Q20" i="11"/>
  <c r="Y12" i="16"/>
  <c r="P34" i="12"/>
  <c r="J18" i="10"/>
  <c r="S26" i="10"/>
  <c r="S18" i="7"/>
  <c r="P31" i="12"/>
  <c r="J25" i="10"/>
  <c r="P29" i="12"/>
  <c r="J28" i="7"/>
  <c r="J19" i="7"/>
  <c r="Q34" i="13"/>
  <c r="P20" i="12"/>
  <c r="AA13" i="16"/>
  <c r="J28" i="10"/>
  <c r="P23" i="13"/>
  <c r="Q28" i="11"/>
  <c r="S19" i="5"/>
  <c r="S22" i="5"/>
  <c r="P37" i="11"/>
  <c r="P37" i="13"/>
  <c r="Q36" i="11"/>
  <c r="P34" i="13"/>
  <c r="Q32" i="12"/>
  <c r="Q19" i="13"/>
  <c r="Q27" i="11"/>
  <c r="J20" i="10"/>
  <c r="S18" i="10"/>
  <c r="Q19" i="12"/>
  <c r="Q32" i="13"/>
  <c r="P22" i="7"/>
  <c r="Q29" i="13"/>
  <c r="Q21" i="12"/>
  <c r="P35" i="12"/>
  <c r="P23" i="12"/>
  <c r="P30" i="13"/>
  <c r="P19" i="12"/>
  <c r="J27" i="7"/>
  <c r="P29" i="11"/>
  <c r="Q35" i="11"/>
  <c r="J24" i="10"/>
  <c r="P24" i="12"/>
  <c r="Z11" i="16"/>
  <c r="P26" i="11"/>
  <c r="Q20" i="13"/>
  <c r="J18" i="7"/>
  <c r="S26" i="7"/>
  <c r="P22" i="11"/>
  <c r="J21" i="10"/>
  <c r="S22" i="7"/>
  <c r="P26" i="13"/>
  <c r="P32" i="11"/>
  <c r="J25" i="7"/>
  <c r="Q28" i="12"/>
  <c r="S19" i="10"/>
  <c r="S21" i="5"/>
  <c r="P35" i="11"/>
  <c r="S21" i="7"/>
  <c r="J27" i="5"/>
  <c r="P30" i="11"/>
  <c r="P22" i="13"/>
  <c r="S28" i="10"/>
  <c r="P28" i="13"/>
  <c r="P24" i="11"/>
  <c r="Q22" i="12"/>
  <c r="S23" i="10"/>
  <c r="Q23" i="11"/>
  <c r="P31" i="13"/>
  <c r="Q37" i="11"/>
  <c r="Q37" i="13"/>
  <c r="P36" i="11"/>
  <c r="Q35" i="12"/>
  <c r="S27" i="5"/>
  <c r="J21" i="7"/>
  <c r="Q28" i="13"/>
  <c r="P28" i="12"/>
  <c r="Q26" i="12"/>
  <c r="Q26" i="11"/>
  <c r="Q22" i="13"/>
  <c r="Z14" i="16"/>
  <c r="Q29" i="11"/>
  <c r="J24" i="7"/>
  <c r="S27" i="10"/>
  <c r="P25" i="13"/>
  <c r="S25" i="7"/>
  <c r="Q32" i="11"/>
  <c r="S24" i="5"/>
  <c r="Q35" i="13"/>
  <c r="P33" i="11"/>
  <c r="P24" i="13"/>
  <c r="S20" i="10"/>
  <c r="Q19" i="11"/>
  <c r="P26" i="12"/>
  <c r="J28" i="5"/>
  <c r="Q30" i="11"/>
  <c r="P32" i="13"/>
  <c r="P29" i="13"/>
  <c r="P27" i="11"/>
  <c r="P27" i="12"/>
  <c r="AA11" i="16"/>
  <c r="S23" i="5"/>
  <c r="P33" i="12"/>
  <c r="J19" i="5"/>
  <c r="P28" i="11"/>
  <c r="P35" i="13"/>
  <c r="Q33" i="11"/>
  <c r="J21" i="5"/>
  <c r="Q25" i="11"/>
  <c r="J22" i="7"/>
  <c r="Y14" i="16"/>
  <c r="S18" i="5"/>
  <c r="P31" i="11"/>
  <c r="Q31" i="12"/>
  <c r="J22" i="10"/>
  <c r="S25" i="10"/>
  <c r="S22" i="10"/>
  <c r="Q30" i="13"/>
  <c r="P21" i="11"/>
  <c r="Q25" i="12"/>
  <c r="Q27" i="13"/>
  <c r="Q21" i="11"/>
  <c r="R37" i="11" l="1"/>
  <c r="I37" i="11" s="1"/>
  <c r="R37" i="12"/>
  <c r="I37" i="12" s="1"/>
  <c r="R37" i="13"/>
  <c r="I37" i="13" s="1"/>
  <c r="R36" i="12"/>
  <c r="I36" i="12" s="1"/>
  <c r="R36" i="11"/>
  <c r="I36" i="11" s="1"/>
  <c r="R36" i="13"/>
  <c r="I36" i="13" s="1"/>
  <c r="R35" i="13"/>
  <c r="I35" i="13" s="1"/>
  <c r="R34" i="13"/>
  <c r="I34" i="13" s="1"/>
  <c r="R33" i="13"/>
  <c r="I33" i="13" s="1"/>
  <c r="R35" i="12"/>
  <c r="I35" i="12" s="1"/>
  <c r="R34" i="12"/>
  <c r="I34" i="12" s="1"/>
  <c r="R33" i="12"/>
  <c r="I33" i="12" s="1"/>
  <c r="R35" i="11"/>
  <c r="I35" i="11" s="1"/>
  <c r="R34" i="11"/>
  <c r="I34" i="11" s="1"/>
  <c r="R33" i="11"/>
  <c r="I33" i="11" s="1"/>
  <c r="H27" i="12"/>
  <c r="L26" i="10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38" i="10"/>
  <c r="S38" i="5"/>
  <c r="S38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P37" i="5"/>
  <c r="Q36" i="10"/>
  <c r="P36" i="7"/>
  <c r="P22" i="5"/>
  <c r="P26" i="5"/>
  <c r="X16" i="16"/>
  <c r="Q26" i="7"/>
  <c r="Q32" i="10"/>
  <c r="P35" i="5"/>
  <c r="P30" i="7"/>
  <c r="Q22" i="5"/>
  <c r="P25" i="10"/>
  <c r="P25" i="5"/>
  <c r="X14" i="16"/>
  <c r="Q26" i="5"/>
  <c r="Q33" i="5"/>
  <c r="Q24" i="10"/>
  <c r="Q21" i="10"/>
  <c r="Q19" i="10"/>
  <c r="Q20" i="7"/>
  <c r="P20" i="7"/>
  <c r="P31" i="5"/>
  <c r="P27" i="5"/>
  <c r="Q34" i="7"/>
  <c r="Y9" i="16"/>
  <c r="P20" i="5"/>
  <c r="Q23" i="5"/>
  <c r="P23" i="10"/>
  <c r="P19" i="7"/>
  <c r="Q20" i="10"/>
  <c r="P26" i="7"/>
  <c r="P19" i="5"/>
  <c r="P26" i="10"/>
  <c r="Q37" i="5"/>
  <c r="P36" i="10"/>
  <c r="Q36" i="7"/>
  <c r="Q31" i="7"/>
  <c r="Y10" i="16"/>
  <c r="P21" i="5"/>
  <c r="Q31" i="5"/>
  <c r="P27" i="10"/>
  <c r="Q24" i="7"/>
  <c r="Q33" i="10"/>
  <c r="X12" i="16"/>
  <c r="Q31" i="10"/>
  <c r="X13" i="16"/>
  <c r="Y5" i="16"/>
  <c r="Q25" i="5"/>
  <c r="X17" i="16"/>
  <c r="P22" i="10"/>
  <c r="Q22" i="7"/>
  <c r="Q19" i="7"/>
  <c r="Q34" i="10"/>
  <c r="P29" i="5"/>
  <c r="P32" i="10"/>
  <c r="Q23" i="10"/>
  <c r="Q24" i="5"/>
  <c r="Q29" i="7"/>
  <c r="P28" i="10"/>
  <c r="P21" i="10"/>
  <c r="AA9" i="16"/>
  <c r="Q28" i="7"/>
  <c r="Q20" i="5"/>
  <c r="Q27" i="7"/>
  <c r="Q26" i="10"/>
  <c r="P30" i="10"/>
  <c r="P37" i="7"/>
  <c r="P37" i="10"/>
  <c r="Q36" i="5"/>
  <c r="P35" i="10"/>
  <c r="Q30" i="7"/>
  <c r="P33" i="5"/>
  <c r="Q25" i="7"/>
  <c r="P32" i="5"/>
  <c r="Q22" i="10"/>
  <c r="Y6" i="16"/>
  <c r="P33" i="10"/>
  <c r="P19" i="10"/>
  <c r="P34" i="7"/>
  <c r="P32" i="7"/>
  <c r="Q30" i="10"/>
  <c r="Q32" i="5"/>
  <c r="P24" i="10"/>
  <c r="Q35" i="7"/>
  <c r="Q34" i="5"/>
  <c r="Q19" i="5"/>
  <c r="X15" i="16"/>
  <c r="Q23" i="7"/>
  <c r="Q30" i="5"/>
  <c r="Y7" i="16"/>
  <c r="P31" i="10"/>
  <c r="Q29" i="10"/>
  <c r="Q21" i="7"/>
  <c r="Z9" i="16"/>
  <c r="Q35" i="5"/>
  <c r="X18" i="16"/>
  <c r="Q21" i="5"/>
  <c r="Q28" i="5"/>
  <c r="Q37" i="7"/>
  <c r="Q37" i="10"/>
  <c r="P36" i="5"/>
  <c r="Q33" i="7"/>
  <c r="Q32" i="7"/>
  <c r="P30" i="5"/>
  <c r="P29" i="10"/>
  <c r="P34" i="5"/>
  <c r="Z8" i="16"/>
  <c r="Q27" i="5"/>
  <c r="AA6" i="16"/>
  <c r="AA5" i="16"/>
  <c r="P31" i="7"/>
  <c r="P29" i="7"/>
  <c r="P33" i="7"/>
  <c r="Z6" i="16"/>
  <c r="P20" i="10"/>
  <c r="Z5" i="16"/>
  <c r="Z7" i="16"/>
  <c r="Q27" i="10"/>
  <c r="P25" i="7"/>
  <c r="Q25" i="10"/>
  <c r="Z10" i="16"/>
  <c r="Q29" i="5"/>
  <c r="P28" i="7"/>
  <c r="P21" i="7"/>
  <c r="P35" i="7"/>
  <c r="X11" i="16"/>
  <c r="AA7" i="16"/>
  <c r="P28" i="5"/>
  <c r="Q35" i="10"/>
  <c r="P27" i="7"/>
  <c r="P23" i="5"/>
  <c r="P24" i="5"/>
  <c r="AA10" i="16"/>
  <c r="P34" i="10"/>
  <c r="P24" i="7"/>
  <c r="Q28" i="10"/>
  <c r="AA8" i="16"/>
  <c r="R37" i="7" l="1"/>
  <c r="I37" i="7" s="1"/>
  <c r="R37" i="5"/>
  <c r="I37" i="5" s="1"/>
  <c r="R37" i="10"/>
  <c r="I37" i="10" s="1"/>
  <c r="R36" i="10"/>
  <c r="I36" i="10" s="1"/>
  <c r="R36" i="5"/>
  <c r="I36" i="5" s="1"/>
  <c r="R36" i="7"/>
  <c r="I36" i="7" s="1"/>
  <c r="R35" i="10"/>
  <c r="I35" i="10" s="1"/>
  <c r="R34" i="10"/>
  <c r="I34" i="10" s="1"/>
  <c r="R33" i="10"/>
  <c r="I33" i="10" s="1"/>
  <c r="R35" i="5"/>
  <c r="I35" i="5" s="1"/>
  <c r="R34" i="5"/>
  <c r="I34" i="5" s="1"/>
  <c r="R33" i="5"/>
  <c r="I33" i="5" s="1"/>
  <c r="R35" i="7"/>
  <c r="I35" i="7" s="1"/>
  <c r="R34" i="7"/>
  <c r="I34" i="7" s="1"/>
  <c r="R33" i="7"/>
  <c r="I33" i="7" s="1"/>
  <c r="H28" i="12"/>
  <c r="R29" i="10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W11" i="16"/>
  <c r="H29" i="12" l="1"/>
  <c r="I24" i="7"/>
  <c r="I23" i="7"/>
  <c r="I20" i="7"/>
  <c r="I28" i="7"/>
  <c r="I19" i="7"/>
  <c r="I25" i="7"/>
  <c r="I27" i="7"/>
  <c r="I22" i="7"/>
  <c r="I26" i="7"/>
  <c r="I21" i="7"/>
  <c r="X10" i="16"/>
  <c r="X6" i="16"/>
  <c r="X9" i="16"/>
  <c r="X8" i="16"/>
  <c r="X5" i="16"/>
  <c r="X7" i="16"/>
  <c r="W5" i="16"/>
  <c r="W12" i="16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6" i="16"/>
  <c r="W13" i="16"/>
  <c r="K6" i="4" l="1"/>
  <c r="J6" i="4"/>
  <c r="I6" i="4"/>
  <c r="H6" i="4"/>
  <c r="H31" i="12"/>
  <c r="AK7" i="16"/>
  <c r="C6" i="4"/>
  <c r="E6" i="4"/>
  <c r="F6" i="4"/>
  <c r="G6" i="4"/>
  <c r="B6" i="4"/>
  <c r="P55" i="2"/>
  <c r="O8" i="2"/>
  <c r="O12" i="2"/>
  <c r="S55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N5" i="4" s="1"/>
  <c r="O11" i="2"/>
  <c r="O15" i="2"/>
  <c r="O19" i="2"/>
  <c r="N16" i="2"/>
  <c r="N12" i="2"/>
  <c r="N8" i="2"/>
  <c r="N18" i="2"/>
  <c r="N14" i="2"/>
  <c r="N10" i="2"/>
  <c r="N6" i="2"/>
  <c r="O5" i="2"/>
  <c r="W7" i="16"/>
  <c r="W14" i="16"/>
  <c r="E13" i="16" l="1"/>
  <c r="F13" i="16" s="1"/>
  <c r="Q5" i="4"/>
  <c r="X5" i="4"/>
  <c r="H32" i="12"/>
  <c r="H33" i="12" s="1"/>
  <c r="H34" i="12" s="1"/>
  <c r="H35" i="12" s="1"/>
  <c r="H36" i="12" s="1"/>
  <c r="H37" i="12" s="1"/>
  <c r="O5" i="4"/>
  <c r="O8" i="16"/>
  <c r="O9" i="16"/>
  <c r="O5" i="16"/>
  <c r="O6" i="16"/>
  <c r="G12" i="15" s="1"/>
  <c r="O10" i="16"/>
  <c r="O7" i="16"/>
  <c r="P6" i="16"/>
  <c r="G13" i="15" s="1"/>
  <c r="P10" i="16"/>
  <c r="P5" i="16"/>
  <c r="P7" i="16"/>
  <c r="P9" i="16"/>
  <c r="P8" i="16"/>
  <c r="M6" i="16"/>
  <c r="G10" i="15" s="1"/>
  <c r="M10" i="16"/>
  <c r="M7" i="16"/>
  <c r="M5" i="16"/>
  <c r="M8" i="16"/>
  <c r="M9" i="16"/>
  <c r="W5" i="4"/>
  <c r="L5" i="4"/>
  <c r="N8" i="16"/>
  <c r="N6" i="16"/>
  <c r="G11" i="15" s="1"/>
  <c r="N10" i="16"/>
  <c r="N5" i="16"/>
  <c r="N9" i="16"/>
  <c r="N7" i="16"/>
  <c r="M5" i="4"/>
  <c r="P5" i="4"/>
  <c r="W15" i="16"/>
  <c r="W8" i="16"/>
  <c r="W17" i="16"/>
  <c r="W18" i="16"/>
  <c r="W16" i="16"/>
  <c r="V5" i="4"/>
  <c r="E11" i="16" l="1"/>
  <c r="F11" i="16" s="1"/>
  <c r="E14" i="16"/>
  <c r="F14" i="16" s="1"/>
  <c r="E12" i="16"/>
  <c r="F12" i="16" s="1"/>
  <c r="E9" i="16"/>
  <c r="F9" i="16" s="1"/>
  <c r="E10" i="16"/>
  <c r="F10" i="16" s="1"/>
  <c r="E7" i="16"/>
  <c r="F7" i="16" s="1"/>
  <c r="E8" i="16"/>
  <c r="F8" i="16" s="1"/>
  <c r="E6" i="16"/>
  <c r="F6" i="16" s="1"/>
  <c r="V6" i="4"/>
  <c r="W9" i="16"/>
  <c r="E5" i="16" l="1"/>
  <c r="F5" i="16" s="1"/>
  <c r="Y6" i="4"/>
  <c r="Y5" i="4"/>
  <c r="W10" i="16"/>
  <c r="F15" i="16" l="1"/>
  <c r="D10" i="15" s="1"/>
  <c r="C10" i="15"/>
  <c r="C11" i="15"/>
  <c r="C12" i="15"/>
  <c r="D12" i="15" l="1"/>
  <c r="D11" i="15"/>
  <c r="F6" i="15"/>
  <c r="V10" i="4"/>
  <c r="V9" i="4"/>
  <c r="G6" i="15" l="1"/>
  <c r="Y10" i="4"/>
  <c r="Y9" i="4"/>
  <c r="V8" i="4"/>
  <c r="Y8" i="4" l="1"/>
  <c r="V7" i="4"/>
  <c r="Y7" i="4" l="1"/>
  <c r="AI6" i="16" s="1"/>
  <c r="AI5" i="16" l="1"/>
  <c r="V14" i="4"/>
  <c r="Y14" i="4"/>
  <c r="V12" i="4"/>
  <c r="Y12" i="4"/>
  <c r="V11" i="4"/>
  <c r="Y11" i="4" l="1"/>
  <c r="AI7" i="16" s="1"/>
  <c r="V13" i="4"/>
  <c r="AI8" i="16" l="1"/>
  <c r="Y13" i="4"/>
  <c r="AI10" i="16" s="1"/>
  <c r="V15" i="4"/>
  <c r="AI9" i="16" l="1"/>
  <c r="Y15" i="4"/>
  <c r="F5" i="15" s="1"/>
  <c r="AI11" i="16" l="1"/>
  <c r="G5" i="15"/>
</calcChain>
</file>

<file path=xl/sharedStrings.xml><?xml version="1.0" encoding="utf-8"?>
<sst xmlns="http://schemas.openxmlformats.org/spreadsheetml/2006/main" count="710" uniqueCount="298">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</sst>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</cellXfs>
  <cellStyles count="2">
    <cellStyle name="Currency" xfId="1" builtinId="4"/>
    <cellStyle name="Normal" xfId="0" builtinId="0"/>
  </cellStyles>
  <dxfs count="220"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92197.8</c:v>
                </c:pt>
                <c:pt idx="1">
                  <c:v>51969.1</c:v>
                </c:pt>
                <c:pt idx="2">
                  <c:v>40386.9</c:v>
                </c:pt>
                <c:pt idx="3">
                  <c:v>57274.2</c:v>
                </c:pt>
                <c:pt idx="4">
                  <c:v>54898.2</c:v>
                </c:pt>
                <c:pt idx="5">
                  <c:v>30591.599999999999</c:v>
                </c:pt>
                <c:pt idx="6">
                  <c:v>29933.8</c:v>
                </c:pt>
                <c:pt idx="7">
                  <c:v>29453.3</c:v>
                </c:pt>
                <c:pt idx="8">
                  <c:v>40284.264999999999</c:v>
                </c:pt>
                <c:pt idx="9">
                  <c:v>36545.800000000003</c:v>
                </c:pt>
                <c:pt idx="10">
                  <c:v>58472.5</c:v>
                </c:pt>
                <c:pt idx="11">
                  <c:v>35781.300000000003</c:v>
                </c:pt>
                <c:pt idx="12">
                  <c:v>40980.199999999997</c:v>
                </c:pt>
                <c:pt idx="13">
                  <c:v>3447.3150000000001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81816"/>
        <c:axId val="27188142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5.56</c:v>
                </c:pt>
                <c:pt idx="1">
                  <c:v>6.02</c:v>
                </c:pt>
                <c:pt idx="2">
                  <c:v>5.66</c:v>
                </c:pt>
                <c:pt idx="3">
                  <c:v>5.96</c:v>
                </c:pt>
                <c:pt idx="4">
                  <c:v>5.95</c:v>
                </c:pt>
                <c:pt idx="5">
                  <c:v>5.72</c:v>
                </c:pt>
                <c:pt idx="6">
                  <c:v>5.62</c:v>
                </c:pt>
                <c:pt idx="7">
                  <c:v>5.7</c:v>
                </c:pt>
                <c:pt idx="8">
                  <c:v>5.85</c:v>
                </c:pt>
                <c:pt idx="9">
                  <c:v>6.05</c:v>
                </c:pt>
                <c:pt idx="10">
                  <c:v>6.26</c:v>
                </c:pt>
                <c:pt idx="11">
                  <c:v>6.06</c:v>
                </c:pt>
                <c:pt idx="12">
                  <c:v>6.48</c:v>
                </c:pt>
                <c:pt idx="13">
                  <c:v>6.59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79072"/>
        <c:axId val="271879856"/>
      </c:lineChart>
      <c:catAx>
        <c:axId val="2718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856"/>
        <c:crosses val="autoZero"/>
        <c:auto val="1"/>
        <c:lblAlgn val="ctr"/>
        <c:lblOffset val="100"/>
        <c:noMultiLvlLbl val="0"/>
      </c:catAx>
      <c:valAx>
        <c:axId val="2718798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072"/>
        <c:crosses val="autoZero"/>
        <c:crossBetween val="between"/>
      </c:valAx>
      <c:valAx>
        <c:axId val="27188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1816"/>
        <c:crosses val="max"/>
        <c:crossBetween val="between"/>
      </c:valAx>
      <c:catAx>
        <c:axId val="271881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7188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5.56</c:v>
                </c:pt>
                <c:pt idx="1">
                  <c:v>6.02</c:v>
                </c:pt>
                <c:pt idx="2">
                  <c:v>5.66</c:v>
                </c:pt>
                <c:pt idx="3">
                  <c:v>5.96</c:v>
                </c:pt>
                <c:pt idx="4">
                  <c:v>5.95</c:v>
                </c:pt>
                <c:pt idx="5">
                  <c:v>5.72</c:v>
                </c:pt>
                <c:pt idx="6">
                  <c:v>5.62</c:v>
                </c:pt>
                <c:pt idx="7">
                  <c:v>5.7</c:v>
                </c:pt>
                <c:pt idx="8">
                  <c:v>5.85</c:v>
                </c:pt>
                <c:pt idx="9">
                  <c:v>6.05</c:v>
                </c:pt>
                <c:pt idx="10">
                  <c:v>6.26</c:v>
                </c:pt>
                <c:pt idx="11">
                  <c:v>6.06</c:v>
                </c:pt>
                <c:pt idx="12">
                  <c:v>6.48</c:v>
                </c:pt>
                <c:pt idx="13">
                  <c:v>6.59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5.5409027952746222</c:v>
                </c:pt>
                <c:pt idx="1">
                  <c:v>5.5888125157471595</c:v>
                </c:pt>
                <c:pt idx="2">
                  <c:v>5.5959312641724432</c:v>
                </c:pt>
                <c:pt idx="3">
                  <c:v>5.6323381377551991</c:v>
                </c:pt>
                <c:pt idx="4">
                  <c:v>5.6641043239796787</c:v>
                </c:pt>
                <c:pt idx="5">
                  <c:v>5.6696938915817112</c:v>
                </c:pt>
                <c:pt idx="6">
                  <c:v>5.6647245024235406</c:v>
                </c:pt>
                <c:pt idx="7">
                  <c:v>5.6682520521811863</c:v>
                </c:pt>
                <c:pt idx="8">
                  <c:v>5.6864268469630677</c:v>
                </c:pt>
                <c:pt idx="9">
                  <c:v>5.7227841622667608</c:v>
                </c:pt>
                <c:pt idx="10">
                  <c:v>5.776505746040085</c:v>
                </c:pt>
                <c:pt idx="11">
                  <c:v>5.8048551714360768</c:v>
                </c:pt>
                <c:pt idx="12">
                  <c:v>5.872369654292469</c:v>
                </c:pt>
                <c:pt idx="13">
                  <c:v>5.9441326888632222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536856"/>
        <c:axId val="357690464"/>
      </c:lineChart>
      <c:catAx>
        <c:axId val="2275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464"/>
        <c:crosses val="autoZero"/>
        <c:auto val="1"/>
        <c:lblAlgn val="ctr"/>
        <c:lblOffset val="100"/>
        <c:noMultiLvlLbl val="0"/>
      </c:catAx>
      <c:valAx>
        <c:axId val="3576904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41.798941798941783</c:v>
                </c:pt>
                <c:pt idx="1">
                  <c:v>54.112554112554101</c:v>
                </c:pt>
                <c:pt idx="2">
                  <c:v>44.961240310077528</c:v>
                </c:pt>
                <c:pt idx="3">
                  <c:v>51.957295373665481</c:v>
                </c:pt>
                <c:pt idx="4">
                  <c:v>53.284671532846737</c:v>
                </c:pt>
                <c:pt idx="5">
                  <c:v>52.142857142857139</c:v>
                </c:pt>
                <c:pt idx="6">
                  <c:v>51.228070175438603</c:v>
                </c:pt>
                <c:pt idx="7">
                  <c:v>55.797101449275367</c:v>
                </c:pt>
                <c:pt idx="8">
                  <c:v>58.477508650519027</c:v>
                </c:pt>
                <c:pt idx="9">
                  <c:v>63.851351351351354</c:v>
                </c:pt>
                <c:pt idx="10">
                  <c:v>65.48387096774195</c:v>
                </c:pt>
                <c:pt idx="11">
                  <c:v>64.649681528662427</c:v>
                </c:pt>
                <c:pt idx="12">
                  <c:v>73.134328358208961</c:v>
                </c:pt>
                <c:pt idx="13">
                  <c:v>69.696969696969703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86544"/>
        <c:axId val="357690072"/>
      </c:lineChart>
      <c:catAx>
        <c:axId val="3576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072"/>
        <c:crosses val="autoZero"/>
        <c:auto val="1"/>
        <c:lblAlgn val="ctr"/>
        <c:lblOffset val="100"/>
        <c:noMultiLvlLbl val="0"/>
      </c:catAx>
      <c:valAx>
        <c:axId val="357690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5.4885714285714275</c:v>
                </c:pt>
                <c:pt idx="1">
                  <c:v>5.5021428571428563</c:v>
                </c:pt>
                <c:pt idx="2">
                  <c:v>5.4835714285714277</c:v>
                </c:pt>
                <c:pt idx="3">
                  <c:v>5.4914285714285711</c:v>
                </c:pt>
                <c:pt idx="4">
                  <c:v>5.5042857142857136</c:v>
                </c:pt>
                <c:pt idx="5">
                  <c:v>5.5128571428571425</c:v>
                </c:pt>
                <c:pt idx="6">
                  <c:v>5.5178571428571432</c:v>
                </c:pt>
                <c:pt idx="7">
                  <c:v>5.5407142857142873</c:v>
                </c:pt>
                <c:pt idx="8">
                  <c:v>5.5757142857142856</c:v>
                </c:pt>
                <c:pt idx="9">
                  <c:v>5.6342857142857143</c:v>
                </c:pt>
                <c:pt idx="10">
                  <c:v>5.7028571428571428</c:v>
                </c:pt>
                <c:pt idx="11">
                  <c:v>5.7685714285714287</c:v>
                </c:pt>
                <c:pt idx="12">
                  <c:v>5.8792857142857144</c:v>
                </c:pt>
                <c:pt idx="13">
                  <c:v>5.9628571428571435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6.0710783261394186</c:v>
                </c:pt>
                <c:pt idx="1">
                  <c:v>6.1262818244806203</c:v>
                </c:pt>
                <c:pt idx="2">
                  <c:v>6.0683847264764879</c:v>
                </c:pt>
                <c:pt idx="3">
                  <c:v>6.0999251875803226</c:v>
                </c:pt>
                <c:pt idx="4">
                  <c:v>6.1448966863915757</c:v>
                </c:pt>
                <c:pt idx="5">
                  <c:v>6.1621373867925602</c:v>
                </c:pt>
                <c:pt idx="6">
                  <c:v>6.1694435417060109</c:v>
                </c:pt>
                <c:pt idx="7">
                  <c:v>6.1939177190141477</c:v>
                </c:pt>
                <c:pt idx="8">
                  <c:v>6.2396287512762418</c:v>
                </c:pt>
                <c:pt idx="9">
                  <c:v>6.3113706100291918</c:v>
                </c:pt>
                <c:pt idx="10">
                  <c:v>6.426923802407579</c:v>
                </c:pt>
                <c:pt idx="11">
                  <c:v>6.4374790175830672</c:v>
                </c:pt>
                <c:pt idx="12">
                  <c:v>6.4572111439025486</c:v>
                </c:pt>
                <c:pt idx="13">
                  <c:v>6.590890878914669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09/04</c:v>
                </c:pt>
                <c:pt idx="1">
                  <c:v>09/08</c:v>
                </c:pt>
                <c:pt idx="2">
                  <c:v>09/09</c:v>
                </c:pt>
                <c:pt idx="3">
                  <c:v>09/10</c:v>
                </c:pt>
                <c:pt idx="4">
                  <c:v>09/11</c:v>
                </c:pt>
                <c:pt idx="5">
                  <c:v>09/14</c:v>
                </c:pt>
                <c:pt idx="6">
                  <c:v>09/15</c:v>
                </c:pt>
                <c:pt idx="7">
                  <c:v>09/16</c:v>
                </c:pt>
                <c:pt idx="8">
                  <c:v>09/17</c:v>
                </c:pt>
                <c:pt idx="9">
                  <c:v>09/18</c:v>
                </c:pt>
                <c:pt idx="10">
                  <c:v>09/21</c:v>
                </c:pt>
                <c:pt idx="11">
                  <c:v>09/22</c:v>
                </c:pt>
                <c:pt idx="12">
                  <c:v>09/23</c:v>
                </c:pt>
                <c:pt idx="13">
                  <c:v>09/24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4.9060645310034365</c:v>
                </c:pt>
                <c:pt idx="1">
                  <c:v>4.8780038898050924</c:v>
                </c:pt>
                <c:pt idx="2">
                  <c:v>4.8987581306663674</c:v>
                </c:pt>
                <c:pt idx="3">
                  <c:v>4.8829319552768196</c:v>
                </c:pt>
                <c:pt idx="4">
                  <c:v>4.8636747421798514</c:v>
                </c:pt>
                <c:pt idx="5">
                  <c:v>4.8635768989217247</c:v>
                </c:pt>
                <c:pt idx="6">
                  <c:v>4.8662707440082755</c:v>
                </c:pt>
                <c:pt idx="7">
                  <c:v>4.8875108524144268</c:v>
                </c:pt>
                <c:pt idx="8">
                  <c:v>4.9117998201523294</c:v>
                </c:pt>
                <c:pt idx="9">
                  <c:v>4.9572008185422369</c:v>
                </c:pt>
                <c:pt idx="10">
                  <c:v>4.9787904833067067</c:v>
                </c:pt>
                <c:pt idx="11">
                  <c:v>5.0996638395597902</c:v>
                </c:pt>
                <c:pt idx="12">
                  <c:v>5.3013602846688803</c:v>
                </c:pt>
                <c:pt idx="13">
                  <c:v>5.3348234067996181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90856"/>
        <c:axId val="357684584"/>
      </c:lineChart>
      <c:catAx>
        <c:axId val="3576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4584"/>
        <c:crosses val="autoZero"/>
        <c:auto val="1"/>
        <c:lblAlgn val="ctr"/>
        <c:lblOffset val="100"/>
        <c:noMultiLvlLbl val="0"/>
      </c:catAx>
      <c:valAx>
        <c:axId val="357684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61575.199999999997</c:v>
                </c:pt>
                <c:pt idx="1">
                  <c:v>57949.2</c:v>
                </c:pt>
                <c:pt idx="2">
                  <c:v>63351.7</c:v>
                </c:pt>
                <c:pt idx="3">
                  <c:v>37751.699999999997</c:v>
                </c:pt>
                <c:pt idx="4">
                  <c:v>50051.7</c:v>
                </c:pt>
                <c:pt idx="5">
                  <c:v>43897.299999999996</c:v>
                </c:pt>
                <c:pt idx="6">
                  <c:v>43897.299999999996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84976"/>
        <c:axId val="357688896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99755.299849999996</c:v>
                </c:pt>
                <c:pt idx="1">
                  <c:v>99446.298949999997</c:v>
                </c:pt>
                <c:pt idx="2">
                  <c:v>98836.3</c:v>
                </c:pt>
                <c:pt idx="3">
                  <c:v>97840.3</c:v>
                </c:pt>
                <c:pt idx="4">
                  <c:v>97149.8</c:v>
                </c:pt>
                <c:pt idx="5">
                  <c:v>96487.3</c:v>
                </c:pt>
                <c:pt idx="6">
                  <c:v>96178.6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84976"/>
        <c:axId val="357688896"/>
      </c:lineChart>
      <c:catAx>
        <c:axId val="3576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8896"/>
        <c:crosses val="autoZero"/>
        <c:auto val="1"/>
        <c:lblAlgn val="ctr"/>
        <c:lblOffset val="100"/>
        <c:noMultiLvlLbl val="0"/>
      </c:catAx>
      <c:valAx>
        <c:axId val="35768889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5768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 val="11"/>
</file>

<file path=xl/ctrlProps/ctrlProp2.xml><?xml version="1.0" encoding="utf-8"?>
<formControlPr xmlns="http://schemas.microsoft.com/office/spreadsheetml/2009/9/main" objectType="Scroll" dx="22" fmlaLink="$V$3" horiz="1" max="5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18</xdr:row>
          <xdr:rowOff>161925</xdr:rowOff>
        </xdr:from>
        <xdr:to>
          <xdr:col>8</xdr:col>
          <xdr:colOff>114300</xdr:colOff>
          <xdr:row>29</xdr:row>
          <xdr:rowOff>180975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F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180975</xdr:colOff>
          <xdr:row>13</xdr:row>
          <xdr:rowOff>57150</xdr:rowOff>
        </xdr:from>
        <xdr:to>
          <xdr:col>20</xdr:col>
          <xdr:colOff>200025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bl_transaction" displayName="tbl_transaction" ref="A4:S55" totalsRowCount="1">
  <autoFilter ref="A4:S54"/>
  <tableColumns count="19">
    <tableColumn id="1" name="Symbol" totalsRowLabel="Total"/>
    <tableColumn id="2" name="Order Date" totalsRowFunction="count"/>
    <tableColumn id="3" name="Transaction Date"/>
    <tableColumn id="4" name="Transactions"/>
    <tableColumn id="5" name="Cancel Reason"/>
    <tableColumn id="6" name="Amount" dataDxfId="219"/>
    <tableColumn id="7" name="Execution_Price" dataDxfId="218"/>
    <tableColumn id="8" name="Month_order" dataDxfId="217">
      <calculatedColumnFormula>VALUE(LEFT(tbl_transaction[[#This Row],[Order Date]],FIND("/",tbl_transaction[[#This Row],[Order Date]])-1))</calculatedColumnFormula>
    </tableColumn>
    <tableColumn id="9" name="Date_order" dataDxfId="216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name="Year_order" dataDxfId="215">
      <calculatedColumnFormula>MID(tbl_transaction[[#This Row],[Order Date]], FIND("/",tbl_transaction[[#This Row],[Order Date]], FIND("/", tbl_transaction[[#This Row],[Order Date]])+1)+1, 2)</calculatedColumnFormula>
    </tableColumn>
    <tableColumn id="11" name="Month_Transact" dataDxfId="214">
      <calculatedColumnFormula>VALUE(LEFT(tbl_transaction[[#This Row],[Transaction Date]],FIND("/",tbl_transaction[[#This Row],[Transaction Date]])-1))</calculatedColumnFormula>
    </tableColumn>
    <tableColumn id="12" name="Date_Transact" dataDxfId="213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name="Year_Transact" dataDxfId="212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name="Order_Date" dataDxfId="211">
      <calculatedColumnFormula>DATE(tbl_transaction[[#This Row],[Year_order]]+2000, tbl_transaction[[#This Row],[Month_order]], tbl_transaction[[#This Row],[Date_order]])</calculatedColumnFormula>
    </tableColumn>
    <tableColumn id="15" name="Transaction_Date" dataDxfId="210">
      <calculatedColumnFormula>DATE(tbl_transaction[[#This Row],[Year_Transact]]+2000,tbl_transaction[[#This Row],[Month_Transact]],tbl_transaction[[#This Row],[Date_Transact]])</calculatedColumnFormula>
    </tableColumn>
    <tableColumn id="16" name="Net_Cash_Change" totalsRowFunction="sum" dataDxfId="209" totalsRowDxfId="208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name="Net_Stock_Change" dataDxfId="207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name="Net_Debt_Change" dataDxfId="206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name="Stock Holding Change" totalsRowFunction="sum" dataDxfId="205" totalsRowDxfId="204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id="12" name="tbl_IBM" displayName="tbl_IBM" ref="A4:S38" totalsRowCount="1">
  <autoFilter ref="A4:S37"/>
  <tableColumns count="19">
    <tableColumn id="1" name="Date" totalsRowLabel="Total" dataDxfId="92"/>
    <tableColumn id="2" name="Open" dataDxfId="91"/>
    <tableColumn id="3" name="High" dataDxfId="90"/>
    <tableColumn id="4" name="Low" dataDxfId="89"/>
    <tableColumn id="5" name="Close" dataDxfId="88"/>
    <tableColumn id="6" name="Adj Close" dataDxfId="87"/>
    <tableColumn id="7" name="Volume"/>
    <tableColumn id="8" name="EMA" dataDxfId="86">
      <calculatedColumnFormula>IF(tbl_IBM[[#This Row],[Date]]=$A$5, $F5, EMA_Beta*$H4 + (1-EMA_Beta)*$F5)</calculatedColumnFormula>
    </tableColumn>
    <tableColumn id="9" name="RSI" dataDxfId="85">
      <calculatedColumnFormula>IF(tbl_IBM[[#This Row],[RS]]= "", "", 100-(100/(1+tbl_IBM[[#This Row],[RS]])))</calculatedColumnFormula>
    </tableColumn>
    <tableColumn id="10" name="BB_Mean" dataDxfId="8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83">
      <calculatedColumnFormula>IF(tbl_IBM[[#This Row],[BB_Mean]]="", "", tbl_IBM[[#This Row],[BB_Mean]]+(BB_Width*tbl_IBM[[#This Row],[BB_Stdev]]))</calculatedColumnFormula>
    </tableColumn>
    <tableColumn id="12" name="BB_Lower" dataDxfId="82">
      <calculatedColumnFormula>IF(tbl_IBM[[#This Row],[BB_Mean]]="", "", tbl_IBM[[#This Row],[BB_Mean]]-(BB_Width*tbl_IBM[[#This Row],[BB_Stdev]]))</calculatedColumnFormula>
    </tableColumn>
    <tableColumn id="13" name="Move" dataDxfId="81">
      <calculatedColumnFormula>IF(ROW(tbl_IBM[[#This Row],[Adj Close]])=5, 0, $F5-$F4)</calculatedColumnFormula>
    </tableColumn>
    <tableColumn id="14" name="Upmove" dataDxfId="80">
      <calculatedColumnFormula>MAX(tbl_IBM[[#This Row],[Move]],0)</calculatedColumnFormula>
    </tableColumn>
    <tableColumn id="15" name="Downmove" dataDxfId="79">
      <calculatedColumnFormula>MAX(-tbl_IBM[[#This Row],[Move]],0)</calculatedColumnFormula>
    </tableColumn>
    <tableColumn id="16" name="Avg_Upmove" dataDxfId="7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7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76">
      <calculatedColumnFormula>IF(tbl_IBM[[#This Row],[Avg_Upmove]]="", "", tbl_IBM[[#This Row],[Avg_Upmove]]/tbl_IBM[[#This Row],[Avg_Downmove]])</calculatedColumnFormula>
    </tableColumn>
    <tableColumn id="19" name="BB_Stdev" totalsRowFunction="count" dataDxfId="7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id="13" name="tbl_ORCL" displayName="tbl_ORCL" ref="A4:S38" totalsRowCount="1">
  <autoFilter ref="A4:S37"/>
  <tableColumns count="19">
    <tableColumn id="1" name="Date" totalsRowLabel="Total" dataDxfId="74"/>
    <tableColumn id="2" name="Open" totalsRowDxfId="73" dataCellStyle="Currency"/>
    <tableColumn id="3" name="High" totalsRowDxfId="72" dataCellStyle="Currency"/>
    <tableColumn id="4" name="Low" totalsRowDxfId="71" dataCellStyle="Currency"/>
    <tableColumn id="5" name="Close" totalsRowDxfId="70" dataCellStyle="Currency"/>
    <tableColumn id="6" name="Adj Close" totalsRowDxfId="69" dataCellStyle="Currency"/>
    <tableColumn id="7" name="Volume"/>
    <tableColumn id="8" name="EMA" dataDxfId="68" totalsRowDxfId="67" dataCellStyle="Currency">
      <calculatedColumnFormula>IF(tbl_ORCL[[#This Row],[Date]]=$A$5, $F5, EMA_Beta*$H4 + (1-EMA_Beta)*$F5)</calculatedColumnFormula>
    </tableColumn>
    <tableColumn id="9" name="RSI" dataDxfId="66" totalsRowDxfId="65" dataCellStyle="Currency">
      <calculatedColumnFormula>IF(tbl_ORCL[[#This Row],[RS]]= "", "", 100-(100/(1+tbl_ORCL[[#This Row],[RS]])))</calculatedColumnFormula>
    </tableColumn>
    <tableColumn id="10" name="BB_Mean" dataDxfId="64" totalsRowDxfId="6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62" totalsRowDxfId="61" dataCellStyle="Currency">
      <calculatedColumnFormula>IF(tbl_ORCL[[#This Row],[BB_Mean]]="", "", tbl_ORCL[[#This Row],[BB_Mean]]+(BB_Width*tbl_ORCL[[#This Row],[BB_Stdev]]))</calculatedColumnFormula>
    </tableColumn>
    <tableColumn id="12" name="BB_Lower" dataDxfId="60" totalsRowDxfId="59" dataCellStyle="Currency">
      <calculatedColumnFormula>IF(tbl_ORCL[[#This Row],[BB_Mean]]="", "", tbl_ORCL[[#This Row],[BB_Mean]]-(BB_Width*tbl_ORCL[[#This Row],[BB_Stdev]]))</calculatedColumnFormula>
    </tableColumn>
    <tableColumn id="13" name="Move" dataDxfId="58" totalsRowDxfId="57" dataCellStyle="Currency">
      <calculatedColumnFormula>IF(ROW(tbl_ORCL[[#This Row],[Adj Close]])=5, 0, $F5-$F4)</calculatedColumnFormula>
    </tableColumn>
    <tableColumn id="14" name="Upmove" dataDxfId="56" totalsRowDxfId="55" dataCellStyle="Currency">
      <calculatedColumnFormula>MAX(tbl_ORCL[[#This Row],[Move]],0)</calculatedColumnFormula>
    </tableColumn>
    <tableColumn id="15" name="Downmove" dataDxfId="54" totalsRowDxfId="53" dataCellStyle="Currency">
      <calculatedColumnFormula>MAX(-tbl_ORCL[[#This Row],[Move]],0)</calculatedColumnFormula>
    </tableColumn>
    <tableColumn id="16" name="Avg_Upmove" dataDxfId="52" totalsRowDxfId="51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50" totalsRowDxfId="49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48" totalsRowDxfId="47" dataCellStyle="Currency">
      <calculatedColumnFormula>IF(tbl_ORCL[[#This Row],[Avg_Upmove]]="", "", tbl_ORCL[[#This Row],[Avg_Upmove]]/tbl_ORCL[[#This Row],[Avg_Downmove]])</calculatedColumnFormula>
    </tableColumn>
    <tableColumn id="19" name="BB_Stdev" totalsRowFunction="count" dataDxfId="46" totalsRowDxfId="4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id="14" name="tbl_AKRO" displayName="tbl_AKRO" ref="A4:S38" totalsRowCount="1">
  <autoFilter ref="A4:S37"/>
  <tableColumns count="19">
    <tableColumn id="1" name="Date" totalsRowLabel="Total" dataDxfId="44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IF(tbl_AKRO[[#This Row],[Date]]=$A$5, $F5, EMA_Beta*$H4 + (1-EMA_Beta)*$F5)</calculatedColumnFormula>
    </tableColumn>
    <tableColumn id="9" name="RSI" dataDxfId="43">
      <calculatedColumnFormula>IF(tbl_AKRO[[#This Row],[RS]]= "", "", 100-(100/(1+tbl_AKRO[[#This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42" dataCellStyle="Currency">
      <calculatedColumnFormula>IF(tbl_AKRO[[#This Row],[BB_Mean]]="", "", tbl_AKRO[[#This Row],[BB_Mean]]+(BB_Width*tbl_AKRO[[#This Row],[BB_Stdev]]))</calculatedColumnFormula>
    </tableColumn>
    <tableColumn id="12" name="BB_Lower" dataDxfId="41" dataCellStyle="Currency">
      <calculatedColumnFormula>IF(tbl_AKRO[[#This Row],[BB_Mean]]="", "", tbl_AKRO[[#This Row],[BB_Mean]]-(BB_Width*tbl_AKRO[[#This Row],[BB_Stdev]]))</calculatedColumnFormula>
    </tableColumn>
    <tableColumn id="13" name="Move" dataDxfId="40">
      <calculatedColumnFormula>IF(ROW(tbl_AKRO[[#This Row],[Adj Close]])=5, 0, $F5-$F4)</calculatedColumnFormula>
    </tableColumn>
    <tableColumn id="14" name="Upmove" dataDxfId="39">
      <calculatedColumnFormula>MAX(tbl_AKRO[[#This Row],[Move]],0)</calculatedColumnFormula>
    </tableColumn>
    <tableColumn id="15" name="Downmove" dataDxfId="38">
      <calculatedColumnFormula>MAX(-tbl_AKRO[[#This Row],[Move]],0)</calculatedColumnFormula>
    </tableColumn>
    <tableColumn id="16" name="Avg_Upmove" dataDxfId="3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3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35">
      <calculatedColumnFormula>IF(tbl_AKRO[[#This Row],[Avg_Upmove]]="", "", tbl_AKRO[[#This Row],[Avg_Upmove]]/tbl_AKRO[[#This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id="16" name="tbl_FDX" displayName="tbl_FDX" ref="A4:S38" totalsRowCount="1">
  <autoFilter ref="A4:S37"/>
  <tableColumns count="19">
    <tableColumn id="1" name="Date" totalsRowLabel="Total" dataDxfId="34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IF(tbl_FDX[[#This Row],[Date]]=$A$5, $F5, EMA_Beta*$H4 + (1-EMA_Beta)*$F5)</calculatedColumnFormula>
    </tableColumn>
    <tableColumn id="9" name="RSI" dataDxfId="33">
      <calculatedColumnFormula>IF(tbl_FDX[[#This Row],[RS]]= "", "", 100-(100/(1+tbl_FDX[[#This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IF(tbl_FDX[[#This Row],[BB_Mean]]="", "", tbl_FDX[[#This Row],[BB_Mean]]+(BB_Width*tbl_FDX[[#This Row],[BB_Stdev]]))</calculatedColumnFormula>
    </tableColumn>
    <tableColumn id="12" name="BB_Lower" dataDxfId="32" dataCellStyle="Currency">
      <calculatedColumnFormula>IF(tbl_FDX[[#This Row],[BB_Mean]]="", "", tbl_FDX[[#This Row],[BB_Mean]]-(BB_Width*tbl_FDX[[#This Row],[BB_Stdev]]))</calculatedColumnFormula>
    </tableColumn>
    <tableColumn id="13" name="Move" dataDxfId="31">
      <calculatedColumnFormula>IF(ROW(tbl_FDX[[#This Row],[Adj Close]])=5, 0, $F5-$F4)</calculatedColumnFormula>
    </tableColumn>
    <tableColumn id="14" name="Upmove" dataDxfId="30">
      <calculatedColumnFormula>MAX(tbl_FDX[[#This Row],[Move]],0)</calculatedColumnFormula>
    </tableColumn>
    <tableColumn id="15" name="Downmove" dataDxfId="29">
      <calculatedColumnFormula>MAX(-tbl_FDX[[#This Row],[Move]],0)</calculatedColumnFormula>
    </tableColumn>
    <tableColumn id="16" name="Avg_Upmove" dataDxfId="2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26">
      <calculatedColumnFormula>IF(tbl_FDX[[#This Row],[Avg_Upmove]]="", "", tbl_FDX[[#This Row],[Avg_Upmove]]/tbl_FDX[[#This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id="17" name="tbl_NKLA" displayName="tbl_NKLA" ref="A4:S38" totalsRowCount="1">
  <autoFilter ref="A4:S37"/>
  <tableColumns count="19">
    <tableColumn id="1" name="Date" totalsRowLabel="Total" dataDxfId="0"/>
    <tableColumn id="2" name="Open"/>
    <tableColumn id="3" name="High"/>
    <tableColumn id="4" name="Low"/>
    <tableColumn id="5" name="Close"/>
    <tableColumn id="6" name="Adj Close"/>
    <tableColumn id="7" name="Volume"/>
    <tableColumn id="8" name="EMA" dataCellStyle="Currency">
      <calculatedColumnFormula>IF(tbl_NKLA[[#This Row],[Date]]=$A$5, $F5, EMA_Beta*$H4 + (1-EMA_Beta)*$F5)</calculatedColumnFormula>
    </tableColumn>
    <tableColumn id="9" name="RSI" dataDxfId="25">
      <calculatedColumnFormula>IF(tbl_NKLA[[#This Row],[RS]]= "", "", 100-(100/(1+tbl_NKLA[[#This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IF(tbl_NKLA[[#This Row],[BB_Mean]]="", "", tbl_NKLA[[#This Row],[BB_Mean]]+(BB_Width*tbl_NKLA[[#This Row],[BB_Stdev]]))</calculatedColumnFormula>
    </tableColumn>
    <tableColumn id="12" name="BB_Lower" dataCellStyle="Currency">
      <calculatedColumnFormula>IF(tbl_NKLA[[#This Row],[BB_Mean]]="", "", tbl_NKLA[[#This Row],[BB_Mean]]-(BB_Width*tbl_NKLA[[#This Row],[BB_Stdev]]))</calculatedColumnFormula>
    </tableColumn>
    <tableColumn id="13" name="Move" dataDxfId="24">
      <calculatedColumnFormula>IF(ROW(tbl_NKLA[[#This Row],[Adj Close]])=5, 0, $F5-$F4)</calculatedColumnFormula>
    </tableColumn>
    <tableColumn id="14" name="Upmove" dataDxfId="23">
      <calculatedColumnFormula>MAX(tbl_NKLA[[#This Row],[Move]],0)</calculatedColumnFormula>
    </tableColumn>
    <tableColumn id="15" name="Downmove" dataDxfId="22">
      <calculatedColumnFormula>MAX(-tbl_NKLA[[#This Row],[Move]],0)</calculatedColumnFormula>
    </tableColumn>
    <tableColumn id="16" name="Avg_Upmove" dataDxfId="2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2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9">
      <calculatedColumnFormula>IF(tbl_NKLA[[#This Row],[Avg_Upmove]]="", "", tbl_NKLA[[#This Row],[Avg_Upmove]]/tbl_NKLA[[#This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bl_SPXS" displayName="tbl_SPXS" ref="A4:S38" totalsRowCount="1">
  <autoFilter ref="A4:S37"/>
  <tableColumns count="19">
    <tableColumn id="1" name="Date" totalsRowLabel="Total" dataDxfId="18"/>
    <tableColumn id="2" name="Open" dataCellStyle="Currency"/>
    <tableColumn id="3" name="High" dataCellStyle="Currency"/>
    <tableColumn id="4" name="Low" dataCellStyle="Currency"/>
    <tableColumn id="5" name="Close" dataCellStyle="Currency"/>
    <tableColumn id="6" name="Adj Close" dataCellStyle="Currency"/>
    <tableColumn id="7" name="Volume"/>
    <tableColumn id="8" name="EMA" dataCellStyle="Currency">
      <calculatedColumnFormula>IF(tbl_SPXS[[#This Row],[Date]]=$A$5, $F5, EMA_Beta*$H4 + (1-EMA_Beta)*$F5)</calculatedColumnFormula>
    </tableColumn>
    <tableColumn id="9" name="RSI" dataDxfId="17">
      <calculatedColumnFormula>IF(tbl_SPXS[[#This Row],[RS]]= "", "", 100-(100/(1+tbl_SPXS[[#This Row],[RS]])))</calculatedColumnFormula>
    </tableColumn>
    <tableColumn id="10" name="BB_Mean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CellStyle="Currency">
      <calculatedColumnFormula>IF(tbl_SPXS[[#This Row],[BB_Mean]]="", "", tbl_SPXS[[#This Row],[BB_Mean]]+(BB_Width*tbl_SPXS[[#This Row],[BB_Stdev]]))</calculatedColumnFormula>
    </tableColumn>
    <tableColumn id="12" name="BB_Lower" dataCellStyle="Currency">
      <calculatedColumnFormula>IF(tbl_SPXS[[#This Row],[BB_Mean]]="", "", tbl_SPXS[[#This Row],[BB_Mean]]-(BB_Width*tbl_SPXS[[#This Row],[BB_Stdev]]))</calculatedColumnFormula>
    </tableColumn>
    <tableColumn id="13" name="Move" dataDxfId="16">
      <calculatedColumnFormula>IF(ROW(tbl_SPXS[[#This Row],[Adj Close]])=5, 0, $F5-$F4)</calculatedColumnFormula>
    </tableColumn>
    <tableColumn id="14" name="Upmove" dataDxfId="15">
      <calculatedColumnFormula>MAX(tbl_SPXS[[#This Row],[Move]],0)</calculatedColumnFormula>
    </tableColumn>
    <tableColumn id="15" name="Downmove" dataDxfId="14">
      <calculatedColumnFormula>MAX(-tbl_SPXS[[#This Row],[Move]],0)</calculatedColumnFormula>
    </tableColumn>
    <tableColumn id="16" name="Avg_Upmove" dataDxfId="1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1">
      <calculatedColumnFormula>IF(tbl_SPXS[[#This Row],[Avg_Upmove]]="", "", tbl_SPXS[[#This Row],[Avg_Upmove]]/tbl_SPXS[[#This Row],[Avg_Downmove]])</calculatedColumnFormula>
    </tableColumn>
    <tableColumn id="19" name="BB_Stdev" totalsRowFunction="count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bl_holdings" displayName="tbl_holdings" ref="B4:F15" totalsRowCount="1">
  <autoFilter ref="B4:F14"/>
  <tableColumns count="5">
    <tableColumn id="1" name="Index" totalsRowLabel="Total"/>
    <tableColumn id="2" name="Stock">
      <calculatedColumnFormula>INDEX(Symbol,B5)</calculatedColumnFormula>
    </tableColumn>
    <tableColumn id="3" name="Current Price">
      <calculatedColumnFormula>INDEX(INDIRECT("tbl_"&amp;C5),COUNT(INDIRECT("tbl_"&amp;C5&amp;"[Date]")), MATCH("Adj close", Price_Header,0))</calculatedColumnFormula>
    </tableColumn>
    <tableColumn id="4" name="# Holdings">
      <calculatedColumnFormula>INDEX(tbl_position[], COUNT(tbl_position[Date]), MATCH("Shares_"&amp;C5, pos_header,0))</calculatedColumnFormula>
    </tableColumn>
    <tableColumn id="5" name="Total" totalsRowFunction="sum" dataDxfId="10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bl_transsummary" displayName="tbl_transsummary" ref="J4:P10" totalsRowShown="0">
  <autoFilter ref="J4:P10"/>
  <tableColumns count="7">
    <tableColumn id="1" name="Index"/>
    <tableColumn id="2" name="Start" dataDxfId="9">
      <calculatedColumnFormula>K4+7</calculatedColumnFormula>
    </tableColumn>
    <tableColumn id="3" name="End" dataDxfId="8">
      <calculatedColumnFormula>L4+7</calculatedColumnFormula>
    </tableColumn>
    <tableColumn id="4" name="BUY" dataDxfId="7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name="SELL" dataDxfId="6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name="SHORT" dataDxfId="5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name="COVER" dataDxfId="4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_symbol" displayName="tbl_symbol" ref="A3:A13" totalsRowShown="0" headerRowDxfId="203">
  <autoFilter ref="A3:A13"/>
  <tableColumns count="1">
    <tableColumn id="1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tbl_transtype" displayName="tbl_transtype" ref="C3:C7" totalsRowShown="0" headerRowDxfId="202">
  <autoFilter ref="C3:C7"/>
  <tableColumns count="1">
    <tableColumn id="1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7" name="tbl_Metrics" displayName="tbl_Metrics" ref="E3:E6" totalsRowShown="0" headerRowDxfId="201">
  <autoFilter ref="E3:E6"/>
  <tableColumns count="1">
    <tableColumn id="1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4" name="tbl_position" displayName="tbl_position" ref="A4:Y16" totalsRowCount="1">
  <autoFilter ref="A4:Y14"/>
  <tableColumns count="25">
    <tableColumn id="1" name="Date" totalsRowLabel="Total" dataDxfId="200"/>
    <tableColumn id="2" name="Price_AAPL" dataCellStyle="Currency">
      <calculatedColumnFormula>VLOOKUP(tbl_position[[#This Row],[Date]], tbl_AAPL[], 5, 0)</calculatedColumnFormula>
    </tableColumn>
    <tableColumn id="3" name="Price_RIOT" dataDxfId="199" dataCellStyle="Currency">
      <calculatedColumnFormula>VLOOKUP(tbl_position[[#This Row],[Date]], tbl_RIOT[], 5, 0)</calculatedColumnFormula>
    </tableColumn>
    <tableColumn id="4" name="Price_HD" totalsRowDxfId="3" dataCellStyle="Currency">
      <calculatedColumnFormula>VLOOKUP(tbl_position[[#This Row],[Date]], tbl_HD[], 5, 0)</calculatedColumnFormula>
    </tableColumn>
    <tableColumn id="5" name="Price_WMT" dataDxfId="198" dataCellStyle="Currency">
      <calculatedColumnFormula>VLOOKUP(tbl_position[[#This Row],[Date]], tbl_WMT[], 5, 0)</calculatedColumnFormula>
    </tableColumn>
    <tableColumn id="6" name="Price_IBM" dataDxfId="197" dataCellStyle="Currency">
      <calculatedColumnFormula>VLOOKUP(tbl_position[[#This Row],[Date]], tbl_IBM[], 5, 0)</calculatedColumnFormula>
    </tableColumn>
    <tableColumn id="7" name="Price_ORCL" dataDxfId="196" dataCellStyle="Currency">
      <calculatedColumnFormula>VLOOKUP(tbl_position[[#This Row],[Date]], tbl_ORCL[], 5, 0)</calculatedColumnFormula>
    </tableColumn>
    <tableColumn id="20" name="Price_AKRO" dataDxfId="195" dataCellStyle="Currency">
      <calculatedColumnFormula>VLOOKUP(tbl_position[[#This Row],[Date]], tbl_AKRO[], 5, 0)</calculatedColumnFormula>
    </tableColumn>
    <tableColumn id="19" name="Price_FDX" dataDxfId="194" dataCellStyle="Currency">
      <calculatedColumnFormula>VLOOKUP(tbl_position[[#This Row],[Date]], tbl_FDX[], 5, 0)</calculatedColumnFormula>
    </tableColumn>
    <tableColumn id="21" name="Price_NKLA" dataDxfId="193" dataCellStyle="Currency">
      <calculatedColumnFormula>VLOOKUP(tbl_position[[#This Row],[Date]], tbl_NKLA[], 5, 0)</calculatedColumnFormula>
    </tableColumn>
    <tableColumn id="22" name="Price_SPXS" dataDxfId="192" dataCellStyle="Currency">
      <calculatedColumnFormula>VLOOKUP(tbl_position[[#This Row],[Date]], tbl_SPXS[], 5, 0)</calculatedColumnFormula>
    </tableColumn>
    <tableColumn id="8" name="Shares_AAPL" dataDxfId="191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name="Shares_RIOT" dataDxfId="190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name="Shares_HD" dataDxfId="189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name="Shares_WMT" dataDxfId="188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name="Shares_IBM" dataDxfId="187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name="Shares_ORCL" dataDxfId="186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name="Shares_AKRO" dataDxfId="185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name="Shares_FDX" dataDxfId="184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name="Shares_NKLA" dataDxfId="183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name="Shares_SPXS" dataDxfId="182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name="Cash_Holding" dataDxfId="181" totalsRowDxfId="2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name="Liabilities_Holding" dataDxfId="180">
      <calculatedColumnFormula>SUMIFS(tbl_transaction[Net_Debt_Change], tbl_transaction[Transaction_Date],tbl_position[[#This Row],[Date]])+IF(tbl_position[[#This Row],[Date]]=$A$5, 0, $X4)</calculatedColumnFormula>
    </tableColumn>
    <tableColumn id="18" name="Total_Net_Asset" dataDxfId="179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id="5" name="tbl_HD" displayName="tbl_HD" ref="A4:S38" totalsRowCount="1">
  <autoFilter ref="A4:S37"/>
  <tableColumns count="19">
    <tableColumn id="1" name="Date" totalsRowLabel="Total" dataDxfId="178"/>
    <tableColumn id="2" name="Open" dataDxfId="177"/>
    <tableColumn id="3" name="High" dataDxfId="176"/>
    <tableColumn id="4" name="Low" dataDxfId="175"/>
    <tableColumn id="5" name="Close" dataDxfId="174"/>
    <tableColumn id="6" name="Adj Close" dataDxfId="173"/>
    <tableColumn id="7" name="Volume"/>
    <tableColumn id="8" name="EMA" totalsRowDxfId="172" dataCellStyle="Currency">
      <calculatedColumnFormula>IF(tbl_HD[[#This Row],[Date]]=$A$5, $F5, EMA_Beta*$H4 + (1-EMA_Beta)*$F5)</calculatedColumnFormula>
    </tableColumn>
    <tableColumn id="9" name="RSI" dataDxfId="171">
      <calculatedColumnFormula>IF(tbl_HD[[#This Row],[RS]]= "", "", 100-(100/(1+tbl_HD[[#This Row],[RS]])))</calculatedColumnFormula>
    </tableColumn>
    <tableColumn id="10" name="BB_Mean" totalsRowDxfId="17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69" totalsRowDxfId="168" dataCellStyle="Currency">
      <calculatedColumnFormula>IF(tbl_HD[[#This Row],[BB_Mean]]="", "", tbl_HD[[#This Row],[BB_Mean]]+(BB_Width*tbl_HD[[#This Row],[BB_Stdev]]))</calculatedColumnFormula>
    </tableColumn>
    <tableColumn id="12" name="BB_Lower" dataDxfId="167" totalsRowDxfId="166" dataCellStyle="Currency">
      <calculatedColumnFormula>IF(tbl_HD[[#This Row],[BB_Mean]]="", "", tbl_HD[[#This Row],[BB_Mean]]-(BB_Width*tbl_HD[[#This Row],[BB_Stdev]]))</calculatedColumnFormula>
    </tableColumn>
    <tableColumn id="13" name="Move" dataDxfId="165">
      <calculatedColumnFormula>IF(ROW(tbl_HD[[#This Row],[Adj Close]])=5, 0, $F5-$F4)</calculatedColumnFormula>
    </tableColumn>
    <tableColumn id="14" name="Upmove" dataDxfId="164">
      <calculatedColumnFormula>MAX(tbl_HD[[#This Row],[Move]],0)</calculatedColumnFormula>
    </tableColumn>
    <tableColumn id="15" name="Downmove" dataDxfId="163">
      <calculatedColumnFormula>MAX(-tbl_HD[[#This Row],[Move]],0)</calculatedColumnFormula>
    </tableColumn>
    <tableColumn id="16" name="Avg_Upmove" dataDxfId="16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6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60">
      <calculatedColumnFormula>IF(tbl_HD[[#This Row],[Avg_Upmove]]="", "", tbl_HD[[#This Row],[Avg_Upmove]]/tbl_HD[[#This Row],[Avg_Downmove]])</calculatedColumnFormula>
    </tableColumn>
    <tableColumn id="19" name="BB_Stdev" totalsRowFunction="count" totalsRowDxfId="15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id="6" name="tbl_AAPL" displayName="tbl_AAPL" ref="A4:S38" totalsRowCount="1">
  <autoFilter ref="A4:S37"/>
  <tableColumns count="19">
    <tableColumn id="1" name="Date" totalsRowLabel="Total" dataDxfId="158"/>
    <tableColumn id="2" name="Open" totalsRowDxfId="157" dataCellStyle="Currency"/>
    <tableColumn id="3" name="High" totalsRowDxfId="156" dataCellStyle="Currency"/>
    <tableColumn id="4" name="Low" totalsRowDxfId="155" dataCellStyle="Currency"/>
    <tableColumn id="5" name="Close" totalsRowDxfId="154" dataCellStyle="Currency"/>
    <tableColumn id="6" name="Adj Close" totalsRowDxfId="153" dataCellStyle="Currency"/>
    <tableColumn id="7" name="Volume"/>
    <tableColumn id="8" name="EMA" dataDxfId="152" totalsRowDxfId="151" dataCellStyle="Currency">
      <calculatedColumnFormula>IF(tbl_AAPL[[#This Row],[Date]]=$A$5, $F5, EMA_Beta*$H4 + (1-EMA_Beta)*$F5)</calculatedColumnFormula>
    </tableColumn>
    <tableColumn id="9" name="RSI" dataDxfId="150" totalsRowDxfId="149" dataCellStyle="Currency">
      <calculatedColumnFormula>IF(tbl_AAPL[[#This Row],[RS]]= "", "", 100-(100/(1+tbl_AAPL[[#This Row],[RS]])))</calculatedColumnFormula>
    </tableColumn>
    <tableColumn id="10" name="BB_Mean" dataDxfId="148" totalsRowDxfId="14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46" totalsRowDxfId="145" dataCellStyle="Currency">
      <calculatedColumnFormula>IF(tbl_AAPL[[#This Row],[BB_Mean]]="", "", tbl_AAPL[[#This Row],[BB_Mean]]+(BB_Width*tbl_AAPL[[#This Row],[BB_Stdev]]))</calculatedColumnFormula>
    </tableColumn>
    <tableColumn id="12" name="BB_Lower" dataDxfId="144" totalsRowDxfId="143" dataCellStyle="Currency">
      <calculatedColumnFormula>IF(tbl_AAPL[[#This Row],[BB_Mean]]="", "", tbl_AAPL[[#This Row],[BB_Mean]]-(BB_Width*tbl_AAPL[[#This Row],[BB_Stdev]]))</calculatedColumnFormula>
    </tableColumn>
    <tableColumn id="13" name="Move" dataDxfId="142" totalsRowDxfId="141" dataCellStyle="Currency">
      <calculatedColumnFormula>IF(ROW(tbl_AAPL[[#This Row],[Adj Close]])=5, 0, $F5-$F4)</calculatedColumnFormula>
    </tableColumn>
    <tableColumn id="14" name="Upmove" dataDxfId="140" totalsRowDxfId="139" dataCellStyle="Currency">
      <calculatedColumnFormula>MAX(tbl_AAPL[[#This Row],[Move]],0)</calculatedColumnFormula>
    </tableColumn>
    <tableColumn id="15" name="Downmove" dataDxfId="138" totalsRowDxfId="137" dataCellStyle="Currency">
      <calculatedColumnFormula>MAX(-tbl_AAPL[[#This Row],[Move]],0)</calculatedColumnFormula>
    </tableColumn>
    <tableColumn id="16" name="Avg_Upmove" dataDxfId="136" totalsRowDxfId="135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34" totalsRowDxfId="133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32" totalsRowDxfId="131" dataCellStyle="Currency">
      <calculatedColumnFormula>IF(tbl_AAPL[[#This Row],[Avg_Upmove]]="", "", tbl_AAPL[[#This Row],[Avg_Upmove]]/tbl_AAPL[[#This Row],[Avg_Downmove]])</calculatedColumnFormula>
    </tableColumn>
    <tableColumn id="19" name="BB_Stdev" totalsRowFunction="count" dataDxfId="130" totalsRowDxfId="129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id="9" name="tbl_WMT" displayName="tbl_WMT" ref="A4:S38" totalsRowCount="1">
  <autoFilter ref="A4:S37"/>
  <tableColumns count="19">
    <tableColumn id="1" name="Date" totalsRowLabel="Total" dataDxfId="128"/>
    <tableColumn id="2" name="Open" dataDxfId="127"/>
    <tableColumn id="3" name="High" dataDxfId="126"/>
    <tableColumn id="4" name="Low" dataDxfId="125"/>
    <tableColumn id="5" name="Close" dataDxfId="124"/>
    <tableColumn id="6" name="Adj Close" dataDxfId="123"/>
    <tableColumn id="7" name="Volume"/>
    <tableColumn id="8" name="EMA" dataDxfId="122">
      <calculatedColumnFormula>IF(tbl_WMT[[#This Row],[Date]]=$A$5, $F5, EMA_Beta*$H4 + (1-EMA_Beta)*$F5)</calculatedColumnFormula>
    </tableColumn>
    <tableColumn id="9" name="RSI" dataDxfId="121" totalsRowDxfId="1" dataCellStyle="Currency">
      <calculatedColumnFormula>IF(tbl_WMT[[#This Row],[RS]]= "", "", 100-(100/(1+tbl_WMT[[#This Row],[RS]])))</calculatedColumnFormula>
    </tableColumn>
    <tableColumn id="10" name="BB_Mean" dataDxfId="120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19">
      <calculatedColumnFormula>IF(tbl_WMT[[#This Row],[BB_Mean]]="", "", tbl_WMT[[#This Row],[BB_Mean]]+(BB_Width*tbl_WMT[[#This Row],[BB_Stdev]]))</calculatedColumnFormula>
    </tableColumn>
    <tableColumn id="12" name="BB_Lower" dataDxfId="118">
      <calculatedColumnFormula>IF(tbl_WMT[[#This Row],[BB_Mean]]="", "", tbl_WMT[[#This Row],[BB_Mean]]-(BB_Width*tbl_WMT[[#This Row],[BB_Stdev]]))</calculatedColumnFormula>
    </tableColumn>
    <tableColumn id="13" name="Move" dataDxfId="117">
      <calculatedColumnFormula>IF(ROW(tbl_WMT[[#This Row],[Adj Close]])=5, 0, $F5-$F4)</calculatedColumnFormula>
    </tableColumn>
    <tableColumn id="14" name="Upmove" dataDxfId="116">
      <calculatedColumnFormula>MAX(tbl_WMT[[#This Row],[Move]],0)</calculatedColumnFormula>
    </tableColumn>
    <tableColumn id="15" name="Downmove" dataDxfId="115">
      <calculatedColumnFormula>MAX(-tbl_WMT[[#This Row],[Move]],0)</calculatedColumnFormula>
    </tableColumn>
    <tableColumn id="16" name="Avg_Upmove" dataDxfId="11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11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112">
      <calculatedColumnFormula>IF(tbl_WMT[[#This Row],[Avg_Upmove]]="", "", tbl_WMT[[#This Row],[Avg_Upmove]]/tbl_WMT[[#This Row],[Avg_Downmove]])</calculatedColumnFormula>
    </tableColumn>
    <tableColumn id="19" name="BB_Stdev" totalsRowFunction="count" dataDxfId="111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id="10" name="tbl_RIOT" displayName="tbl_RIOT" ref="A4:S38" totalsRowCount="1">
  <autoFilter ref="A4:S37"/>
  <tableColumns count="19">
    <tableColumn id="1" name="Date" totalsRowLabel="Total" dataDxfId="110"/>
    <tableColumn id="2" name="Open" dataDxfId="109"/>
    <tableColumn id="3" name="High" dataDxfId="108"/>
    <tableColumn id="4" name="Low" dataDxfId="107"/>
    <tableColumn id="5" name="Close" dataDxfId="106"/>
    <tableColumn id="6" name="Adj Close" dataDxfId="105"/>
    <tableColumn id="7" name="Volume"/>
    <tableColumn id="8" name="EMA" dataDxfId="104">
      <calculatedColumnFormula>IF(tbl_RIOT[[#This Row],[Date]]=$A$5, $F5, EMA_Beta*$H4 + (1-EMA_Beta)*$F5)</calculatedColumnFormula>
    </tableColumn>
    <tableColumn id="9" name="RSI" dataDxfId="103">
      <calculatedColumnFormula>IF(tbl_RIOT[[#This Row],[RS]]= "", "", 100-(100/(1+tbl_RIOT[[#This Row],[RS]])))</calculatedColumnFormula>
    </tableColumn>
    <tableColumn id="10" name="BB_Mean" dataDxfId="10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name="BB_Upper" dataDxfId="101">
      <calculatedColumnFormula>IF(tbl_RIOT[[#This Row],[BB_Mean]]="", "", tbl_RIOT[[#This Row],[BB_Mean]]+(BB_Width*tbl_RIOT[[#This Row],[BB_Stdev]]))</calculatedColumnFormula>
    </tableColumn>
    <tableColumn id="12" name="BB_Lower" dataDxfId="100">
      <calculatedColumnFormula>IF(tbl_RIOT[[#This Row],[BB_Mean]]="", "", tbl_RIOT[[#This Row],[BB_Mean]]-(BB_Width*tbl_RIOT[[#This Row],[BB_Stdev]]))</calculatedColumnFormula>
    </tableColumn>
    <tableColumn id="13" name="Move" dataDxfId="99">
      <calculatedColumnFormula>IF(ROW(tbl_RIOT[[#This Row],[Adj Close]])=5, 0, $F5-$F4)</calculatedColumnFormula>
    </tableColumn>
    <tableColumn id="14" name="Upmove" dataDxfId="98">
      <calculatedColumnFormula>MAX(tbl_RIOT[[#This Row],[Move]],0)</calculatedColumnFormula>
    </tableColumn>
    <tableColumn id="15" name="Downmove" dataDxfId="97">
      <calculatedColumnFormula>MAX(-tbl_RIOT[[#This Row],[Move]],0)</calculatedColumnFormula>
    </tableColumn>
    <tableColumn id="16" name="Avg_Upmove" dataDxfId="9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name="Avg_Downmove" dataDxfId="9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name="RS" dataDxfId="94">
      <calculatedColumnFormula>IF(tbl_RIOT[[#This Row],[Avg_Upmove]]="", "", tbl_RIOT[[#This Row],[Avg_Upmove]]/tbl_RIOT[[#This Row],[Avg_Downmove]])</calculatedColumnFormula>
    </tableColumn>
    <tableColumn id="19" name="BB_Stdev" totalsRowFunction="count" dataDxfId="9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5"/>
  <sheetViews>
    <sheetView tabSelected="1" workbookViewId="0">
      <selection activeCell="G36" sqref="G36"/>
    </sheetView>
  </sheetViews>
  <sheetFormatPr defaultRowHeight="15" x14ac:dyDescent="0.25"/>
  <cols>
    <col min="10" max="10" width="10.85546875" customWidth="1"/>
  </cols>
  <sheetData>
    <row r="1" spans="1:9" ht="23.25" x14ac:dyDescent="0.35">
      <c r="B1" s="5" t="s">
        <v>0</v>
      </c>
      <c r="C1" s="5"/>
      <c r="D1" s="5"/>
      <c r="E1" s="5"/>
      <c r="F1" s="6"/>
      <c r="G1" s="6"/>
      <c r="H1" s="6"/>
    </row>
    <row r="3" spans="1:9" ht="15.75" x14ac:dyDescent="0.2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25">
      <c r="B4" t="s">
        <v>3</v>
      </c>
    </row>
    <row r="5" spans="1:9" x14ac:dyDescent="0.25">
      <c r="B5" t="s">
        <v>4</v>
      </c>
    </row>
    <row r="6" spans="1:9" x14ac:dyDescent="0.25">
      <c r="B6" t="s">
        <v>10</v>
      </c>
    </row>
    <row r="8" spans="1:9" ht="15.75" x14ac:dyDescent="0.2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25">
      <c r="B9" t="s">
        <v>7</v>
      </c>
    </row>
    <row r="10" spans="1:9" x14ac:dyDescent="0.25">
      <c r="B10" t="s">
        <v>8</v>
      </c>
    </row>
    <row r="11" spans="1:9" x14ac:dyDescent="0.25">
      <c r="B11" t="s">
        <v>9</v>
      </c>
    </row>
    <row r="13" spans="1:9" ht="15.75" x14ac:dyDescent="0.2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25">
      <c r="B14" t="s">
        <v>13</v>
      </c>
    </row>
    <row r="15" spans="1:9" x14ac:dyDescent="0.25">
      <c r="B15" t="s">
        <v>14</v>
      </c>
    </row>
    <row r="18" spans="1:13" ht="19.5" thickBot="1" x14ac:dyDescent="0.3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.75" thickBot="1" x14ac:dyDescent="0.3">
      <c r="A19" t="s">
        <v>88</v>
      </c>
      <c r="J19" s="34" t="s">
        <v>104</v>
      </c>
      <c r="K19" s="35" t="s">
        <v>105</v>
      </c>
      <c r="L19" s="35"/>
      <c r="M19" s="36"/>
    </row>
    <row r="20" spans="1:13" ht="15.75" thickBot="1" x14ac:dyDescent="0.3">
      <c r="A20" t="s">
        <v>89</v>
      </c>
      <c r="J20" s="38" t="s">
        <v>106</v>
      </c>
      <c r="K20" s="39" t="s">
        <v>107</v>
      </c>
      <c r="L20" s="32"/>
      <c r="M20" s="33"/>
    </row>
    <row r="21" spans="1:13" ht="16.5" thickBot="1" x14ac:dyDescent="0.3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2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2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2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2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2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2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2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2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2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2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2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2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2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2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2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.75" thickBot="1" x14ac:dyDescent="0.3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.75" thickBot="1" x14ac:dyDescent="0.3"/>
    <row r="39" spans="1:16" x14ac:dyDescent="0.2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.75" thickBot="1" x14ac:dyDescent="0.3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.5" thickBot="1" x14ac:dyDescent="0.3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2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2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2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2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2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.75" thickBot="1" x14ac:dyDescent="0.3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25">
      <c r="A49" t="s">
        <v>145</v>
      </c>
    </row>
    <row r="50" spans="1:10" ht="15.75" thickBot="1" x14ac:dyDescent="0.3">
      <c r="A50" t="s">
        <v>128</v>
      </c>
    </row>
    <row r="51" spans="1:10" ht="16.5" thickBot="1" x14ac:dyDescent="0.3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2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2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2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2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2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2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2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2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2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2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2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.75" thickBot="1" x14ac:dyDescent="0.3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25">
      <c r="A65" t="s">
        <v>146</v>
      </c>
    </row>
    <row r="66" spans="1:10" x14ac:dyDescent="0.25">
      <c r="A66" t="s">
        <v>147</v>
      </c>
    </row>
    <row r="68" spans="1:10" ht="18.75" x14ac:dyDescent="0.3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75" x14ac:dyDescent="0.3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75" x14ac:dyDescent="0.25">
      <c r="A99" t="s">
        <v>151</v>
      </c>
    </row>
    <row r="100" spans="1:9" x14ac:dyDescent="0.25">
      <c r="A100" t="s">
        <v>154</v>
      </c>
    </row>
    <row r="101" spans="1:9" x14ac:dyDescent="0.25">
      <c r="A101" t="s">
        <v>155</v>
      </c>
    </row>
    <row r="102" spans="1:9" x14ac:dyDescent="0.25">
      <c r="A102" t="s">
        <v>156</v>
      </c>
    </row>
    <row r="103" spans="1:9" ht="15.75" x14ac:dyDescent="0.25">
      <c r="A103" t="s">
        <v>152</v>
      </c>
    </row>
    <row r="104" spans="1:9" x14ac:dyDescent="0.25">
      <c r="A104" t="s">
        <v>157</v>
      </c>
    </row>
    <row r="105" spans="1:9" ht="15.75" x14ac:dyDescent="0.25">
      <c r="A105" t="s">
        <v>153</v>
      </c>
    </row>
    <row r="106" spans="1:9" x14ac:dyDescent="0.25">
      <c r="A106" t="s">
        <v>158</v>
      </c>
    </row>
    <row r="125" spans="2:9" ht="18.75" x14ac:dyDescent="0.3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zoomScale="110" zoomScaleNormal="110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170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2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2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2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2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2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2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2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2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2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2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2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2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2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2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2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2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2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2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25">
      <c r="A37" s="8">
        <v>44098</v>
      </c>
      <c r="B37" s="48">
        <v>120.8</v>
      </c>
      <c r="C37" s="48">
        <v>118.28</v>
      </c>
      <c r="D37" s="48">
        <v>116.48</v>
      </c>
      <c r="E37" s="48">
        <v>116.7</v>
      </c>
      <c r="F37" s="48">
        <v>116.7</v>
      </c>
      <c r="G37">
        <v>359306</v>
      </c>
      <c r="H37" s="48">
        <f>IF(tbl_IBM[[#This Row],[Date]]=$A$5, $F37, EMA_Beta*$H36 + (1-EMA_Beta)*$F37)</f>
        <v>121.93903687860887</v>
      </c>
      <c r="I37" s="46">
        <f ca="1">IF(tbl_IBM[[#This Row],[RS]]= "", "", 100-(100/(1+tbl_IBM[[#This Row],[RS]])))</f>
        <v>29.701425400509422</v>
      </c>
      <c r="J37" s="48">
        <f ca="1">IF(ROW($N37)-4&lt;BB_Periods, "", AVERAGE(INDIRECT(ADDRESS(ROW($F37)-RSI_Periods +1, MATCH("Adj Close", Price_Header,0))): INDIRECT(ADDRESS(ROW($F37),MATCH("Adj Close", Price_Header,0)))))</f>
        <v>121.46499985714286</v>
      </c>
      <c r="K37" s="48">
        <f ca="1">IF(tbl_IBM[[#This Row],[BB_Mean]]="", "", tbl_IBM[[#This Row],[BB_Mean]]+(BB_Width*tbl_IBM[[#This Row],[BB_Stdev]]))</f>
        <v>125.64536984150637</v>
      </c>
      <c r="L37" s="48">
        <f ca="1">IF(tbl_IBM[[#This Row],[BB_Mean]]="", "", tbl_IBM[[#This Row],[BB_Mean]]-(BB_Width*tbl_IBM[[#This Row],[BB_Stdev]]))</f>
        <v>117.28462987277935</v>
      </c>
      <c r="M37" s="46">
        <f>IF(ROW(tbl_IBM[[#This Row],[Adj Close]])=5, 0, $F37-$F36)</f>
        <v>-2.1299999999999955</v>
      </c>
      <c r="N37" s="46">
        <f>MAX(tbl_IBM[[#This Row],[Move]],0)</f>
        <v>0</v>
      </c>
      <c r="O37" s="46">
        <f>MAX(-tbl_IBM[[#This Row],[Move]],0)</f>
        <v>2.1299999999999955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0.95857142857142974</v>
      </c>
      <c r="R37" s="46">
        <f ca="1">IF(tbl_IBM[[#This Row],[Avg_Upmove]]="", "", tbl_IBM[[#This Row],[Avg_Upmove]]/tbl_IBM[[#This Row],[Avg_Downmove]])</f>
        <v>0.42250394932936036</v>
      </c>
      <c r="S37" s="48">
        <f ca="1">IF(ROW($N37)-4&lt;BB_Periods, "", _xlfn.STDEV.S(INDIRECT(ADDRESS(ROW($F37)-RSI_Periods +1, MATCH("Adj Close", Price_Header,0))): INDIRECT(ADDRESS(ROW($F37),MATCH("Adj Close", Price_Header,0)))))</f>
        <v>2.0901849921817512</v>
      </c>
    </row>
    <row r="38" spans="1:19" x14ac:dyDescent="0.25">
      <c r="A38" t="s">
        <v>162</v>
      </c>
      <c r="S38">
        <f ca="1">SUBTOTAL(103,tbl_IBM[BB_Stdev])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9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171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2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2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2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2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2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2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2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2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2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2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2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2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2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2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2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2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2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2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25">
      <c r="A37" s="8">
        <v>44098</v>
      </c>
      <c r="B37" s="10">
        <v>60.11</v>
      </c>
      <c r="C37" s="10">
        <v>58.99</v>
      </c>
      <c r="D37" s="10">
        <v>58.3</v>
      </c>
      <c r="E37" s="10">
        <v>58.31</v>
      </c>
      <c r="F37" s="10">
        <v>58.31</v>
      </c>
      <c r="G37">
        <v>650085</v>
      </c>
      <c r="H37" s="127">
        <f>IF(tbl_ORCL[[#This Row],[Date]]=$A$5, $F37, EMA_Beta*$H36 + (1-EMA_Beta)*$F37)</f>
        <v>58.529247446490437</v>
      </c>
      <c r="I37" s="50">
        <f ca="1">IF(tbl_ORCL[[#This Row],[RS]]= "", "", 100-(100/(1+tbl_ORCL[[#This Row],[RS]])))</f>
        <v>54.715518316445838</v>
      </c>
      <c r="J37" s="127">
        <f ca="1">IF(ROW($N37)-4&lt;BB_Periods, "", AVERAGE(INDIRECT(ADDRESS(ROW($F37)-RSI_Periods +1, MATCH("Adj Close", Price_Header,0))): INDIRECT(ADDRESS(ROW($F37),MATCH("Adj Close", Price_Header,0)))))</f>
        <v>58.700000071428576</v>
      </c>
      <c r="K37" s="127">
        <f ca="1">IF(tbl_ORCL[[#This Row],[BB_Mean]]="", "", tbl_ORCL[[#This Row],[BB_Mean]]+(BB_Width*tbl_ORCL[[#This Row],[BB_Stdev]]))</f>
        <v>62.557308220903046</v>
      </c>
      <c r="L37" s="127">
        <f ca="1">IF(tbl_ORCL[[#This Row],[BB_Mean]]="", "", tbl_ORCL[[#This Row],[BB_Mean]]-(BB_Width*tbl_ORCL[[#This Row],[BB_Stdev]]))</f>
        <v>54.842691921954106</v>
      </c>
      <c r="M37" s="50">
        <f>IF(ROW(tbl_ORCL[[#This Row],[Adj Close]])=5, 0, $F37-$F36)</f>
        <v>-0.64999999999999858</v>
      </c>
      <c r="N37" s="50">
        <f>MAX(tbl_ORCL[[#This Row],[Move]],0)</f>
        <v>0</v>
      </c>
      <c r="O37" s="50">
        <f>MAX(-tbl_ORCL[[#This Row],[Move]],0)</f>
        <v>0.64999999999999858</v>
      </c>
      <c r="P37" s="50">
        <f ca="1">IF(ROW($N37)-5&lt;RSI_Periods, "", AVERAGE(INDIRECT(ADDRESS(ROW($N37)-RSI_Periods +1, MATCH("Upmove", Price_Header,0))): INDIRECT(ADDRESS(ROW($N37),MATCH("Upmove", Price_Header,0)))))</f>
        <v>0.50142864285714295</v>
      </c>
      <c r="Q37" s="50">
        <f ca="1">IF(ROW($O37)-5&lt;RSI_Periods, "", AVERAGE(INDIRECT(ADDRESS(ROW($O37)-RSI_Periods +1, MATCH("Downmove", Price_Header,0))): INDIRECT(ADDRESS(ROW($O37),MATCH("Downmove", Price_Header,0)))))</f>
        <v>0.41499992857142842</v>
      </c>
      <c r="R37" s="50">
        <f ca="1">IF(tbl_ORCL[[#This Row],[Avg_Upmove]]="", "", tbl_ORCL[[#This Row],[Avg_Upmove]]/tbl_ORCL[[#This Row],[Avg_Downmove]])</f>
        <v>1.2082619979796905</v>
      </c>
      <c r="S37" s="127">
        <f ca="1">IF(ROW($N37)-4&lt;BB_Periods, "", _xlfn.STDEV.S(INDIRECT(ADDRESS(ROW($F37)-RSI_Periods +1, MATCH("Adj Close", Price_Header,0))): INDIRECT(ADDRESS(ROW($F37),MATCH("Adj Close", Price_Header,0)))))</f>
        <v>1.9286540747372334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>
        <f ca="1">SUBTOTAL(103,tbl_ORCL[BB_Stdev])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2" workbookViewId="0">
      <selection activeCell="J20" sqref="J20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250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2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2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2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2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2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2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2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2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2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2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2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2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2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2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2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2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2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2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25">
      <c r="A37" s="8">
        <v>44098</v>
      </c>
      <c r="B37" s="10">
        <v>31.81</v>
      </c>
      <c r="C37" s="10">
        <v>32.18</v>
      </c>
      <c r="D37" s="10">
        <v>31.32</v>
      </c>
      <c r="E37" s="10">
        <v>31.32</v>
      </c>
      <c r="F37" s="10">
        <v>31.32</v>
      </c>
      <c r="G37">
        <v>12746</v>
      </c>
      <c r="H37" s="10">
        <f>IF(tbl_AKRO[[#This Row],[Date]]=$A$5, $F37, EMA_Beta*$H36 + (1-EMA_Beta)*$F37)</f>
        <v>34.061688857498794</v>
      </c>
      <c r="I37" s="46">
        <f ca="1">IF(tbl_AKRO[[#This Row],[RS]]= "", "", 100-(100/(1+tbl_AKRO[[#This Row],[RS]])))</f>
        <v>43.404903635345384</v>
      </c>
      <c r="J37" s="10">
        <f ca="1">IF(ROW($N37)-4&lt;BB_Periods, "", AVERAGE(INDIRECT(ADDRESS(ROW($F37)-RSI_Periods +1, MATCH("Adj Close", Price_Header,0))): INDIRECT(ADDRESS(ROW($F37),MATCH("Adj Close", Price_Header,0)))))</f>
        <v>34.329285428571424</v>
      </c>
      <c r="K37" s="127">
        <f ca="1">IF(tbl_AKRO[[#This Row],[BB_Mean]]="", "", tbl_AKRO[[#This Row],[BB_Mean]]+(BB_Width*tbl_AKRO[[#This Row],[BB_Stdev]]))</f>
        <v>38.211136697922861</v>
      </c>
      <c r="L37" s="127">
        <f ca="1">IF(tbl_AKRO[[#This Row],[BB_Mean]]="", "", tbl_AKRO[[#This Row],[BB_Mean]]-(BB_Width*tbl_AKRO[[#This Row],[BB_Stdev]]))</f>
        <v>30.447434159219988</v>
      </c>
      <c r="M37" s="46">
        <f>IF(ROW(tbl_AKRO[[#This Row],[Adj Close]])=5, 0, $F37-$F36)</f>
        <v>-0.62999999999999901</v>
      </c>
      <c r="N37" s="46">
        <f>MAX(tbl_AKRO[[#This Row],[Move]],0)</f>
        <v>0</v>
      </c>
      <c r="O37" s="46">
        <f>MAX(-tbl_AKRO[[#This Row],[Move]],0)</f>
        <v>0.62999999999999901</v>
      </c>
      <c r="P37" s="46">
        <f ca="1">IF(ROW($N37)-5&lt;RSI_Periods, "", AVERAGE(INDIRECT(ADDRESS(ROW($N37)-RSI_Periods +1, MATCH("Upmove", Price_Header,0))): INDIRECT(ADDRESS(ROW($N37),MATCH("Upmove", Price_Header,0)))))</f>
        <v>0.4042856428571433</v>
      </c>
      <c r="Q37" s="46">
        <f ca="1">IF(ROW($O37)-5&lt;RSI_Periods, "", AVERAGE(INDIRECT(ADDRESS(ROW($O37)-RSI_Periods +1, MATCH("Downmove", Price_Header,0))): INDIRECT(ADDRESS(ROW($O37),MATCH("Downmove", Price_Header,0)))))</f>
        <v>0.52714285714285736</v>
      </c>
      <c r="R37" s="46">
        <f ca="1">IF(tbl_AKRO[[#This Row],[Avg_Upmove]]="", "", tbl_AKRO[[#This Row],[Avg_Upmove]]/tbl_AKRO[[#This Row],[Avg_Downmove]])</f>
        <v>0.76693753387533925</v>
      </c>
      <c r="S37" s="10">
        <f ca="1">IF(ROW($N37)-4&lt;BB_Periods, "", _xlfn.STDEV.S(INDIRECT(ADDRESS(ROW($F37)-RSI_Periods +1, MATCH("Adj Close", Price_Header,0))): INDIRECT(ADDRESS(ROW($F37),MATCH("Adj Close", Price_Header,0)))))</f>
        <v>1.9409256346757178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J38" s="61"/>
      <c r="K38" s="61"/>
      <c r="L38" s="61"/>
      <c r="S38" s="61">
        <f ca="1">SUBTOTAL(103,tbl_AKRO[BB_Stdev])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8" workbookViewId="0">
      <selection activeCell="K32" sqref="K32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252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2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2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2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2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2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2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2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2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2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2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2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2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2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2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2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2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2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2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25">
      <c r="A37" s="8">
        <v>44098</v>
      </c>
      <c r="B37" s="10">
        <v>244.99</v>
      </c>
      <c r="C37" s="10">
        <v>243.37</v>
      </c>
      <c r="D37" s="10">
        <v>240.12</v>
      </c>
      <c r="E37" s="10">
        <v>240.23</v>
      </c>
      <c r="F37" s="10">
        <v>240.23</v>
      </c>
      <c r="G37">
        <v>203285</v>
      </c>
      <c r="H37" s="10">
        <f>IF(tbl_FDX[[#This Row],[Date]]=$A$5, $F37, EMA_Beta*$H36 + (1-EMA_Beta)*$F37)</f>
        <v>232.86872054133363</v>
      </c>
      <c r="I37" s="46">
        <f ca="1">IF(tbl_FDX[[#This Row],[RS]]= "", "", 100-(100/(1+tbl_FDX[[#This Row],[RS]])))</f>
        <v>65.653449037739534</v>
      </c>
      <c r="J37" s="10">
        <f ca="1">IF(ROW($N37)-4&lt;BB_Periods, "", AVERAGE(INDIRECT(ADDRESS(ROW($F37)-RSI_Periods +1, MATCH("Adj Close", Price_Header,0))): INDIRECT(ADDRESS(ROW($F37),MATCH("Adj Close", Price_Header,0)))))</f>
        <v>236.00928514285718</v>
      </c>
      <c r="K37" s="10">
        <f ca="1">IF(tbl_FDX[[#This Row],[BB_Mean]]="", "", tbl_FDX[[#This Row],[BB_Mean]]+(BB_Width*tbl_FDX[[#This Row],[BB_Stdev]]))</f>
        <v>253.51760064875612</v>
      </c>
      <c r="L37" s="127">
        <f ca="1">IF(tbl_FDX[[#This Row],[BB_Mean]]="", "", tbl_FDX[[#This Row],[BB_Mean]]-(BB_Width*tbl_FDX[[#This Row],[BB_Stdev]]))</f>
        <v>218.50096963695825</v>
      </c>
      <c r="M37" s="46">
        <f>IF(ROW(tbl_FDX[[#This Row],[Adj Close]])=5, 0, $F37-$F36)</f>
        <v>-1.1899999999999977</v>
      </c>
      <c r="N37" s="46">
        <f>MAX(tbl_FDX[[#This Row],[Move]],0)</f>
        <v>0</v>
      </c>
      <c r="O37" s="46">
        <f>MAX(-tbl_FDX[[#This Row],[Move]],0)</f>
        <v>1.1899999999999977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1.5092852142857132</v>
      </c>
      <c r="R37" s="46">
        <f ca="1">IF(tbl_FDX[[#This Row],[Avg_Upmove]]="", "", tbl_FDX[[#This Row],[Avg_Upmove]]/tbl_FDX[[#This Row],[Avg_Downmove]])</f>
        <v>1.9115004912685019</v>
      </c>
      <c r="S37" s="10">
        <f ca="1">IF(ROW($N37)-4&lt;BB_Periods, "", _xlfn.STDEV.S(INDIRECT(ADDRESS(ROW($F37)-RSI_Periods +1, MATCH("Adj Close", Price_Header,0))): INDIRECT(ADDRESS(ROW($F37),MATCH("Adj Close", Price_Header,0)))))</f>
        <v>8.7541577529494727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J38" s="61"/>
      <c r="K38" s="61"/>
      <c r="L38" s="61"/>
      <c r="S38" s="61">
        <f ca="1">SUBTOTAL(103,tbl_FDX[BB_Stdev])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I29" sqref="I29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253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2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2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2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2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2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2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2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2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2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2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2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2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2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2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2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2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2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2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25">
      <c r="A37" s="8">
        <v>44098</v>
      </c>
      <c r="B37">
        <v>28.16</v>
      </c>
      <c r="C37">
        <v>18.14</v>
      </c>
      <c r="D37">
        <v>16.71</v>
      </c>
      <c r="E37">
        <v>17.14</v>
      </c>
      <c r="F37">
        <v>17.14</v>
      </c>
      <c r="G37">
        <v>8689597</v>
      </c>
      <c r="H37" s="10">
        <f>IF(tbl_NKLA[[#This Row],[Date]]=$A$5, $F37, EMA_Beta*$H36 + (1-EMA_Beta)*$F37)</f>
        <v>32.609119585893637</v>
      </c>
      <c r="I37" s="46">
        <f ca="1">IF(tbl_NKLA[[#This Row],[RS]]= "", "", 100-(100/(1+tbl_NKLA[[#This Row],[RS]])))</f>
        <v>34.145932583700088</v>
      </c>
      <c r="J37" s="10">
        <f ca="1">IF(ROW($N37)-4&lt;BB_Periods, "", AVERAGE(INDIRECT(ADDRESS(ROW($F37)-RSI_Periods +1, MATCH("Adj Close", Price_Header,0))): INDIRECT(ADDRESS(ROW($F37),MATCH("Adj Close", Price_Header,0)))))</f>
        <v>32.997857285714275</v>
      </c>
      <c r="K37" s="10">
        <f ca="1">IF(tbl_NKLA[[#This Row],[BB_Mean]]="", "", tbl_NKLA[[#This Row],[BB_Mean]]+(BB_Width*tbl_NKLA[[#This Row],[BB_Stdev]]))</f>
        <v>49.247246232359231</v>
      </c>
      <c r="L37" s="10">
        <f ca="1">IF(tbl_NKLA[[#This Row],[BB_Mean]]="", "", tbl_NKLA[[#This Row],[BB_Mean]]-(BB_Width*tbl_NKLA[[#This Row],[BB_Stdev]]))</f>
        <v>16.748468339069316</v>
      </c>
      <c r="M37" s="46">
        <f>IF(ROW(tbl_NKLA[[#This Row],[Adj Close]])=5, 0, $F37-$F36)</f>
        <v>-4.009999999999998</v>
      </c>
      <c r="N37" s="46">
        <f>MAX(tbl_NKLA[[#This Row],[Move]],0)</f>
        <v>0</v>
      </c>
      <c r="O37" s="46">
        <f>MAX(-tbl_NKLA[[#This Row],[Move]],0)</f>
        <v>4.009999999999998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2.8171427857142852</v>
      </c>
      <c r="R37" s="46">
        <f ca="1">IF(tbl_NKLA[[#This Row],[Avg_Upmove]]="", "", tbl_NKLA[[#This Row],[Avg_Upmove]]/tbl_NKLA[[#This Row],[Avg_Downmove]])</f>
        <v>0.51850909022588976</v>
      </c>
      <c r="S37" s="10">
        <f ca="1">IF(ROW($N37)-4&lt;BB_Periods, "", _xlfn.STDEV.S(INDIRECT(ADDRESS(ROW($F37)-RSI_Periods +1, MATCH("Adj Close", Price_Header,0))): INDIRECT(ADDRESS(ROW($F37),MATCH("Adj Close", Price_Header,0)))))</f>
        <v>8.1246944733224797</v>
      </c>
    </row>
    <row r="38" spans="1:19" x14ac:dyDescent="0.25">
      <c r="A38" t="s">
        <v>162</v>
      </c>
      <c r="H38" s="61"/>
      <c r="J38" s="61"/>
      <c r="K38" s="61"/>
      <c r="L38" s="61"/>
      <c r="S38" s="61">
        <f ca="1">SUBTOTAL(103,tbl_NKLA[BB_Stdev])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6" workbookViewId="0">
      <selection activeCell="J23" sqref="J23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10" max="10" width="11.5703125" customWidth="1"/>
    <col min="11" max="11" width="12" customWidth="1"/>
    <col min="12" max="12" width="11.85546875" customWidth="1"/>
    <col min="14" max="14" width="10.7109375" customWidth="1"/>
    <col min="15" max="15" width="13.28515625" customWidth="1"/>
    <col min="16" max="16" width="15" customWidth="1"/>
    <col min="17" max="17" width="17.5703125" customWidth="1"/>
    <col min="19" max="19" width="11.42578125" customWidth="1"/>
  </cols>
  <sheetData>
    <row r="1" spans="1:19" ht="21" x14ac:dyDescent="0.35">
      <c r="A1" s="41" t="s">
        <v>254</v>
      </c>
      <c r="B1" s="13"/>
      <c r="C1" s="13"/>
      <c r="D1" s="13"/>
      <c r="E1" s="13"/>
      <c r="F1" s="13"/>
    </row>
    <row r="2" spans="1:19" x14ac:dyDescent="0.25">
      <c r="A2" t="s">
        <v>251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2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2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2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2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2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2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2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2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2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2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2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2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2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2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2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2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2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2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25">
      <c r="A37" s="8">
        <v>44098</v>
      </c>
      <c r="B37" s="10">
        <v>6.01</v>
      </c>
      <c r="C37" s="10">
        <v>6.62</v>
      </c>
      <c r="D37" s="10">
        <v>6.51</v>
      </c>
      <c r="E37" s="10">
        <v>6.59</v>
      </c>
      <c r="F37" s="10">
        <v>6.59</v>
      </c>
      <c r="G37">
        <v>3447315</v>
      </c>
      <c r="H37" s="10">
        <f>IF(tbl_SPXS[[#This Row],[Date]]=$A$5, $F37, EMA_Beta*$H36 + (1-EMA_Beta)*$F37)</f>
        <v>5.9441326888632222</v>
      </c>
      <c r="I37" s="46">
        <f ca="1">IF(tbl_SPXS[[#This Row],[RS]]= "", "", 100-(100/(1+tbl_SPXS[[#This Row],[RS]])))</f>
        <v>69.696969696969703</v>
      </c>
      <c r="J37" s="10">
        <f ca="1">IF(ROW($N37)-4&lt;BB_Periods, "", AVERAGE(INDIRECT(ADDRESS(ROW($F37)-RSI_Periods +1, MATCH("Adj Close", Price_Header,0))): INDIRECT(ADDRESS(ROW($F37),MATCH("Adj Close", Price_Header,0)))))</f>
        <v>5.9628571428571435</v>
      </c>
      <c r="K37" s="10">
        <f ca="1">IF(tbl_SPXS[[#This Row],[BB_Mean]]="", "", tbl_SPXS[[#This Row],[BB_Mean]]+(BB_Width*tbl_SPXS[[#This Row],[BB_Stdev]]))</f>
        <v>6.590890878914669</v>
      </c>
      <c r="L37" s="10">
        <f ca="1">IF(tbl_SPXS[[#This Row],[BB_Mean]]="", "", tbl_SPXS[[#This Row],[BB_Mean]]-(BB_Width*tbl_SPXS[[#This Row],[BB_Stdev]]))</f>
        <v>5.3348234067996181</v>
      </c>
      <c r="M37" s="46">
        <f>IF(ROW(tbl_SPXS[[#This Row],[Adj Close]])=5, 0, $F37-$F36)</f>
        <v>0.10999999999999943</v>
      </c>
      <c r="N37" s="46">
        <f>MAX(tbl_SPXS[[#This Row],[Move]],0)</f>
        <v>0.10999999999999943</v>
      </c>
      <c r="O37" s="46">
        <f>MAX(-tbl_SPXS[[#This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0.14785714285714283</v>
      </c>
      <c r="Q37" s="46">
        <f ca="1">IF(ROW($O37)-5&lt;RSI_Periods, "", AVERAGE(INDIRECT(ADDRESS(ROW($O37)-RSI_Periods +1, MATCH("Downmove", Price_Header,0))): INDIRECT(ADDRESS(ROW($O37),MATCH("Downmove", Price_Header,0)))))</f>
        <v>6.4285714285714252E-2</v>
      </c>
      <c r="R37" s="46">
        <f ca="1">IF(tbl_SPXS[[#This Row],[Avg_Upmove]]="", "", tbl_SPXS[[#This Row],[Avg_Upmove]]/tbl_SPXS[[#This Row],[Avg_Downmove]])</f>
        <v>2.3000000000000007</v>
      </c>
      <c r="S37" s="10">
        <f ca="1">IF(ROW($N37)-4&lt;BB_Periods, "", _xlfn.STDEV.S(INDIRECT(ADDRESS(ROW($F37)-RSI_Periods +1, MATCH("Adj Close", Price_Header,0))): INDIRECT(ADDRESS(ROW($F37),MATCH("Adj Close", Price_Header,0)))))</f>
        <v>0.31401686802876277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J38" s="61"/>
      <c r="K38" s="61"/>
      <c r="L38" s="61"/>
      <c r="S38" s="61">
        <f ca="1">SUBTOTAL(103,tbl_SPXS[BB_Stdev])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4"/>
  <sheetViews>
    <sheetView zoomScale="80" zoomScaleNormal="80" workbookViewId="0">
      <selection activeCell="P29" sqref="P29"/>
    </sheetView>
  </sheetViews>
  <sheetFormatPr defaultColWidth="9.140625" defaultRowHeight="14.25" x14ac:dyDescent="0.2"/>
  <cols>
    <col min="1" max="1" width="10.42578125" style="67" customWidth="1"/>
    <col min="2" max="2" width="13.5703125" style="67" customWidth="1"/>
    <col min="3" max="3" width="13.7109375" style="67" customWidth="1"/>
    <col min="4" max="4" width="14.42578125" style="67" customWidth="1"/>
    <col min="5" max="5" width="13.7109375" style="67" customWidth="1"/>
    <col min="6" max="6" width="11.7109375" style="67" customWidth="1"/>
    <col min="7" max="7" width="15.5703125" style="67" customWidth="1"/>
    <col min="8" max="8" width="13.7109375" style="67" customWidth="1"/>
    <col min="9" max="16384" width="9.140625" style="67"/>
  </cols>
  <sheetData>
    <row r="1" spans="1:23" x14ac:dyDescent="0.2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3">
      <c r="A3" s="84"/>
      <c r="B3" s="87" t="s">
        <v>288</v>
      </c>
      <c r="C3" s="69"/>
      <c r="D3" s="68"/>
      <c r="E3" s="68"/>
      <c r="F3" s="72" t="s">
        <v>195</v>
      </c>
      <c r="G3" s="89">
        <f>DATE(2020, 9, 25)</f>
        <v>44099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5</v>
      </c>
      <c r="W3" s="85"/>
    </row>
    <row r="4" spans="1:23" x14ac:dyDescent="0.2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8" x14ac:dyDescent="0.2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96178.6</v>
      </c>
      <c r="G5" s="70">
        <f ca="1">INDEX(tbl_position[], COUNT(tbl_position[Date]), MATCH("Total_Net_Asset", pos_header,0))-INDEX(tbl_position[], COUNT(tbl_position[Date])-1, MATCH("Total_Net_Asset", pos_header,0))</f>
        <v>-308.69999999999709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8" x14ac:dyDescent="0.25">
      <c r="A6" s="84"/>
      <c r="B6" s="91" t="s">
        <v>180</v>
      </c>
      <c r="C6" s="73"/>
      <c r="D6" s="68"/>
      <c r="F6" s="90">
        <f>INDEX(tbl_position[], COUNT(tbl_position[Date]), MATCH("Cash_holding", pos_header,0))</f>
        <v>43897.299999999996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8" x14ac:dyDescent="0.25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6.5" thickBot="1" x14ac:dyDescent="0.3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75" thickBot="1" x14ac:dyDescent="0.25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75" x14ac:dyDescent="0.25">
      <c r="A10" s="84"/>
      <c r="B10" s="105">
        <v>1</v>
      </c>
      <c r="C10" s="106" t="str">
        <f ca="1">INDEX(tbl_holdings[], MATCH(LARGE(tbl_holdings[Total], Dashboard!$B10), tbl_holdings[Total], 0), 2)</f>
        <v>HD</v>
      </c>
      <c r="D10" s="107">
        <f ca="1">LARGE(tbl_holdings[Total], 1)/tbl_holdings[[#Totals],[Total]]</f>
        <v>0.25523285178373839</v>
      </c>
      <c r="E10" s="75"/>
      <c r="F10" s="108" t="s">
        <v>190</v>
      </c>
      <c r="G10" s="109">
        <f>INDEX(tbl_transsummary[], _xlfn.FLOOR.MATH(($G$3-DATE(2020, 9, 9))/7)+1, 4)</f>
        <v>12305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7.25" thickBot="1" x14ac:dyDescent="0.3">
      <c r="A11" s="84"/>
      <c r="B11" s="98">
        <v>2</v>
      </c>
      <c r="C11" s="101" t="str">
        <f ca="1">INDEX(tbl_holdings[], MATCH(LARGE(tbl_holdings[Total], Dashboard!$B11), tbl_holdings[Total], 0), 2)</f>
        <v>FDX</v>
      </c>
      <c r="D11" s="94">
        <f ca="1">LARGE(tbl_holdings[Total], 2)/tbl_holdings[[#Totals],[Total]]</f>
        <v>0.23155055885199194</v>
      </c>
      <c r="E11" s="75"/>
      <c r="F11" s="112" t="s">
        <v>191</v>
      </c>
      <c r="G11" s="113">
        <f>INDEX(tbl_transsummary[], _xlfn.FLOOR.MATH(($G$3-DATE(2020, 9, 9))/7)+1, 5)</f>
        <v>6150.6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6.5" thickBot="1" x14ac:dyDescent="0.3">
      <c r="A12" s="84"/>
      <c r="B12" s="99">
        <v>3</v>
      </c>
      <c r="C12" s="102" t="str">
        <f ca="1">INDEX(tbl_holdings[], MATCH(LARGE(tbl_holdings[Total], Dashboard!$B12), tbl_holdings[Total], 0), 2)</f>
        <v>IBM</v>
      </c>
      <c r="D12" s="95">
        <f ca="1">LARGE(tbl_holdings[Total], 3)/tbl_holdings[[#Totals],[Total]]</f>
        <v>0.22496732479729808</v>
      </c>
      <c r="E12" s="75"/>
      <c r="F12" s="110" t="s">
        <v>192</v>
      </c>
      <c r="G12" s="111">
        <f>INDEX(tbl_transsummary[], _xlfn.FLOOR.MATH(($G$3-DATE(2020, 9, 9))/7)+1, 6)</f>
        <v>0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6.5" thickBot="1" x14ac:dyDescent="0.3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5" thickBot="1" x14ac:dyDescent="0.25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8" x14ac:dyDescent="0.2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20.25" x14ac:dyDescent="0.3">
      <c r="A18" s="84"/>
      <c r="B18" s="88" t="s">
        <v>275</v>
      </c>
      <c r="C18" s="68"/>
      <c r="D18" s="68"/>
      <c r="E18" s="68"/>
      <c r="F18" s="68"/>
      <c r="G18" s="124" t="s">
        <v>240</v>
      </c>
      <c r="H18" s="68"/>
      <c r="I18" s="123">
        <v>11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5" thickBot="1" x14ac:dyDescent="0.25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75" thickBot="1" x14ac:dyDescent="0.2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">
      <c r="A21" s="114">
        <v>0</v>
      </c>
      <c r="B21" s="116">
        <f t="shared" ref="B21:B30" ca="1" si="0">INDEX(INDIRECT("tbl_"&amp;$G$18), COUNT(Date_List)-20+$I$18+A21, 1)</f>
        <v>44085</v>
      </c>
      <c r="C21" s="119">
        <f t="shared" ref="C21:C30" ca="1" si="1">INDEX(INDIRECT("tbl_"&amp;$G$18), COUNT(Date_List)-20+$I$18+A21, MATCH("Open", Price_Header,0))</f>
        <v>5.86</v>
      </c>
      <c r="D21" s="119">
        <f t="shared" ref="D21:D30" ca="1" si="2">INDEX(INDIRECT("tbl_"&amp;$G$18), COUNT(Date_List)-20+$I$18+A21, MATCH("High", Price_Header,0))</f>
        <v>6.12</v>
      </c>
      <c r="E21" s="119">
        <f t="shared" ref="E21:E30" ca="1" si="3">INDEX(INDIRECT("tbl_"&amp;$G$18), COUNT(Date_List)-20+$I$18+A21, MATCH("low", Price_Header,0))</f>
        <v>5.79</v>
      </c>
      <c r="F21" s="119">
        <f t="shared" ref="F21:F30" ca="1" si="4">INDEX(INDIRECT("tbl_"&amp;$G$18), COUNT(Date_List)-20+$I$18+A21, MATCH("Close", Price_Header,0))</f>
        <v>5.95</v>
      </c>
      <c r="G21" s="119">
        <f t="shared" ref="G21:G30" ca="1" si="5">INDEX(INDIRECT("tbl_"&amp;$G$18), COUNT(Date_List)-20+$I$18+A21, MATCH("adj close", Price_Header,0))</f>
        <v>5.95</v>
      </c>
      <c r="H21" s="121">
        <f t="shared" ref="H21:H30" ca="1" si="6">INDEX(INDIRECT("tbl_"&amp;$G$18), COUNT(Date_List)-20+$I$18+A21, MATCH("volume", Price_Header,0))/1000</f>
        <v>54898.2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">
      <c r="A22" s="114">
        <v>1</v>
      </c>
      <c r="B22" s="116">
        <f t="shared" ca="1" si="0"/>
        <v>44088</v>
      </c>
      <c r="C22" s="119">
        <f t="shared" ca="1" si="1"/>
        <v>5.76</v>
      </c>
      <c r="D22" s="119">
        <f t="shared" ca="1" si="2"/>
        <v>5.8</v>
      </c>
      <c r="E22" s="119">
        <f t="shared" ca="1" si="3"/>
        <v>5.61</v>
      </c>
      <c r="F22" s="119">
        <f t="shared" ca="1" si="4"/>
        <v>5.72</v>
      </c>
      <c r="G22" s="119">
        <f t="shared" ca="1" si="5"/>
        <v>5.72</v>
      </c>
      <c r="H22" s="121">
        <f t="shared" ca="1" si="6"/>
        <v>30591.599999999999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">
      <c r="A23" s="114">
        <v>2</v>
      </c>
      <c r="B23" s="116">
        <f t="shared" ca="1" si="0"/>
        <v>44089</v>
      </c>
      <c r="C23" s="119">
        <f t="shared" ca="1" si="1"/>
        <v>5.57</v>
      </c>
      <c r="D23" s="119">
        <f t="shared" ca="1" si="2"/>
        <v>5.69</v>
      </c>
      <c r="E23" s="119">
        <f t="shared" ca="1" si="3"/>
        <v>5.53</v>
      </c>
      <c r="F23" s="119">
        <f t="shared" ca="1" si="4"/>
        <v>5.62</v>
      </c>
      <c r="G23" s="119">
        <f t="shared" ca="1" si="5"/>
        <v>5.62</v>
      </c>
      <c r="H23" s="121">
        <f t="shared" ca="1" si="6"/>
        <v>29933.8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">
      <c r="A24" s="114">
        <v>3</v>
      </c>
      <c r="B24" s="116">
        <f t="shared" ca="1" si="0"/>
        <v>44090</v>
      </c>
      <c r="C24" s="119">
        <f t="shared" ca="1" si="1"/>
        <v>5.55</v>
      </c>
      <c r="D24" s="119">
        <f t="shared" ca="1" si="2"/>
        <v>5.71</v>
      </c>
      <c r="E24" s="119">
        <f t="shared" ca="1" si="3"/>
        <v>5.48</v>
      </c>
      <c r="F24" s="119">
        <f t="shared" ca="1" si="4"/>
        <v>5.7</v>
      </c>
      <c r="G24" s="119">
        <f t="shared" ca="1" si="5"/>
        <v>5.7</v>
      </c>
      <c r="H24" s="121">
        <f t="shared" ca="1" si="6"/>
        <v>29453.3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">
      <c r="A25" s="114">
        <v>4</v>
      </c>
      <c r="B25" s="116">
        <f t="shared" ca="1" si="0"/>
        <v>44091</v>
      </c>
      <c r="C25" s="119">
        <f t="shared" ca="1" si="1"/>
        <v>5.95</v>
      </c>
      <c r="D25" s="119">
        <f t="shared" ca="1" si="2"/>
        <v>5.99</v>
      </c>
      <c r="E25" s="119">
        <f t="shared" ca="1" si="3"/>
        <v>5.75</v>
      </c>
      <c r="F25" s="119">
        <f t="shared" ca="1" si="4"/>
        <v>5.85</v>
      </c>
      <c r="G25" s="119">
        <f t="shared" ca="1" si="5"/>
        <v>5.85</v>
      </c>
      <c r="H25" s="121">
        <f t="shared" ca="1" si="6"/>
        <v>40284.264999999999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">
      <c r="A26" s="114">
        <v>5</v>
      </c>
      <c r="B26" s="116">
        <f t="shared" ca="1" si="0"/>
        <v>44092</v>
      </c>
      <c r="C26" s="119">
        <f t="shared" ca="1" si="1"/>
        <v>5.81</v>
      </c>
      <c r="D26" s="119">
        <f t="shared" ca="1" si="2"/>
        <v>6.19</v>
      </c>
      <c r="E26" s="119">
        <f t="shared" ca="1" si="3"/>
        <v>5.79</v>
      </c>
      <c r="F26" s="119">
        <f t="shared" ca="1" si="4"/>
        <v>6.05</v>
      </c>
      <c r="G26" s="119">
        <f t="shared" ca="1" si="5"/>
        <v>6.05</v>
      </c>
      <c r="H26" s="121">
        <f t="shared" ca="1" si="6"/>
        <v>36545.800000000003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">
      <c r="A27" s="114">
        <v>6</v>
      </c>
      <c r="B27" s="116">
        <f t="shared" ca="1" si="0"/>
        <v>44095</v>
      </c>
      <c r="C27" s="119">
        <f t="shared" ca="1" si="1"/>
        <v>6.31</v>
      </c>
      <c r="D27" s="119">
        <f t="shared" ca="1" si="2"/>
        <v>6.54</v>
      </c>
      <c r="E27" s="119">
        <f t="shared" ca="1" si="3"/>
        <v>6.24</v>
      </c>
      <c r="F27" s="119">
        <f t="shared" ca="1" si="4"/>
        <v>6.26</v>
      </c>
      <c r="G27" s="119">
        <f t="shared" ca="1" si="5"/>
        <v>6.26</v>
      </c>
      <c r="H27" s="121">
        <f t="shared" ca="1" si="6"/>
        <v>58472.5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">
      <c r="A28" s="114">
        <v>7</v>
      </c>
      <c r="B28" s="116">
        <f t="shared" ca="1" si="0"/>
        <v>44096</v>
      </c>
      <c r="C28" s="119">
        <f t="shared" ca="1" si="1"/>
        <v>6.15</v>
      </c>
      <c r="D28" s="119">
        <f t="shared" ca="1" si="2"/>
        <v>6.31</v>
      </c>
      <c r="E28" s="119">
        <f t="shared" ca="1" si="3"/>
        <v>6.02</v>
      </c>
      <c r="F28" s="119">
        <f t="shared" ca="1" si="4"/>
        <v>6.06</v>
      </c>
      <c r="G28" s="119">
        <f t="shared" ca="1" si="5"/>
        <v>6.06</v>
      </c>
      <c r="H28" s="121">
        <f t="shared" ca="1" si="6"/>
        <v>35781.300000000003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">
      <c r="A29" s="114">
        <v>8</v>
      </c>
      <c r="B29" s="116">
        <f t="shared" ca="1" si="0"/>
        <v>44097</v>
      </c>
      <c r="C29" s="119">
        <f t="shared" ca="1" si="1"/>
        <v>6.01</v>
      </c>
      <c r="D29" s="119">
        <f t="shared" ca="1" si="2"/>
        <v>6.5</v>
      </c>
      <c r="E29" s="119">
        <f t="shared" ca="1" si="3"/>
        <v>6</v>
      </c>
      <c r="F29" s="119">
        <f t="shared" ca="1" si="4"/>
        <v>6.48</v>
      </c>
      <c r="G29" s="119">
        <f t="shared" ca="1" si="5"/>
        <v>6.48</v>
      </c>
      <c r="H29" s="121">
        <f t="shared" ca="1" si="6"/>
        <v>40980.199999999997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5" thickBot="1" x14ac:dyDescent="0.25">
      <c r="A30" s="114">
        <v>9</v>
      </c>
      <c r="B30" s="117">
        <f t="shared" ca="1" si="0"/>
        <v>44098</v>
      </c>
      <c r="C30" s="120">
        <f t="shared" ca="1" si="1"/>
        <v>6.01</v>
      </c>
      <c r="D30" s="120">
        <f t="shared" ca="1" si="2"/>
        <v>6.62</v>
      </c>
      <c r="E30" s="120">
        <f t="shared" ca="1" si="3"/>
        <v>6.51</v>
      </c>
      <c r="F30" s="120">
        <f t="shared" ca="1" si="4"/>
        <v>6.59</v>
      </c>
      <c r="G30" s="120">
        <f t="shared" ca="1" si="5"/>
        <v>6.59</v>
      </c>
      <c r="H30" s="122">
        <f t="shared" ca="1" si="6"/>
        <v>3447.3150000000001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8" x14ac:dyDescent="0.2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5" thickBot="1" x14ac:dyDescent="0.25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9525</xdr:colOff>
                    <xdr:row>18</xdr:row>
                    <xdr:rowOff>161925</xdr:rowOff>
                  </from>
                  <to>
                    <xdr:col>8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180975</xdr:colOff>
                    <xdr:row>13</xdr:row>
                    <xdr:rowOff>57150</xdr:rowOff>
                  </from>
                  <to>
                    <xdr:col>20</xdr:col>
                    <xdr:colOff>200025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0"/>
  <sheetViews>
    <sheetView topLeftCell="P1" workbookViewId="0">
      <selection activeCell="U13" sqref="U13"/>
    </sheetView>
  </sheetViews>
  <sheetFormatPr defaultRowHeight="15" x14ac:dyDescent="0.25"/>
  <cols>
    <col min="4" max="4" width="14.7109375" customWidth="1"/>
    <col min="5" max="5" width="12.28515625" customWidth="1"/>
    <col min="11" max="11" width="11.140625" customWidth="1"/>
    <col min="12" max="12" width="11.5703125" customWidth="1"/>
    <col min="20" max="20" width="9.7109375" bestFit="1" customWidth="1"/>
    <col min="22" max="22" width="12.85546875" customWidth="1"/>
    <col min="30" max="30" width="10.7109375" customWidth="1"/>
    <col min="33" max="33" width="9.7109375" bestFit="1" customWidth="1"/>
    <col min="34" max="34" width="12" customWidth="1"/>
    <col min="35" max="35" width="14.5703125" customWidth="1"/>
    <col min="36" max="36" width="12.5703125" bestFit="1" customWidth="1"/>
  </cols>
  <sheetData>
    <row r="1" spans="2:37" x14ac:dyDescent="0.25">
      <c r="R1" s="21"/>
    </row>
    <row r="2" spans="2:37" x14ac:dyDescent="0.25">
      <c r="B2" s="51" t="s">
        <v>212</v>
      </c>
      <c r="J2" s="51" t="s">
        <v>213</v>
      </c>
      <c r="T2" t="s">
        <v>183</v>
      </c>
      <c r="U2" s="51" t="str">
        <f>Dashboard!G18</f>
        <v>SPXS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.75" thickBot="1" x14ac:dyDescent="0.3">
      <c r="R3" s="21"/>
    </row>
    <row r="4" spans="2:37" ht="15.75" thickBot="1" x14ac:dyDescent="0.3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2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107.25</v>
      </c>
      <c r="E5">
        <f>INDEX(tbl_position[], COUNT(tbl_position[Date]), MATCH("Shares_"&amp;C5, pos_header,0))</f>
        <v>50</v>
      </c>
      <c r="F5">
        <f ca="1">tbl_holdings[[#This Row],[Current Price]]*tbl_holdings[[#This Row],['# Holdings]]</f>
        <v>5362.5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44078</v>
      </c>
      <c r="U5" s="63">
        <f ca="1">INDEX(INDIRECT("tbl_"&amp;$U$2), COUNT(Date_List)-$W$2+$S5, MATCH("Adj Close", Price_Header,0))</f>
        <v>5.56</v>
      </c>
      <c r="V5" s="19">
        <f t="shared" ref="V5:V18" ca="1" si="1">INDEX(INDIRECT("tbl_"&amp;$U$2), COUNT(Date_List)-$W$2+$S5, MATCH("volume", Price_Header,0))/1000</f>
        <v>92197.8</v>
      </c>
      <c r="W5" s="63">
        <f t="shared" ref="W5:W18" ca="1" si="2">INDEX(INDIRECT("tbl_"&amp;$U$2), COUNT(Date_List)-$W$2+$S5, MATCH("EMA", Price_Header,0))</f>
        <v>5.5409027952746222</v>
      </c>
      <c r="X5" s="64">
        <f t="shared" ref="X5:X18" ca="1" si="3">INDEX(INDIRECT("tbl_"&amp;$U$2), COUNT(Date_List)-$W$2+$S5, MATCH("RSI", Price_Header,0))</f>
        <v>41.798941798941783</v>
      </c>
      <c r="Y5" s="63">
        <f t="shared" ref="Y5:Y18" ca="1" si="4">INDEX(INDIRECT("tbl_"&amp;$U$2), COUNT(Date_List)-$W$2+$S5, MATCH("BB_Mean", Price_Header,0))</f>
        <v>5.4885714285714275</v>
      </c>
      <c r="Z5" s="63">
        <f t="shared" ref="Z5:Z18" ca="1" si="5">INDEX(INDIRECT("tbl_"&amp;$U$2), COUNT(Date_List)-$W$2+$S5, MATCH("BB_upper", Price_Header,0))</f>
        <v>6.0710783261394186</v>
      </c>
      <c r="AA5" s="63">
        <f t="shared" ref="AA5:AA18" ca="1" si="6">INDEX(INDIRECT("tbl_"&amp;$U$2), COUNT(Date_List)-$W$2+$S5, MATCH("BB_lower", Price_Header,0))</f>
        <v>4.9060645310034365</v>
      </c>
      <c r="AB5" s="19" t="str">
        <f ca="1">TEXT(T5, "mm/dd")</f>
        <v>09/04</v>
      </c>
      <c r="AC5" s="19">
        <v>70</v>
      </c>
      <c r="AD5" s="20">
        <v>30</v>
      </c>
      <c r="AG5">
        <f>0+Dashboard!V3</f>
        <v>5</v>
      </c>
      <c r="AH5" s="8">
        <f>IF(AG5=0, DATE(2020, 9, 9),INDEX(tbl_position[], AG5, MATCH("DATE", pos_header, 0)))</f>
        <v>44090</v>
      </c>
      <c r="AI5" s="126">
        <f ca="1">IF(AG5=0, 100000, INDEX(tbl_position[Total_Net_Asset], AG5))</f>
        <v>99755.299849999996</v>
      </c>
      <c r="AJ5" s="126">
        <f>IF(AG5=0, 100000, INDEX(tbl_position[Cash_Holding], AG5))</f>
        <v>61575.199999999997</v>
      </c>
      <c r="AK5" t="str">
        <f>TEXT(AH5, "mm/dd")</f>
        <v>09/16</v>
      </c>
    </row>
    <row r="6" spans="2:37" x14ac:dyDescent="0.2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31.32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3132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t="shared" ref="T6:T18" ca="1" si="8">INDEX(INDIRECT("tbl_"&amp;$U$2), COUNT(Date_List)-$W$2+$S6, 1)</f>
        <v>44082</v>
      </c>
      <c r="U6" s="53">
        <f t="shared" ref="U6:U18" ca="1" si="9">INDEX(INDIRECT("tbl_"&amp;$U$2), COUNT(Date_List)-$W$2+$S6, MATCH("Adj Close", Price_Header,0))</f>
        <v>6.02</v>
      </c>
      <c r="V6" s="21">
        <f t="shared" ca="1" si="1"/>
        <v>51969.1</v>
      </c>
      <c r="W6" s="53">
        <f t="shared" ca="1" si="2"/>
        <v>5.5888125157471595</v>
      </c>
      <c r="X6" s="54">
        <f t="shared" ca="1" si="3"/>
        <v>54.112554112554101</v>
      </c>
      <c r="Y6" s="53">
        <f t="shared" ca="1" si="4"/>
        <v>5.5021428571428563</v>
      </c>
      <c r="Z6" s="53">
        <f t="shared" ca="1" si="5"/>
        <v>6.1262818244806203</v>
      </c>
      <c r="AA6" s="53">
        <f t="shared" ca="1" si="6"/>
        <v>4.8780038898050924</v>
      </c>
      <c r="AB6" s="21" t="str">
        <f t="shared" ref="AB6:AB18" ca="1" si="10">TEXT(T6, "mm/dd")</f>
        <v>09/08</v>
      </c>
      <c r="AC6" s="21">
        <v>70</v>
      </c>
      <c r="AD6" s="15">
        <v>30</v>
      </c>
      <c r="AG6" s="47">
        <f>1+Dashboard!V3</f>
        <v>6</v>
      </c>
      <c r="AH6" s="8">
        <f>IF(AG6=0, DATE(2020, 9, 9),INDEX(tbl_position[], AG6, MATCH("DATE", pos_header, 0)))</f>
        <v>44091</v>
      </c>
      <c r="AI6" s="126">
        <f ca="1">IF(AG6=0, 100000, INDEX(tbl_position[Total_Net_Asset], AG6))</f>
        <v>99446.298949999997</v>
      </c>
      <c r="AJ6" s="126">
        <f>IF(AG6=0, 100000, INDEX(tbl_position[Cash_Holding], AG6))</f>
        <v>57949.2</v>
      </c>
      <c r="AK6" t="str">
        <f>TEXT(AH6, "mm/dd")</f>
        <v>09/17</v>
      </c>
    </row>
    <row r="7" spans="2:37" x14ac:dyDescent="0.25">
      <c r="B7">
        <v>3</v>
      </c>
      <c r="C7" t="str">
        <f t="shared" si="0"/>
        <v>FDX</v>
      </c>
      <c r="D7">
        <f t="shared" ca="1" si="7"/>
        <v>240.23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12011.5</v>
      </c>
      <c r="J7">
        <v>3</v>
      </c>
      <c r="K7" s="8">
        <f t="shared" ref="K7:K10" si="11">K6+7</f>
        <v>44097</v>
      </c>
      <c r="L7" s="8">
        <f t="shared" ref="L7:L10" si="12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6150.6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ca="1" si="8"/>
        <v>44083</v>
      </c>
      <c r="U7" s="53">
        <f t="shared" ca="1" si="9"/>
        <v>5.66</v>
      </c>
      <c r="V7" s="21">
        <f t="shared" ca="1" si="1"/>
        <v>40386.9</v>
      </c>
      <c r="W7" s="53">
        <f t="shared" ca="1" si="2"/>
        <v>5.5959312641724432</v>
      </c>
      <c r="X7" s="54">
        <f t="shared" ca="1" si="3"/>
        <v>44.961240310077528</v>
      </c>
      <c r="Y7" s="53">
        <f t="shared" ca="1" si="4"/>
        <v>5.4835714285714277</v>
      </c>
      <c r="Z7" s="53">
        <f t="shared" ca="1" si="5"/>
        <v>6.0683847264764879</v>
      </c>
      <c r="AA7" s="53">
        <f t="shared" ca="1" si="6"/>
        <v>4.8987581306663674</v>
      </c>
      <c r="AB7" s="21" t="str">
        <f t="shared" ca="1" si="10"/>
        <v>09/09</v>
      </c>
      <c r="AC7" s="21">
        <v>70</v>
      </c>
      <c r="AD7" s="15">
        <v>30</v>
      </c>
      <c r="AG7" s="47">
        <f>2+Dashboard!V3</f>
        <v>7</v>
      </c>
      <c r="AH7" s="8">
        <f>IF(AG7=0, DATE(2020, 9, 9),INDEX(tbl_position[], AG7, MATCH("DATE", pos_header, 0)))</f>
        <v>44092</v>
      </c>
      <c r="AI7" s="126">
        <f ca="1">IF(AG7=0, 100000, INDEX(tbl_position[Total_Net_Asset], AG7))</f>
        <v>98836.3</v>
      </c>
      <c r="AJ7" s="126">
        <f>IF(AG7=0, 100000, INDEX(tbl_position[Cash_Holding], AG7))</f>
        <v>63351.7</v>
      </c>
      <c r="AK7" t="str">
        <f>TEXT(AH7, "mm/dd")</f>
        <v>09/18</v>
      </c>
    </row>
    <row r="8" spans="2:37" x14ac:dyDescent="0.25">
      <c r="B8">
        <v>4</v>
      </c>
      <c r="C8" t="str">
        <f t="shared" si="0"/>
        <v>HD</v>
      </c>
      <c r="D8">
        <f t="shared" ca="1" si="7"/>
        <v>264.8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13240</v>
      </c>
      <c r="J8">
        <v>4</v>
      </c>
      <c r="K8" s="8">
        <f t="shared" si="11"/>
        <v>44104</v>
      </c>
      <c r="L8" s="8">
        <f t="shared" si="12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8"/>
        <v>44084</v>
      </c>
      <c r="U8" s="53">
        <f t="shared" ca="1" si="9"/>
        <v>5.96</v>
      </c>
      <c r="V8" s="21">
        <f t="shared" ca="1" si="1"/>
        <v>57274.2</v>
      </c>
      <c r="W8" s="53">
        <f t="shared" ca="1" si="2"/>
        <v>5.6323381377551991</v>
      </c>
      <c r="X8" s="54">
        <f t="shared" ca="1" si="3"/>
        <v>51.957295373665481</v>
      </c>
      <c r="Y8" s="53">
        <f t="shared" ca="1" si="4"/>
        <v>5.4914285714285711</v>
      </c>
      <c r="Z8" s="53">
        <f t="shared" ca="1" si="5"/>
        <v>6.0999251875803226</v>
      </c>
      <c r="AA8" s="53">
        <f t="shared" ca="1" si="6"/>
        <v>4.8829319552768196</v>
      </c>
      <c r="AB8" s="21" t="str">
        <f t="shared" ca="1" si="10"/>
        <v>09/10</v>
      </c>
      <c r="AC8" s="21">
        <v>70</v>
      </c>
      <c r="AD8" s="15">
        <v>30</v>
      </c>
      <c r="AG8" s="47">
        <f>3+Dashboard!V3</f>
        <v>8</v>
      </c>
      <c r="AH8" s="8">
        <f>IF(AG8=0, DATE(2020, 9, 9),INDEX(tbl_position[], AG8, MATCH("DATE", pos_header, 0)))</f>
        <v>44095</v>
      </c>
      <c r="AI8" s="126">
        <f ca="1">IF(AG8=0, 100000, INDEX(tbl_position[Total_Net_Asset], AG8))</f>
        <v>97840.3</v>
      </c>
      <c r="AJ8" s="126">
        <f>IF(AG8=0, 100000, INDEX(tbl_position[Cash_Holding], AG8))</f>
        <v>37751.699999999997</v>
      </c>
      <c r="AK8" t="str">
        <f t="shared" ref="AK8:AK11" si="13">TEXT(AH8, "mm/dd")</f>
        <v>09/21</v>
      </c>
    </row>
    <row r="9" spans="2:37" x14ac:dyDescent="0.25">
      <c r="B9">
        <v>5</v>
      </c>
      <c r="C9" t="str">
        <f t="shared" si="0"/>
        <v>IBM</v>
      </c>
      <c r="D9">
        <f t="shared" ca="1" si="7"/>
        <v>116.7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11670</v>
      </c>
      <c r="J9">
        <v>5</v>
      </c>
      <c r="K9" s="8">
        <f t="shared" si="11"/>
        <v>44111</v>
      </c>
      <c r="L9" s="8">
        <f t="shared" si="12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4">
        <v>5</v>
      </c>
      <c r="T9" s="52">
        <f t="shared" ca="1" si="8"/>
        <v>44085</v>
      </c>
      <c r="U9" s="53">
        <f t="shared" ca="1" si="9"/>
        <v>5.95</v>
      </c>
      <c r="V9" s="21">
        <f t="shared" ca="1" si="1"/>
        <v>54898.2</v>
      </c>
      <c r="W9" s="53">
        <f t="shared" ca="1" si="2"/>
        <v>5.6641043239796787</v>
      </c>
      <c r="X9" s="54">
        <f t="shared" ca="1" si="3"/>
        <v>53.284671532846737</v>
      </c>
      <c r="Y9" s="53">
        <f t="shared" ca="1" si="4"/>
        <v>5.5042857142857136</v>
      </c>
      <c r="Z9" s="53">
        <f t="shared" ca="1" si="5"/>
        <v>6.1448966863915757</v>
      </c>
      <c r="AA9" s="53">
        <f t="shared" ca="1" si="6"/>
        <v>4.8636747421798514</v>
      </c>
      <c r="AB9" s="21" t="str">
        <f t="shared" ca="1" si="10"/>
        <v>09/11</v>
      </c>
      <c r="AC9" s="21">
        <v>70</v>
      </c>
      <c r="AD9" s="15">
        <v>30</v>
      </c>
      <c r="AG9" s="47">
        <f>4+Dashboard!V3</f>
        <v>9</v>
      </c>
      <c r="AH9" s="8">
        <f>IF(AG9=0, DATE(2020, 9, 9),INDEX(tbl_position[], AG9, MATCH("DATE", pos_header, 0)))</f>
        <v>44096</v>
      </c>
      <c r="AI9" s="126">
        <f ca="1">IF(AG9=0, 100000, INDEX(tbl_position[Total_Net_Asset], AG9))</f>
        <v>97149.8</v>
      </c>
      <c r="AJ9" s="126">
        <f>IF(AG9=0, 100000, INDEX(tbl_position[Cash_Holding], AG9))</f>
        <v>50051.7</v>
      </c>
      <c r="AK9" t="str">
        <f t="shared" si="13"/>
        <v>09/22</v>
      </c>
    </row>
    <row r="10" spans="2:37" x14ac:dyDescent="0.25">
      <c r="B10">
        <v>6</v>
      </c>
      <c r="C10" t="str">
        <f t="shared" si="0"/>
        <v>NKLA</v>
      </c>
      <c r="D10">
        <f t="shared" ca="1" si="7"/>
        <v>17.14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1"/>
        <v>44118</v>
      </c>
      <c r="L10" s="8">
        <f t="shared" si="12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8"/>
        <v>44088</v>
      </c>
      <c r="U10" s="53">
        <f t="shared" ca="1" si="9"/>
        <v>5.72</v>
      </c>
      <c r="V10" s="21">
        <f t="shared" ca="1" si="1"/>
        <v>30591.599999999999</v>
      </c>
      <c r="W10" s="53">
        <f t="shared" ca="1" si="2"/>
        <v>5.6696938915817112</v>
      </c>
      <c r="X10" s="54">
        <f t="shared" ca="1" si="3"/>
        <v>52.142857142857139</v>
      </c>
      <c r="Y10" s="53">
        <f t="shared" ca="1" si="4"/>
        <v>5.5128571428571425</v>
      </c>
      <c r="Z10" s="53">
        <f t="shared" ca="1" si="5"/>
        <v>6.1621373867925602</v>
      </c>
      <c r="AA10" s="53">
        <f t="shared" ca="1" si="6"/>
        <v>4.8635768989217247</v>
      </c>
      <c r="AB10" s="21" t="str">
        <f t="shared" ca="1" si="10"/>
        <v>09/14</v>
      </c>
      <c r="AC10" s="21">
        <v>70</v>
      </c>
      <c r="AD10" s="15">
        <v>30</v>
      </c>
      <c r="AG10" s="47">
        <f>5+Dashboard!V3</f>
        <v>10</v>
      </c>
      <c r="AH10" s="8">
        <f>IF(AG10=0, DATE(2020, 9, 9),INDEX(tbl_position[], AG10, MATCH("DATE", pos_header, 0)))</f>
        <v>44097</v>
      </c>
      <c r="AI10" s="126">
        <f ca="1">IF(AG10=0, 100000, INDEX(tbl_position[Total_Net_Asset], AG10))</f>
        <v>96487.3</v>
      </c>
      <c r="AJ10" s="126">
        <f>IF(AG10=0, 100000, INDEX(tbl_position[Cash_Holding], AG10))</f>
        <v>43897.299999999996</v>
      </c>
      <c r="AK10" t="str">
        <f t="shared" si="13"/>
        <v>09/23</v>
      </c>
    </row>
    <row r="11" spans="2:37" x14ac:dyDescent="0.2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58.31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8"/>
        <v>44089</v>
      </c>
      <c r="U11" s="53">
        <f t="shared" ca="1" si="9"/>
        <v>5.62</v>
      </c>
      <c r="V11" s="21">
        <f t="shared" ca="1" si="1"/>
        <v>29933.8</v>
      </c>
      <c r="W11" s="53">
        <f t="shared" ca="1" si="2"/>
        <v>5.6647245024235406</v>
      </c>
      <c r="X11" s="54">
        <f t="shared" ca="1" si="3"/>
        <v>51.228070175438603</v>
      </c>
      <c r="Y11" s="53">
        <f t="shared" ca="1" si="4"/>
        <v>5.5178571428571432</v>
      </c>
      <c r="Z11" s="53">
        <f t="shared" ca="1" si="5"/>
        <v>6.1694435417060109</v>
      </c>
      <c r="AA11" s="53">
        <f t="shared" ca="1" si="6"/>
        <v>4.8662707440082755</v>
      </c>
      <c r="AB11" s="21" t="str">
        <f t="shared" ca="1" si="10"/>
        <v>09/15</v>
      </c>
      <c r="AC11" s="21">
        <v>70</v>
      </c>
      <c r="AD11" s="15">
        <v>30</v>
      </c>
      <c r="AG11" s="47">
        <f>6+Dashboard!V3</f>
        <v>11</v>
      </c>
      <c r="AH11" s="8">
        <f>IF(AG11=0, DATE(2020, 9, 9),INDEX(tbl_position[], AG11, MATCH("DATE", pos_header, 0)))</f>
        <v>44098</v>
      </c>
      <c r="AI11" s="126">
        <f ca="1">IF(AG11=0, 100000, INDEX(tbl_position[Total_Net_Asset], AG11))</f>
        <v>96178.6</v>
      </c>
      <c r="AJ11" s="126">
        <f>IF(AG11=0, 100000, INDEX(tbl_position[Cash_Holding], AG11))</f>
        <v>43897.299999999996</v>
      </c>
      <c r="AK11" t="str">
        <f t="shared" si="13"/>
        <v>09/24</v>
      </c>
    </row>
    <row r="12" spans="2:37" x14ac:dyDescent="0.2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2.4098999999999999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8"/>
        <v>44090</v>
      </c>
      <c r="U12" s="53">
        <f t="shared" ca="1" si="9"/>
        <v>5.7</v>
      </c>
      <c r="V12" s="21">
        <f t="shared" ca="1" si="1"/>
        <v>29453.3</v>
      </c>
      <c r="W12" s="53">
        <f t="shared" ca="1" si="2"/>
        <v>5.6682520521811863</v>
      </c>
      <c r="X12" s="54">
        <f t="shared" ca="1" si="3"/>
        <v>55.797101449275367</v>
      </c>
      <c r="Y12" s="53">
        <f t="shared" ca="1" si="4"/>
        <v>5.5407142857142873</v>
      </c>
      <c r="Z12" s="53">
        <f t="shared" ca="1" si="5"/>
        <v>6.1939177190141477</v>
      </c>
      <c r="AA12" s="53">
        <f t="shared" ca="1" si="6"/>
        <v>4.8875108524144268</v>
      </c>
      <c r="AB12" s="21" t="str">
        <f t="shared" ca="1" si="10"/>
        <v>09/16</v>
      </c>
      <c r="AC12" s="21">
        <v>70</v>
      </c>
      <c r="AD12" s="15">
        <v>30</v>
      </c>
      <c r="AG12" s="47"/>
    </row>
    <row r="13" spans="2:37" x14ac:dyDescent="0.2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6.59</v>
      </c>
      <c r="E13">
        <f>INDEX(tbl_position[], COUNT(tbl_position[Date]), MATCH("Shares_"&amp;C13, pos_header,0))</f>
        <v>980</v>
      </c>
      <c r="F13">
        <f ca="1">tbl_holdings[[#This Row],[Current Price]]*tbl_holdings[[#This Row],['# Holdings]]</f>
        <v>6458.2</v>
      </c>
      <c r="K13" s="8"/>
      <c r="L13" s="8"/>
      <c r="S13" s="14">
        <v>9</v>
      </c>
      <c r="T13" s="52">
        <f t="shared" ca="1" si="8"/>
        <v>44091</v>
      </c>
      <c r="U13" s="53">
        <f t="shared" ca="1" si="9"/>
        <v>5.85</v>
      </c>
      <c r="V13" s="21">
        <f t="shared" ca="1" si="1"/>
        <v>40284.264999999999</v>
      </c>
      <c r="W13" s="53">
        <f t="shared" ca="1" si="2"/>
        <v>5.6864268469630677</v>
      </c>
      <c r="X13" s="54">
        <f t="shared" ca="1" si="3"/>
        <v>58.477508650519027</v>
      </c>
      <c r="Y13" s="53">
        <f t="shared" ca="1" si="4"/>
        <v>5.5757142857142856</v>
      </c>
      <c r="Z13" s="53">
        <f t="shared" ca="1" si="5"/>
        <v>6.2396287512762418</v>
      </c>
      <c r="AA13" s="53">
        <f t="shared" ca="1" si="6"/>
        <v>4.9117998201523294</v>
      </c>
      <c r="AB13" s="21" t="str">
        <f t="shared" ca="1" si="10"/>
        <v>09/17</v>
      </c>
      <c r="AC13" s="21">
        <v>70</v>
      </c>
      <c r="AD13" s="15">
        <v>30</v>
      </c>
      <c r="AG13" s="47"/>
    </row>
    <row r="14" spans="2:37" x14ac:dyDescent="0.2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135.81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8"/>
        <v>44092</v>
      </c>
      <c r="U14" s="53">
        <f t="shared" ca="1" si="9"/>
        <v>6.05</v>
      </c>
      <c r="V14" s="21">
        <f t="shared" ca="1" si="1"/>
        <v>36545.800000000003</v>
      </c>
      <c r="W14" s="53">
        <f t="shared" ca="1" si="2"/>
        <v>5.7227841622667608</v>
      </c>
      <c r="X14" s="54">
        <f t="shared" ca="1" si="3"/>
        <v>63.851351351351354</v>
      </c>
      <c r="Y14" s="53">
        <f t="shared" ca="1" si="4"/>
        <v>5.6342857142857143</v>
      </c>
      <c r="Z14" s="53">
        <f t="shared" ca="1" si="5"/>
        <v>6.3113706100291918</v>
      </c>
      <c r="AA14" s="53">
        <f t="shared" ca="1" si="6"/>
        <v>4.9572008185422369</v>
      </c>
      <c r="AB14" s="21" t="str">
        <f t="shared" ca="1" si="10"/>
        <v>09/18</v>
      </c>
      <c r="AC14" s="21">
        <v>70</v>
      </c>
      <c r="AD14" s="15">
        <v>30</v>
      </c>
      <c r="AG14" s="47"/>
    </row>
    <row r="15" spans="2:37" x14ac:dyDescent="0.25">
      <c r="B15" t="s">
        <v>162</v>
      </c>
      <c r="F15">
        <f ca="1">SUBTOTAL(109,tbl_holdings[Total])</f>
        <v>51874.2</v>
      </c>
      <c r="S15" s="14">
        <v>11</v>
      </c>
      <c r="T15" s="52">
        <f t="shared" ca="1" si="8"/>
        <v>44095</v>
      </c>
      <c r="U15" s="53">
        <f t="shared" ca="1" si="9"/>
        <v>6.26</v>
      </c>
      <c r="V15" s="21">
        <f t="shared" ca="1" si="1"/>
        <v>58472.5</v>
      </c>
      <c r="W15" s="53">
        <f t="shared" ca="1" si="2"/>
        <v>5.776505746040085</v>
      </c>
      <c r="X15" s="54">
        <f t="shared" ca="1" si="3"/>
        <v>65.48387096774195</v>
      </c>
      <c r="Y15" s="53">
        <f t="shared" ca="1" si="4"/>
        <v>5.7028571428571428</v>
      </c>
      <c r="Z15" s="53">
        <f t="shared" ca="1" si="5"/>
        <v>6.426923802407579</v>
      </c>
      <c r="AA15" s="53">
        <f t="shared" ca="1" si="6"/>
        <v>4.9787904833067067</v>
      </c>
      <c r="AB15" s="21" t="str">
        <f t="shared" ca="1" si="10"/>
        <v>09/21</v>
      </c>
      <c r="AC15" s="21">
        <v>70</v>
      </c>
      <c r="AD15" s="15">
        <v>30</v>
      </c>
      <c r="AG15" s="47"/>
    </row>
    <row r="16" spans="2:37" x14ac:dyDescent="0.25">
      <c r="S16" s="14">
        <v>12</v>
      </c>
      <c r="T16" s="52">
        <f t="shared" ca="1" si="8"/>
        <v>44096</v>
      </c>
      <c r="U16" s="53">
        <f t="shared" ca="1" si="9"/>
        <v>6.06</v>
      </c>
      <c r="V16" s="21">
        <f t="shared" ca="1" si="1"/>
        <v>35781.300000000003</v>
      </c>
      <c r="W16" s="53">
        <f t="shared" ca="1" si="2"/>
        <v>5.8048551714360768</v>
      </c>
      <c r="X16" s="54">
        <f t="shared" ca="1" si="3"/>
        <v>64.649681528662427</v>
      </c>
      <c r="Y16" s="53">
        <f t="shared" ca="1" si="4"/>
        <v>5.7685714285714287</v>
      </c>
      <c r="Z16" s="53">
        <f t="shared" ca="1" si="5"/>
        <v>6.4374790175830672</v>
      </c>
      <c r="AA16" s="53">
        <f t="shared" ca="1" si="6"/>
        <v>5.0996638395597902</v>
      </c>
      <c r="AB16" s="21" t="str">
        <f t="shared" ca="1" si="10"/>
        <v>09/22</v>
      </c>
      <c r="AC16" s="21">
        <v>70</v>
      </c>
      <c r="AD16" s="15">
        <v>30</v>
      </c>
      <c r="AG16" s="47"/>
    </row>
    <row r="17" spans="18:33" x14ac:dyDescent="0.25">
      <c r="S17" s="14">
        <v>13</v>
      </c>
      <c r="T17" s="52">
        <f t="shared" ca="1" si="8"/>
        <v>44097</v>
      </c>
      <c r="U17" s="53">
        <f t="shared" ca="1" si="9"/>
        <v>6.48</v>
      </c>
      <c r="V17" s="21">
        <f t="shared" ca="1" si="1"/>
        <v>40980.199999999997</v>
      </c>
      <c r="W17" s="53">
        <f t="shared" ca="1" si="2"/>
        <v>5.872369654292469</v>
      </c>
      <c r="X17" s="54">
        <f t="shared" ca="1" si="3"/>
        <v>73.134328358208961</v>
      </c>
      <c r="Y17" s="53">
        <f t="shared" ca="1" si="4"/>
        <v>5.8792857142857144</v>
      </c>
      <c r="Z17" s="53">
        <f t="shared" ca="1" si="5"/>
        <v>6.4572111439025486</v>
      </c>
      <c r="AA17" s="53">
        <f t="shared" ca="1" si="6"/>
        <v>5.3013602846688803</v>
      </c>
      <c r="AB17" s="21" t="str">
        <f t="shared" ca="1" si="10"/>
        <v>09/23</v>
      </c>
      <c r="AC17" s="21">
        <v>70</v>
      </c>
      <c r="AD17" s="15">
        <v>30</v>
      </c>
      <c r="AG17" s="47"/>
    </row>
    <row r="18" spans="18:33" ht="15.75" thickBot="1" x14ac:dyDescent="0.3">
      <c r="S18" s="16">
        <v>14</v>
      </c>
      <c r="T18" s="55">
        <f t="shared" ca="1" si="8"/>
        <v>44098</v>
      </c>
      <c r="U18" s="56">
        <f t="shared" ca="1" si="9"/>
        <v>6.59</v>
      </c>
      <c r="V18" s="22">
        <f t="shared" ca="1" si="1"/>
        <v>3447.3150000000001</v>
      </c>
      <c r="W18" s="56">
        <f t="shared" ca="1" si="2"/>
        <v>5.9441326888632222</v>
      </c>
      <c r="X18" s="57">
        <f t="shared" ca="1" si="3"/>
        <v>69.696969696969703</v>
      </c>
      <c r="Y18" s="56">
        <f t="shared" ca="1" si="4"/>
        <v>5.9628571428571435</v>
      </c>
      <c r="Z18" s="56">
        <f t="shared" ca="1" si="5"/>
        <v>6.590890878914669</v>
      </c>
      <c r="AA18" s="56">
        <f t="shared" ca="1" si="6"/>
        <v>5.3348234067996181</v>
      </c>
      <c r="AB18" s="22" t="str">
        <f t="shared" ca="1" si="10"/>
        <v>09/24</v>
      </c>
      <c r="AC18" s="22">
        <v>70</v>
      </c>
      <c r="AD18" s="17">
        <v>30</v>
      </c>
      <c r="AG18" s="47"/>
    </row>
    <row r="19" spans="18:33" x14ac:dyDescent="0.2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8:33" x14ac:dyDescent="0.2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2:J43"/>
  <sheetViews>
    <sheetView topLeftCell="A31" workbookViewId="0">
      <selection activeCell="W45" sqref="W45"/>
    </sheetView>
  </sheetViews>
  <sheetFormatPr defaultRowHeight="15" x14ac:dyDescent="0.25"/>
  <sheetData>
    <row r="2" spans="1:10" ht="21" x14ac:dyDescent="0.3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t="s">
        <v>257</v>
      </c>
    </row>
    <row r="4" spans="1:10" x14ac:dyDescent="0.25">
      <c r="A4" t="s">
        <v>258</v>
      </c>
    </row>
    <row r="6" spans="1:10" ht="15.75" x14ac:dyDescent="0.25">
      <c r="A6" s="7" t="s">
        <v>259</v>
      </c>
    </row>
    <row r="7" spans="1:10" x14ac:dyDescent="0.25">
      <c r="A7" t="s">
        <v>260</v>
      </c>
    </row>
    <row r="9" spans="1:10" x14ac:dyDescent="0.25">
      <c r="A9" s="66" t="s">
        <v>261</v>
      </c>
    </row>
    <row r="10" spans="1:10" x14ac:dyDescent="0.25">
      <c r="A10" t="s">
        <v>262</v>
      </c>
    </row>
    <row r="11" spans="1:10" x14ac:dyDescent="0.25">
      <c r="B11" t="s">
        <v>263</v>
      </c>
    </row>
    <row r="12" spans="1:10" x14ac:dyDescent="0.25">
      <c r="A12" t="s">
        <v>264</v>
      </c>
    </row>
    <row r="13" spans="1:10" x14ac:dyDescent="0.25">
      <c r="B13" t="s">
        <v>267</v>
      </c>
    </row>
    <row r="14" spans="1:10" x14ac:dyDescent="0.25">
      <c r="A14" t="s">
        <v>265</v>
      </c>
    </row>
    <row r="15" spans="1:10" x14ac:dyDescent="0.25">
      <c r="B15" t="s">
        <v>266</v>
      </c>
    </row>
    <row r="17" spans="1:2" ht="15.75" x14ac:dyDescent="0.25">
      <c r="A17" s="7" t="s">
        <v>268</v>
      </c>
    </row>
    <row r="18" spans="1:2" x14ac:dyDescent="0.25">
      <c r="A18" t="s">
        <v>284</v>
      </c>
    </row>
    <row r="20" spans="1:2" x14ac:dyDescent="0.25">
      <c r="A20" s="66" t="s">
        <v>261</v>
      </c>
    </row>
    <row r="21" spans="1:2" x14ac:dyDescent="0.25">
      <c r="A21" t="s">
        <v>269</v>
      </c>
    </row>
    <row r="22" spans="1:2" x14ac:dyDescent="0.25">
      <c r="B22" t="s">
        <v>270</v>
      </c>
    </row>
    <row r="23" spans="1:2" x14ac:dyDescent="0.25">
      <c r="A23" t="s">
        <v>272</v>
      </c>
    </row>
    <row r="26" spans="1:2" ht="15.75" x14ac:dyDescent="0.25">
      <c r="A26" s="7" t="s">
        <v>271</v>
      </c>
    </row>
    <row r="27" spans="1:2" x14ac:dyDescent="0.25">
      <c r="A27" t="s">
        <v>285</v>
      </c>
    </row>
    <row r="28" spans="1:2" x14ac:dyDescent="0.25">
      <c r="A28" s="66" t="s">
        <v>261</v>
      </c>
    </row>
    <row r="29" spans="1:2" x14ac:dyDescent="0.25">
      <c r="A29" t="s">
        <v>273</v>
      </c>
    </row>
    <row r="30" spans="1:2" x14ac:dyDescent="0.25">
      <c r="A30" t="s">
        <v>274</v>
      </c>
    </row>
    <row r="31" spans="1:2" x14ac:dyDescent="0.25">
      <c r="A31" t="s">
        <v>276</v>
      </c>
    </row>
    <row r="33" spans="1:1" ht="15.75" x14ac:dyDescent="0.25">
      <c r="A33" s="7" t="s">
        <v>277</v>
      </c>
    </row>
    <row r="34" spans="1:1" x14ac:dyDescent="0.25">
      <c r="A34" t="s">
        <v>286</v>
      </c>
    </row>
    <row r="35" spans="1:1" x14ac:dyDescent="0.25">
      <c r="A35" s="66" t="s">
        <v>261</v>
      </c>
    </row>
    <row r="36" spans="1:1" x14ac:dyDescent="0.25">
      <c r="A36" t="s">
        <v>278</v>
      </c>
    </row>
    <row r="37" spans="1:1" x14ac:dyDescent="0.25">
      <c r="A37" t="s">
        <v>279</v>
      </c>
    </row>
    <row r="38" spans="1:1" x14ac:dyDescent="0.25">
      <c r="A38" t="s">
        <v>280</v>
      </c>
    </row>
    <row r="39" spans="1:1" x14ac:dyDescent="0.25">
      <c r="A39" t="s">
        <v>281</v>
      </c>
    </row>
    <row r="40" spans="1:1" x14ac:dyDescent="0.25">
      <c r="A40" t="s">
        <v>282</v>
      </c>
    </row>
    <row r="41" spans="1:1" x14ac:dyDescent="0.25">
      <c r="A41" t="s">
        <v>283</v>
      </c>
    </row>
    <row r="43" spans="1:1" x14ac:dyDescent="0.25">
      <c r="A43" t="s"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27" workbookViewId="0">
      <selection activeCell="D54" sqref="D54"/>
    </sheetView>
  </sheetViews>
  <sheetFormatPr defaultRowHeight="15" x14ac:dyDescent="0.25"/>
  <cols>
    <col min="1" max="1" width="9.7109375" customWidth="1"/>
    <col min="2" max="2" width="15.5703125" customWidth="1"/>
    <col min="3" max="3" width="17.85546875" customWidth="1"/>
    <col min="4" max="4" width="14.140625" customWidth="1"/>
    <col min="5" max="5" width="15.85546875" customWidth="1"/>
    <col min="6" max="6" width="10.28515625" customWidth="1"/>
    <col min="7" max="7" width="17.28515625" customWidth="1"/>
    <col min="8" max="8" width="15" hidden="1" customWidth="1"/>
    <col min="9" max="9" width="13.140625" hidden="1" customWidth="1"/>
    <col min="10" max="10" width="13" hidden="1" customWidth="1"/>
    <col min="11" max="11" width="17.42578125" customWidth="1"/>
    <col min="12" max="12" width="15.5703125" customWidth="1"/>
    <col min="13" max="13" width="15.42578125" customWidth="1"/>
    <col min="14" max="14" width="13.42578125" customWidth="1"/>
    <col min="15" max="15" width="18.42578125" customWidth="1"/>
    <col min="16" max="16" width="19.140625" customWidth="1"/>
    <col min="17" max="17" width="20.42578125" customWidth="1"/>
    <col min="18" max="18" width="18.7109375" customWidth="1"/>
    <col min="19" max="19" width="21" customWidth="1"/>
  </cols>
  <sheetData>
    <row r="1" spans="1:19" ht="21" x14ac:dyDescent="0.35">
      <c r="A1" s="41" t="s">
        <v>15</v>
      </c>
      <c r="B1" s="41"/>
      <c r="C1" s="41"/>
      <c r="D1" s="41"/>
      <c r="E1" s="41"/>
    </row>
    <row r="2" spans="1:19" ht="15.75" x14ac:dyDescent="0.25">
      <c r="A2" t="s">
        <v>112</v>
      </c>
    </row>
    <row r="4" spans="1:19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2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2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2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2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2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2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2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2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2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2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2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2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2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2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2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2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2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2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2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2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2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2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2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2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2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2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2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2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2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2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2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2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2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2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2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2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2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2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2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2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2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2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2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2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2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2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2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2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2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2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25">
      <c r="A55" t="s">
        <v>162</v>
      </c>
      <c r="B55">
        <f>SUBTOTAL(103,tbl_transaction[Order Date])</f>
        <v>50</v>
      </c>
      <c r="P55" s="11">
        <f>SUBTOTAL(109,tbl_transaction[Net_Cash_Change])</f>
        <v>-56102.700000000004</v>
      </c>
      <c r="S55" s="47">
        <f>SUBTOTAL(109,tbl_transaction[Stock Holding Change])</f>
        <v>1330</v>
      </c>
    </row>
  </sheetData>
  <dataValidations count="3">
    <dataValidation type="list" allowBlank="1" showInputMessage="1" showErrorMessage="1" sqref="D5:D54">
      <formula1>Transactions</formula1>
    </dataValidation>
    <dataValidation type="list" allowBlank="1" showInputMessage="1" showErrorMessage="1" sqref="A5:A54">
      <formula1>Symbol</formula1>
    </dataValidation>
    <dataValidation type="whole" allowBlank="1" showInputMessage="1" showErrorMessage="1" sqref="F5:F54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3" max="3" width="15.42578125" customWidth="1"/>
    <col min="5" max="5" width="11.7109375" customWidth="1"/>
    <col min="8" max="8" width="12" customWidth="1"/>
  </cols>
  <sheetData>
    <row r="3" spans="1:9" ht="15.75" x14ac:dyDescent="0.2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2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2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2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25">
      <c r="A7" t="s">
        <v>22</v>
      </c>
      <c r="C7" t="s">
        <v>34</v>
      </c>
    </row>
    <row r="8" spans="1:9" x14ac:dyDescent="0.25">
      <c r="A8" t="s">
        <v>37</v>
      </c>
    </row>
    <row r="9" spans="1:9" x14ac:dyDescent="0.25">
      <c r="A9" t="s">
        <v>217</v>
      </c>
    </row>
    <row r="10" spans="1:9" x14ac:dyDescent="0.25">
      <c r="A10" t="s">
        <v>35</v>
      </c>
    </row>
    <row r="11" spans="1:9" x14ac:dyDescent="0.25">
      <c r="A11" t="s">
        <v>20</v>
      </c>
    </row>
    <row r="12" spans="1:9" x14ac:dyDescent="0.25">
      <c r="A12" t="s">
        <v>240</v>
      </c>
    </row>
    <row r="13" spans="1:9" x14ac:dyDescent="0.2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M1" workbookViewId="0">
      <selection activeCell="Y4" sqref="Y4"/>
    </sheetView>
  </sheetViews>
  <sheetFormatPr defaultRowHeight="15" x14ac:dyDescent="0.25"/>
  <cols>
    <col min="1" max="1" width="9.7109375" bestFit="1" customWidth="1"/>
    <col min="2" max="2" width="14" customWidth="1"/>
    <col min="3" max="4" width="12.7109375" customWidth="1"/>
    <col min="5" max="5" width="13.42578125" customWidth="1"/>
    <col min="6" max="6" width="12.140625" customWidth="1"/>
    <col min="7" max="11" width="13.140625" customWidth="1"/>
    <col min="12" max="12" width="14.5703125" customWidth="1"/>
    <col min="13" max="13" width="15.5703125" customWidth="1"/>
    <col min="14" max="14" width="12.5703125" customWidth="1"/>
    <col min="15" max="15" width="16.7109375" customWidth="1"/>
    <col min="16" max="16" width="15.5703125" customWidth="1"/>
    <col min="17" max="21" width="16.42578125" customWidth="1"/>
    <col min="22" max="22" width="16.85546875" customWidth="1"/>
    <col min="23" max="23" width="15.42578125" customWidth="1"/>
    <col min="24" max="24" width="15.85546875" customWidth="1"/>
    <col min="25" max="25" width="17.42578125" customWidth="1"/>
  </cols>
  <sheetData>
    <row r="1" spans="1:25" ht="21" x14ac:dyDescent="0.35">
      <c r="A1" s="41" t="s">
        <v>126</v>
      </c>
      <c r="B1" s="41"/>
      <c r="C1" s="41"/>
      <c r="D1" s="41"/>
      <c r="E1" s="41"/>
    </row>
    <row r="2" spans="1:25" ht="15.75" x14ac:dyDescent="0.25">
      <c r="A2" t="s">
        <v>127</v>
      </c>
    </row>
    <row r="4" spans="1:25" x14ac:dyDescent="0.2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246</v>
      </c>
      <c r="S4" t="s">
        <v>247</v>
      </c>
      <c r="T4" t="s">
        <v>248</v>
      </c>
      <c r="U4" t="s">
        <v>249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2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2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2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2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2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2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2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$L10)</f>
        <v>50</v>
      </c>
      <c r="M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$M10)</f>
        <v>0</v>
      </c>
      <c r="N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$N10)</f>
        <v>50</v>
      </c>
      <c r="O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$O10)</f>
        <v>0</v>
      </c>
      <c r="P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$P10)</f>
        <v>100</v>
      </c>
      <c r="Q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$Q10)</f>
        <v>0</v>
      </c>
      <c r="R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$R10)</f>
        <v>100</v>
      </c>
      <c r="S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$S10)</f>
        <v>0</v>
      </c>
      <c r="T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$T10)</f>
        <v>0</v>
      </c>
      <c r="U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$U10)</f>
        <v>0</v>
      </c>
      <c r="V11" s="10">
        <f ca="1" xml:space="preserve"> SUMPRODUCT(INDIRECT(ADDRESS(ROW(V11), 2)):INDIRECT(ADDRESS(ROW(V11), MATCH("Shares_AAPL", pos_header,0)-1)), INDIRECT(ADDRESS(ROW(V11), MATCH("Shares_AAPL", pos_header,0))): INDIRECT(ADDRESS(ROW(V11), MATCH("Shares_Holding", pos_header,0)-1)))</f>
        <v>35077.5</v>
      </c>
      <c r="W11" s="10">
        <f>SUMIFS(tbl_transaction[Net_Cash_Change], tbl_transaction[Transaction_Date],tbl_position[[#This Row],[Date]])+IF(tbl_position[[#This Row],[Date]]=$A$5, 100000, $W10)</f>
        <v>63351.7</v>
      </c>
      <c r="X11" s="11">
        <f>SUMIFS(tbl_transaction[Net_Debt_Change], tbl_transaction[Transaction_Date],tbl_position[[#This Row],[Date]])+IF(tbl_position[[#This Row],[Date]]=$A$5, 0, $X10)</f>
        <v>-407.10000000000036</v>
      </c>
      <c r="Y11" s="48">
        <f ca="1">tbl_position[[#This Row],[Shares_Holding]]+tbl_position[[#This Row],[Cash_Holding]]-tbl_position[[#This Row],[Liabilities_Holding]]</f>
        <v>98836.3</v>
      </c>
    </row>
    <row r="12" spans="1:25" x14ac:dyDescent="0.2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$L11)</f>
        <v>50</v>
      </c>
      <c r="M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$M11)</f>
        <v>0</v>
      </c>
      <c r="N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$N11)</f>
        <v>50</v>
      </c>
      <c r="O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$O11)</f>
        <v>0</v>
      </c>
      <c r="P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$P11)</f>
        <v>100</v>
      </c>
      <c r="Q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$Q11)</f>
        <v>0</v>
      </c>
      <c r="R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$R11)</f>
        <v>100</v>
      </c>
      <c r="S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$S11)</f>
        <v>0</v>
      </c>
      <c r="T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$T11)</f>
        <v>0</v>
      </c>
      <c r="U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$U11)</f>
        <v>4000</v>
      </c>
      <c r="V12" s="10">
        <f ca="1" xml:space="preserve"> SUMPRODUCT(INDIRECT(ADDRESS(ROW(V12), 2)):INDIRECT(ADDRESS(ROW(V12), MATCH("Shares_AAPL", pos_header,0)-1)), INDIRECT(ADDRESS(ROW(V12), MATCH("Shares_AAPL", pos_header,0))): INDIRECT(ADDRESS(ROW(V12), MATCH("Shares_Holding", pos_header,0)-1)))</f>
        <v>59681.5</v>
      </c>
      <c r="W12" s="10">
        <f>SUMIFS(tbl_transaction[Net_Cash_Change], tbl_transaction[Transaction_Date],tbl_position[[#This Row],[Date]])+IF(tbl_position[[#This Row],[Date]]=$A$5, 100000, $W11)</f>
        <v>37751.699999999997</v>
      </c>
      <c r="X12" s="11">
        <f>SUMIFS(tbl_transaction[Net_Debt_Change], tbl_transaction[Transaction_Date],tbl_position[[#This Row],[Date]])+IF(tbl_position[[#This Row],[Date]]=$A$5, 0, $X11)</f>
        <v>-407.10000000000036</v>
      </c>
      <c r="Y12" s="48">
        <f ca="1">tbl_position[[#This Row],[Shares_Holding]]+tbl_position[[#This Row],[Cash_Holding]]-tbl_position[[#This Row],[Liabilities_Holding]]</f>
        <v>97840.3</v>
      </c>
    </row>
    <row r="13" spans="1:25" x14ac:dyDescent="0.2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$L12)</f>
        <v>50</v>
      </c>
      <c r="M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$M12)</f>
        <v>0</v>
      </c>
      <c r="N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$N12)</f>
        <v>50</v>
      </c>
      <c r="O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$O12)</f>
        <v>0</v>
      </c>
      <c r="P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$P12)</f>
        <v>100</v>
      </c>
      <c r="Q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$Q12)</f>
        <v>0</v>
      </c>
      <c r="R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$R12)</f>
        <v>100</v>
      </c>
      <c r="S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$S12)</f>
        <v>0</v>
      </c>
      <c r="T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$T12)</f>
        <v>0</v>
      </c>
      <c r="U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$U12)</f>
        <v>2000</v>
      </c>
      <c r="V13" s="10">
        <f ca="1" xml:space="preserve"> SUMPRODUCT(INDIRECT(ADDRESS(ROW(V13), 2)):INDIRECT(ADDRESS(ROW(V13), MATCH("Shares_AAPL", pos_header,0)-1)), INDIRECT(ADDRESS(ROW(V13), MATCH("Shares_AAPL", pos_header,0))): INDIRECT(ADDRESS(ROW(V13), MATCH("Shares_Holding", pos_header,0)-1)))</f>
        <v>46691</v>
      </c>
      <c r="W13" s="10">
        <f>SUMIFS(tbl_transaction[Net_Cash_Change], tbl_transaction[Transaction_Date],tbl_position[[#This Row],[Date]])+IF(tbl_position[[#This Row],[Date]]=$A$5, 100000, $W12)</f>
        <v>50051.7</v>
      </c>
      <c r="X13" s="11">
        <f>SUMIFS(tbl_transaction[Net_Debt_Change], tbl_transaction[Transaction_Date],tbl_position[[#This Row],[Date]])+IF(tbl_position[[#This Row],[Date]]=$A$5, 0, $X12)</f>
        <v>-407.10000000000036</v>
      </c>
      <c r="Y13" s="48">
        <f ca="1">tbl_position[[#This Row],[Shares_Holding]]+tbl_position[[#This Row],[Cash_Holding]]-tbl_position[[#This Row],[Liabilities_Holding]]</f>
        <v>97149.8</v>
      </c>
    </row>
    <row r="14" spans="1:25" x14ac:dyDescent="0.2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$L13)</f>
        <v>50</v>
      </c>
      <c r="M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$M13)</f>
        <v>0</v>
      </c>
      <c r="N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$N13)</f>
        <v>50</v>
      </c>
      <c r="O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$O13)</f>
        <v>0</v>
      </c>
      <c r="P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$P13)</f>
        <v>100</v>
      </c>
      <c r="Q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$Q13)</f>
        <v>0</v>
      </c>
      <c r="R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$R13)</f>
        <v>100</v>
      </c>
      <c r="S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$S13)</f>
        <v>50</v>
      </c>
      <c r="T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$T13)</f>
        <v>0</v>
      </c>
      <c r="U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$U13)</f>
        <v>980</v>
      </c>
      <c r="V14" s="10">
        <f ca="1" xml:space="preserve"> SUMPRODUCT(INDIRECT(ADDRESS(ROW(V14), 2)):INDIRECT(ADDRESS(ROW(V14), MATCH("Shares_AAPL", pos_header,0)-1)), INDIRECT(ADDRESS(ROW(V14), MATCH("Shares_AAPL", pos_header,0))): INDIRECT(ADDRESS(ROW(V14), MATCH("Shares_Holding", pos_header,0)-1)))</f>
        <v>52182.9</v>
      </c>
      <c r="W14" s="10">
        <f>SUMIFS(tbl_transaction[Net_Cash_Change], tbl_transaction[Transaction_Date],tbl_position[[#This Row],[Date]])+IF(tbl_position[[#This Row],[Date]]=$A$5, 100000, $W13)</f>
        <v>43897.299999999996</v>
      </c>
      <c r="X14" s="11">
        <f>SUMIFS(tbl_transaction[Net_Debt_Change], tbl_transaction[Transaction_Date],tbl_position[[#This Row],[Date]])+IF(tbl_position[[#This Row],[Date]]=$A$5, 0, $X13)</f>
        <v>-407.10000000000036</v>
      </c>
      <c r="Y14" s="48">
        <f ca="1">tbl_position[[#This Row],[Shares_Holding]]+tbl_position[[#This Row],[Cash_Holding]]-tbl_position[[#This Row],[Liabilities_Holding]]</f>
        <v>96487.3</v>
      </c>
    </row>
    <row r="15" spans="1:25" x14ac:dyDescent="0.25">
      <c r="A15" s="8">
        <v>44098</v>
      </c>
      <c r="B15" s="10">
        <f>VLOOKUP(tbl_position[[#This Row],[Date]], tbl_AAPL[], 5, 0)</f>
        <v>107.25</v>
      </c>
      <c r="C15" s="127">
        <f>VLOOKUP(tbl_position[[#This Row],[Date]], tbl_RIOT[], 5, 0)</f>
        <v>2.4098999999999999</v>
      </c>
      <c r="D15" s="10">
        <f>VLOOKUP(tbl_position[[#This Row],[Date]], tbl_HD[], 5, 0)</f>
        <v>264.8</v>
      </c>
      <c r="E15" s="127">
        <f>VLOOKUP(tbl_position[[#This Row],[Date]], tbl_WMT[], 5, 0)</f>
        <v>135.81</v>
      </c>
      <c r="F15" s="127">
        <f>VLOOKUP(tbl_position[[#This Row],[Date]], tbl_IBM[], 5, 0)</f>
        <v>116.7</v>
      </c>
      <c r="G15" s="127">
        <f>VLOOKUP(tbl_position[[#This Row],[Date]], tbl_ORCL[], 5, 0)</f>
        <v>58.31</v>
      </c>
      <c r="H15" s="127">
        <f>VLOOKUP(tbl_position[[#This Row],[Date]], tbl_AKRO[], 5, 0)</f>
        <v>31.32</v>
      </c>
      <c r="I15" s="127">
        <f>VLOOKUP(tbl_position[[#This Row],[Date]], tbl_FDX[], 5, 0)</f>
        <v>240.23</v>
      </c>
      <c r="J15" s="127">
        <f>VLOOKUP(tbl_position[[#This Row],[Date]], tbl_NKLA[], 5, 0)</f>
        <v>17.14</v>
      </c>
      <c r="K15" s="127">
        <f>VLOOKUP(tbl_position[[#This Row],[Date]], tbl_SPXS[], 5, 0)</f>
        <v>6.59</v>
      </c>
      <c r="L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$L14)</f>
        <v>50</v>
      </c>
      <c r="M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$M14)</f>
        <v>0</v>
      </c>
      <c r="N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$N14)</f>
        <v>50</v>
      </c>
      <c r="O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$O14)</f>
        <v>0</v>
      </c>
      <c r="P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$P14)</f>
        <v>100</v>
      </c>
      <c r="Q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$Q14)</f>
        <v>0</v>
      </c>
      <c r="R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$R14)</f>
        <v>100</v>
      </c>
      <c r="S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$S14)</f>
        <v>50</v>
      </c>
      <c r="T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$T14)</f>
        <v>0</v>
      </c>
      <c r="U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$U14)</f>
        <v>980</v>
      </c>
      <c r="V15" s="10">
        <f ca="1" xml:space="preserve"> SUMPRODUCT(INDIRECT(ADDRESS(ROW(V15), 2)):INDIRECT(ADDRESS(ROW(V15), MATCH("Shares_AAPL", pos_header,0)-1)), INDIRECT(ADDRESS(ROW(V15), MATCH("Shares_AAPL", pos_header,0))): INDIRECT(ADDRESS(ROW(V15), MATCH("Shares_Holding", pos_header,0)-1)))</f>
        <v>51874.2</v>
      </c>
      <c r="W15" s="10">
        <f>SUMIFS(tbl_transaction[Net_Cash_Change], tbl_transaction[Transaction_Date],tbl_position[[#This Row],[Date]])+IF(tbl_position[[#This Row],[Date]]=$A$5, 100000, $W14)</f>
        <v>43897.299999999996</v>
      </c>
      <c r="X15" s="11">
        <f>SUMIFS(tbl_transaction[Net_Debt_Change], tbl_transaction[Transaction_Date],tbl_position[[#This Row],[Date]])+IF(tbl_position[[#This Row],[Date]]=$A$5, 0, $X14)</f>
        <v>-407.10000000000036</v>
      </c>
      <c r="Y15" s="48">
        <f ca="1">tbl_position[[#This Row],[Shares_Holding]]+tbl_position[[#This Row],[Cash_Holding]]-tbl_position[[#This Row],[Liabilities_Holding]]</f>
        <v>96178.6</v>
      </c>
    </row>
    <row r="16" spans="1:25" x14ac:dyDescent="0.25">
      <c r="A16" t="s">
        <v>162</v>
      </c>
      <c r="D16" s="46"/>
      <c r="W16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S35" sqref="S35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  <col min="8" max="8" width="11.140625" customWidth="1"/>
    <col min="10" max="10" width="11.5703125" customWidth="1"/>
    <col min="11" max="11" width="12" customWidth="1"/>
    <col min="12" max="12" width="11.85546875" customWidth="1"/>
    <col min="13" max="13" width="9.85546875" bestFit="1" customWidth="1"/>
    <col min="15" max="15" width="11.7109375" customWidth="1"/>
    <col min="16" max="16" width="13.28515625" customWidth="1"/>
  </cols>
  <sheetData>
    <row r="1" spans="1:19" ht="21" x14ac:dyDescent="0.35">
      <c r="A1" s="41" t="s">
        <v>74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2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2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2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2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2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2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2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2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2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2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2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2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2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2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2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2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2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2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25">
      <c r="A37" s="8">
        <v>44098</v>
      </c>
      <c r="B37" s="48">
        <v>275.42</v>
      </c>
      <c r="C37" s="48">
        <v>266.29000000000002</v>
      </c>
      <c r="D37" s="48">
        <v>264.39</v>
      </c>
      <c r="E37" s="48">
        <v>264.8</v>
      </c>
      <c r="F37" s="48">
        <v>264.8</v>
      </c>
      <c r="G37">
        <v>238442</v>
      </c>
      <c r="H37" s="10">
        <f>IF(tbl_HD[[#This Row],[Date]]=$A$5, $F37, EMA_Beta*$H36 + (1-EMA_Beta)*$F37)</f>
        <v>275.56314983487943</v>
      </c>
      <c r="I37" s="46">
        <f ca="1">IF(tbl_HD[[#This Row],[RS]]= "", "", 100-(100/(1+tbl_HD[[#This Row],[RS]])))</f>
        <v>40.7386341570719</v>
      </c>
      <c r="J37" s="10">
        <f ca="1">IF(ROW($N37)-4&lt;BB_Periods, "", AVERAGE(INDIRECT(ADDRESS(ROW($F37)-RSI_Periods +1, MATCH("Adj Close", Price_Header,0))): INDIRECT(ADDRESS(ROW($F37),MATCH("Adj Close", Price_Header,0)))))</f>
        <v>274.64357135714289</v>
      </c>
      <c r="K37" s="127">
        <f ca="1">IF(tbl_HD[[#This Row],[BB_Mean]]="", "", tbl_HD[[#This Row],[BB_Mean]]+(BB_Width*tbl_HD[[#This Row],[BB_Stdev]]))</f>
        <v>286.65227517852605</v>
      </c>
      <c r="L37" s="127">
        <f ca="1">IF(tbl_HD[[#This Row],[BB_Mean]]="", "", tbl_HD[[#This Row],[BB_Mean]]-(BB_Width*tbl_HD[[#This Row],[BB_Stdev]]))</f>
        <v>262.63486753575972</v>
      </c>
      <c r="M37" s="46">
        <f>IF(ROW(tbl_HD[[#This Row],[Adj Close]])=5, 0, $F37-$F36)</f>
        <v>-1.75</v>
      </c>
      <c r="N37" s="46">
        <f>MAX(tbl_HD[[#This Row],[Move]],0)</f>
        <v>0</v>
      </c>
      <c r="O37" s="46">
        <f>MAX(-tbl_HD[[#This Row],[Move]],0)</f>
        <v>1.75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2.2464270714285663</v>
      </c>
      <c r="R37" s="46">
        <f ca="1">IF(tbl_HD[[#This Row],[Avg_Upmove]]="", "", tbl_HD[[#This Row],[Avg_Upmove]]/tbl_HD[[#This Row],[Avg_Downmove]])</f>
        <v>0.68744001387091569</v>
      </c>
      <c r="S37" s="10">
        <f ca="1">IF(ROW($N37)-4&lt;BB_Periods, "", _xlfn.STDEV.S(INDIRECT(ADDRESS(ROW($F37)-RSI_Periods +1, MATCH("Adj Close", Price_Header,0))): INDIRECT(ADDRESS(ROW($F37),MATCH("Adj Close", Price_Header,0)))))</f>
        <v>6.0043519106915868</v>
      </c>
    </row>
    <row r="38" spans="1:19" x14ac:dyDescent="0.25">
      <c r="A38" t="s">
        <v>162</v>
      </c>
      <c r="H38" s="61"/>
      <c r="J38" s="61"/>
      <c r="K38" s="61"/>
      <c r="L38" s="61"/>
      <c r="S38" s="61">
        <f ca="1">SUBTOTAL(103,tbl_HD[BB_Stdev])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2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2" customWidth="1"/>
    <col min="11" max="11" width="11.140625" customWidth="1"/>
    <col min="12" max="12" width="12.28515625" customWidth="1"/>
    <col min="14" max="14" width="10.7109375" customWidth="1"/>
    <col min="15" max="15" width="9.7109375" customWidth="1"/>
    <col min="16" max="16" width="11.140625" customWidth="1"/>
    <col min="17" max="17" width="10.5703125" customWidth="1"/>
    <col min="19" max="19" width="10.42578125" customWidth="1"/>
  </cols>
  <sheetData>
    <row r="1" spans="1:19" ht="21" x14ac:dyDescent="0.35">
      <c r="A1" s="41" t="s">
        <v>166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2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2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2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2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2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2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2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2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2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2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2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2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2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2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2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2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2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2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25">
      <c r="A37" s="8">
        <v>44098</v>
      </c>
      <c r="B37" s="10">
        <v>105.17</v>
      </c>
      <c r="C37" s="10">
        <v>107.59</v>
      </c>
      <c r="D37" s="10">
        <v>105</v>
      </c>
      <c r="E37" s="10">
        <v>107.25</v>
      </c>
      <c r="F37" s="10">
        <v>107.25</v>
      </c>
      <c r="G37">
        <v>17056375</v>
      </c>
      <c r="H37" s="127">
        <f>IF(tbl_AAPL[[#This Row],[Date]]=$A$5, $F37, EMA_Beta*$H36 + (1-EMA_Beta)*$F37)</f>
        <v>113.67675796571514</v>
      </c>
      <c r="I37" s="50">
        <f ca="1">IF(tbl_AAPL[[#This Row],[RS]]= "", "", 100-(100/(1+tbl_AAPL[[#This Row],[RS]])))</f>
        <v>32.992268555607538</v>
      </c>
      <c r="J37" s="127">
        <f ca="1">IF(ROW($N37)-4&lt;BB_Periods, "", AVERAGE(INDIRECT(ADDRESS(ROW($F37)-RSI_Periods +1, MATCH("Adj Close", Price_Header,0))): INDIRECT(ADDRESS(ROW($F37),MATCH("Adj Close", Price_Header,0)))))</f>
        <v>112.361428</v>
      </c>
      <c r="K37" s="127">
        <f ca="1">IF(tbl_AAPL[[#This Row],[BB_Mean]]="", "", tbl_AAPL[[#This Row],[BB_Mean]]+(BB_Width*tbl_AAPL[[#This Row],[BB_Stdev]]))</f>
        <v>120.45637190404769</v>
      </c>
      <c r="L37" s="127">
        <f ca="1">IF(tbl_AAPL[[#This Row],[BB_Mean]]="", "", tbl_AAPL[[#This Row],[BB_Mean]]-(BB_Width*tbl_AAPL[[#This Row],[BB_Stdev]]))</f>
        <v>104.26648409595232</v>
      </c>
      <c r="M37" s="50">
        <f>IF(ROW(tbl_AAPL[[#This Row],[Adj Close]])=5, 0, $F37-$F36)</f>
        <v>0.12999999999999545</v>
      </c>
      <c r="N37" s="50">
        <f>MAX(tbl_AAPL[[#This Row],[Move]],0)</f>
        <v>0.12999999999999545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0.9442859285714279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0.49236510242085635</v>
      </c>
      <c r="S37" s="50">
        <f ca="1">IF(ROW($N37)-4&lt;BB_Periods, "", _xlfn.STDEV.S(INDIRECT(ADDRESS(ROW($F37)-RSI_Periods +1, MATCH("Adj Close", Price_Header,0))): INDIRECT(ADDRESS(ROW($F37),MATCH("Adj Close", Price_Header,0)))))</f>
        <v>4.04747195202384</v>
      </c>
    </row>
    <row r="38" spans="1:19" x14ac:dyDescent="0.25">
      <c r="A38" t="s">
        <v>162</v>
      </c>
      <c r="B38" s="61"/>
      <c r="C38" s="61"/>
      <c r="D38" s="61"/>
      <c r="E38" s="61"/>
      <c r="F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>
        <f ca="1">SUBTOTAL(103,tbl_AAPL[BB_Stdev])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3" zoomScale="111" workbookViewId="0">
      <selection activeCell="G36" sqref="G36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168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2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2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2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2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2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2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2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2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2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2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2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2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2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2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2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2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2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2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25">
      <c r="A37" s="8">
        <v>44098</v>
      </c>
      <c r="B37" s="48">
        <v>139</v>
      </c>
      <c r="C37" s="48">
        <v>136.6</v>
      </c>
      <c r="D37" s="48">
        <v>135.30000000000001</v>
      </c>
      <c r="E37" s="48">
        <v>135.81</v>
      </c>
      <c r="F37" s="48">
        <v>135.81</v>
      </c>
      <c r="G37">
        <v>471207</v>
      </c>
      <c r="H37" s="48">
        <f>IF(tbl_WMT[[#This Row],[Date]]=$A$5, $F37, EMA_Beta*$H36 + (1-EMA_Beta)*$F37)</f>
        <v>195.75748661276097</v>
      </c>
      <c r="I37" s="50">
        <f ca="1">IF(tbl_WMT[[#This Row],[RS]]= "", "", 100-(100/(1+tbl_WMT[[#This Row],[RS]])))</f>
        <v>9.3177373719231582</v>
      </c>
      <c r="J37" s="11">
        <f ca="1">IF(ROW($N37)-4&lt;BB_Periods, "", AVERAGE(INDIRECT(ADDRESS(ROW($F37)-RSI_Periods +1, MATCH("Adj Close", Price_Header,0))): INDIRECT(ADDRESS(ROW($F37),MATCH("Adj Close", Price_Header,0)))))</f>
        <v>179.87999935714285</v>
      </c>
      <c r="K37" s="11">
        <f ca="1">IF(tbl_WMT[[#This Row],[BB_Mean]]="", "", tbl_WMT[[#This Row],[BB_Mean]]+(BB_Width*tbl_WMT[[#This Row],[BB_Stdev]]))</f>
        <v>300.34150830078249</v>
      </c>
      <c r="L37" s="11">
        <f ca="1">IF(tbl_WMT[[#This Row],[BB_Mean]]="", "", tbl_WMT[[#This Row],[BB_Mean]]-(BB_Width*tbl_WMT[[#This Row],[BB_Stdev]]))</f>
        <v>59.418490413503221</v>
      </c>
      <c r="M37" s="46">
        <f>IF(ROW(tbl_WMT[[#This Row],[Adj Close]])=5, 0, $F37-$F36)</f>
        <v>-0.18000000000000682</v>
      </c>
      <c r="N37" s="46">
        <f>MAX(tbl_WMT[[#This Row],[Move]],0)</f>
        <v>0</v>
      </c>
      <c r="O37" s="46">
        <f>MAX(-tbl_WMT[[#This Row],[Move]],0)</f>
        <v>0.18000000000000682</v>
      </c>
      <c r="P37" s="46">
        <f ca="1">IF(ROW($N37)-5&lt;RSI_Periods, "", AVERAGE(INDIRECT(ADDRESS(ROW($N37)-RSI_Periods +1, MATCH("Upmove", Price_Header,0))): INDIRECT(ADDRESS(ROW($N37),MATCH("Upmove", Price_Header,0)))))</f>
        <v>1.144284571428571</v>
      </c>
      <c r="Q37" s="46">
        <f ca="1">IF(ROW($O37)-5&lt;RSI_Periods, "", AVERAGE(INDIRECT(ADDRESS(ROW($O37)-RSI_Periods +1, MATCH("Downmove", Price_Header,0))): INDIRECT(ADDRESS(ROW($O37),MATCH("Downmove", Price_Header,0)))))</f>
        <v>11.136428285714286</v>
      </c>
      <c r="R37" s="46">
        <f ca="1">IF(tbl_WMT[[#This Row],[Avg_Upmove]]="", "", tbl_WMT[[#This Row],[Avg_Upmove]]/tbl_WMT[[#This Row],[Avg_Downmove]])</f>
        <v>0.10275148746716659</v>
      </c>
      <c r="S37" s="11">
        <f ca="1">IF(ROW($N37)-4&lt;BB_Periods, "", _xlfn.STDEV.S(INDIRECT(ADDRESS(ROW($F37)-RSI_Periods +1, MATCH("Adj Close", Price_Header,0))): INDIRECT(ADDRESS(ROW($F37),MATCH("Adj Close", Price_Header,0)))))</f>
        <v>60.230754471819814</v>
      </c>
    </row>
    <row r="38" spans="1:19" x14ac:dyDescent="0.25">
      <c r="A38" t="s">
        <v>162</v>
      </c>
      <c r="I38" s="61"/>
      <c r="S38">
        <f ca="1">SUBTOTAL(103,tbl_WMT[BB_Stdev])</f>
        <v>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B17" zoomScale="126" workbookViewId="0">
      <selection activeCell="G38" sqref="G38"/>
    </sheetView>
  </sheetViews>
  <sheetFormatPr defaultRowHeight="15" x14ac:dyDescent="0.25"/>
  <cols>
    <col min="1" max="1" width="9.7109375" bestFit="1" customWidth="1"/>
    <col min="6" max="6" width="11.42578125" customWidth="1"/>
    <col min="7" max="7" width="10.140625" customWidth="1"/>
  </cols>
  <sheetData>
    <row r="1" spans="1:19" ht="21" x14ac:dyDescent="0.35">
      <c r="A1" s="41" t="s">
        <v>169</v>
      </c>
      <c r="B1" s="41"/>
      <c r="C1" s="41"/>
      <c r="D1" s="41"/>
      <c r="E1" s="41"/>
      <c r="F1" s="41"/>
    </row>
    <row r="2" spans="1:19" x14ac:dyDescent="0.25">
      <c r="A2" t="s">
        <v>164</v>
      </c>
    </row>
    <row r="4" spans="1:19" x14ac:dyDescent="0.2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2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2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2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2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2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2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2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2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2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2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2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2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2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2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2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2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2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2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2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2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2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2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2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2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2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2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2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2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2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2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2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2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25">
      <c r="A37" s="8">
        <v>44098</v>
      </c>
      <c r="B37" s="48">
        <v>2.9</v>
      </c>
      <c r="C37" s="48">
        <v>2.5499999999999998</v>
      </c>
      <c r="D37" s="48">
        <v>2.35</v>
      </c>
      <c r="E37" s="48">
        <v>2.4098999999999999</v>
      </c>
      <c r="F37" s="48">
        <v>2.4098999999999999</v>
      </c>
      <c r="G37">
        <v>799909</v>
      </c>
      <c r="H37" s="48">
        <f>IF(tbl_RIOT[[#This Row],[Date]]=$A$5, $F37, EMA_Beta*$H36 + (1-EMA_Beta)*$F37)</f>
        <v>3.0349281796095129</v>
      </c>
      <c r="I37" s="46">
        <f ca="1">IF(tbl_RIOT[[#This Row],[RS]]= "", "", 100-(100/(1+tbl_RIOT[[#This Row],[RS]])))</f>
        <v>26.99220906692841</v>
      </c>
      <c r="J37" s="48">
        <f ca="1">IF(ROW($N37)-4&lt;BB_Periods, "", AVERAGE(INDIRECT(ADDRESS(ROW($F37)-RSI_Periods +1, MATCH("Adj Close", Price_Header,0))): INDIRECT(ADDRESS(ROW($F37),MATCH("Adj Close", Price_Header,0)))))</f>
        <v>2.8992785714285718</v>
      </c>
      <c r="K37" s="48">
        <f ca="1">IF(tbl_RIOT[[#This Row],[BB_Mean]]="", "", tbl_RIOT[[#This Row],[BB_Mean]]+(BB_Width*tbl_RIOT[[#This Row],[BB_Stdev]]))</f>
        <v>3.2806085208551417</v>
      </c>
      <c r="L37" s="48">
        <f ca="1">IF(tbl_RIOT[[#This Row],[BB_Mean]]="", "", tbl_RIOT[[#This Row],[BB_Mean]]-(BB_Width*tbl_RIOT[[#This Row],[BB_Stdev]]))</f>
        <v>2.517948622002002</v>
      </c>
      <c r="M37" s="46">
        <f>IF(ROW(tbl_RIOT[[#This Row],[Adj Close]])=5, 0, $F37-$F36)</f>
        <v>-0.19010000000000016</v>
      </c>
      <c r="N37" s="46">
        <f>MAX(tbl_RIOT[[#This Row],[Move]],0)</f>
        <v>0</v>
      </c>
      <c r="O37" s="46">
        <f>MAX(-tbl_RIOT[[#This Row],[Move]],0)</f>
        <v>0.19010000000000016</v>
      </c>
      <c r="P37" s="46">
        <f ca="1">IF(ROW($N37)-5&lt;RSI_Periods, "", AVERAGE(INDIRECT(ADDRESS(ROW($N37)-RSI_Periods +1, MATCH("Upmove", Price_Header,0))): INDIRECT(ADDRESS(ROW($N37),MATCH("Upmove", Price_Header,0)))))</f>
        <v>3.1428571428571424E-2</v>
      </c>
      <c r="Q37" s="46">
        <f ca="1">IF(ROW($O37)-5&lt;RSI_Periods, "", AVERAGE(INDIRECT(ADDRESS(ROW($O37)-RSI_Periods +1, MATCH("Downmove", Price_Header,0))): INDIRECT(ADDRESS(ROW($O37),MATCH("Downmove", Price_Header,0)))))</f>
        <v>8.5007142857142864E-2</v>
      </c>
      <c r="R37" s="46">
        <f ca="1">IF(tbl_RIOT[[#This Row],[Avg_Upmove]]="", "", tbl_RIOT[[#This Row],[Avg_Upmove]]/tbl_RIOT[[#This Row],[Avg_Downmove]])</f>
        <v>0.36971683051844373</v>
      </c>
      <c r="S37" s="48">
        <f ca="1">IF(ROW($N37)-4&lt;BB_Periods, "", _xlfn.STDEV.S(INDIRECT(ADDRESS(ROW($F37)-RSI_Periods +1, MATCH("Adj Close", Price_Header,0))): INDIRECT(ADDRESS(ROW($F37),MATCH("Adj Close", Price_Header,0)))))</f>
        <v>0.19066497471328492</v>
      </c>
    </row>
    <row r="38" spans="1:19" x14ac:dyDescent="0.25">
      <c r="A38" t="s">
        <v>162</v>
      </c>
      <c r="S38">
        <f ca="1">SUBTOTAL(103,tbl_RIOT[BB_Stdev])</f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Dashboard</vt:lpstr>
      <vt:lpstr>Dashboard_backend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2020-09-13T13:25:13Z</cp:lastPrinted>
  <dcterms:created xsi:type="dcterms:W3CDTF">2020-09-12T01:33:26Z</dcterms:created>
  <dcterms:modified xsi:type="dcterms:W3CDTF">2020-09-24T14:18:05Z</dcterms:modified>
</cp:coreProperties>
</file>